
<file path=[Content_Types].xml><?xml version="1.0" encoding="utf-8"?>
<Types xmlns="http://schemas.openxmlformats.org/package/2006/content-types">
  <Default Extension="bin" ContentType="application/vnd.ms-office.activeX"/>
  <Default Extension="data" ContentType="application/vnd.openxmlformats-officedocument.model+data"/>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pivotCache/pivotCacheDefinition14.xml" ContentType="application/vnd.openxmlformats-officedocument.spreadsheetml.pivotCacheDefinition+xml"/>
  <Override PartName="/xl/pivotCache/pivotCacheDefinition15.xml" ContentType="application/vnd.openxmlformats-officedocument.spreadsheetml.pivotCacheDefinition+xml"/>
  <Override PartName="/xl/pivotCache/pivotCacheDefinition16.xml" ContentType="application/vnd.openxmlformats-officedocument.spreadsheetml.pivotCacheDefinition+xml"/>
  <Override PartName="/xl/pivotCache/pivotCacheDefinition17.xml" ContentType="application/vnd.openxmlformats-officedocument.spreadsheetml.pivotCacheDefinition+xml"/>
  <Override PartName="/xl/pivotCache/pivotCacheDefinition18.xml" ContentType="application/vnd.openxmlformats-officedocument.spreadsheetml.pivotCacheDefinition+xml"/>
  <Override PartName="/xl/pivotCache/pivotCacheDefinition19.xml" ContentType="application/vnd.openxmlformats-officedocument.spreadsheetml.pivotCacheDefinition+xml"/>
  <Override PartName="/xl/pivotCache/pivotCacheDefinition20.xml" ContentType="application/vnd.openxmlformats-officedocument.spreadsheetml.pivotCacheDefinition+xml"/>
  <Override PartName="/xl/pivotCache/pivotCacheDefinition21.xml" ContentType="application/vnd.openxmlformats-officedocument.spreadsheetml.pivotCacheDefinition+xml"/>
  <Override PartName="/xl/pivotCache/pivotCacheDefinition22.xml" ContentType="application/vnd.openxmlformats-officedocument.spreadsheetml.pivotCacheDefinition+xml"/>
  <Override PartName="/xl/pivotCache/pivotCacheDefinition23.xml" ContentType="application/vnd.openxmlformats-officedocument.spreadsheetml.pivotCacheDefinition+xml"/>
  <Override PartName="/xl/pivotCache/pivotCacheDefinition24.xml" ContentType="application/vnd.openxmlformats-officedocument.spreadsheetml.pivotCacheDefinition+xml"/>
  <Override PartName="/xl/pivotCache/pivotCacheDefinition25.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2.xml" ContentType="application/vnd.ms-office.activeX+xml"/>
  <Override PartName="/xl/activeX/activeX3.xml" ContentType="application/vnd.ms-office.activeX+xml"/>
  <Override PartName="/xl/activeX/activeX4.xml" ContentType="application/vnd.ms-office.activeX+xml"/>
  <Override PartName="/xl/activeX/activeX5.xml" ContentType="application/vnd.ms-office.activeX+xml"/>
  <Override PartName="/xl/activeX/activeX6.xml" ContentType="application/vnd.ms-office.activeX+xml"/>
  <Override PartName="/xl/activeX/activeX7.xml" ContentType="application/vnd.ms-office.activeX+xml"/>
  <Override PartName="/xl/activeX/activeX8.xml" ContentType="application/vnd.ms-office.activeX+xml"/>
  <Override PartName="/xl/activeX/activeX9.xml" ContentType="application/vnd.ms-office.activeX+xml"/>
  <Override PartName="/xl/activeX/activeX10.xml" ContentType="application/vnd.ms-office.activeX+xml"/>
  <Override PartName="/xl/activeX/activeX11.xml" ContentType="application/vnd.ms-office.activeX+xml"/>
  <Override PartName="/xl/activeX/activeX12.xml" ContentType="application/vnd.ms-office.activeX+xml"/>
  <Override PartName="/xl/activeX/activeX13.xml" ContentType="application/vnd.ms-office.activeX+xml"/>
  <Override PartName="/xl/activeX/activeX14.xml" ContentType="application/vnd.ms-office.activeX+xml"/>
  <Override PartName="/xl/activeX/activeX15.xml" ContentType="application/vnd.ms-office.activeX+xml"/>
  <Override PartName="/xl/activeX/activeX16.xml" ContentType="application/vnd.ms-office.activeX+xml"/>
  <Override PartName="/xl/activeX/activeX17.xml" ContentType="application/vnd.ms-office.activeX+xml"/>
  <Override PartName="/xl/activeX/activeX18.xml" ContentType="application/vnd.ms-office.activeX+xml"/>
  <Override PartName="/xl/activeX/activeX19.xml" ContentType="application/vnd.ms-office.activeX+xml"/>
  <Override PartName="/xl/activeX/activeX20.xml" ContentType="application/vnd.ms-office.activeX+xml"/>
  <Override PartName="/xl/activeX/activeX21.xml" ContentType="application/vnd.ms-office.activeX+xml"/>
  <Override PartName="/xl/activeX/activeX22.xml" ContentType="application/vnd.ms-office.activeX+xml"/>
  <Override PartName="/xl/activeX/activeX23.xml" ContentType="application/vnd.ms-office.activeX+xml"/>
  <Override PartName="/xl/activeX/activeX24.xml" ContentType="application/vnd.ms-office.activeX+xml"/>
  <Override PartName="/xl/activeX/activeX25.xml" ContentType="application/vnd.ms-office.activeX+xml"/>
  <Override PartName="/xl/activeX/activeX26.xml" ContentType="application/vnd.ms-office.activeX+xml"/>
  <Override PartName="/xl/activeX/activeX27.xml" ContentType="application/vnd.ms-office.activeX+xml"/>
  <Override PartName="/xl/activeX/activeX28.xml" ContentType="application/vnd.ms-office.activeX+xml"/>
  <Override PartName="/xl/activeX/activeX29.xml" ContentType="application/vnd.ms-office.activeX+xml"/>
  <Override PartName="/xl/activeX/activeX30.xml" ContentType="application/vnd.ms-office.activeX+xml"/>
  <Override PartName="/xl/activeX/activeX31.xml" ContentType="application/vnd.ms-office.activeX+xml"/>
  <Override PartName="/xl/activeX/activeX32.xml" ContentType="application/vnd.ms-office.activeX+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slicers/slicer2.xml" ContentType="application/vnd.ms-excel.slicer+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3.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slicers/slicer3.xml" ContentType="application/vnd.ms-excel.slicer+xml"/>
  <Override PartName="/xl/charts/chart8.xml" ContentType="application/vnd.openxmlformats-officedocument.drawingml.chart+xml"/>
  <Override PartName="/xl/charts/chart9.xml" ContentType="application/vnd.openxmlformats-officedocument.drawingml.chart+xml"/>
  <Override PartName="/xl/drawings/drawing4.xml" ContentType="application/vnd.openxmlformats-officedocument.drawing+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slicers/slicer4.xml" ContentType="application/vnd.ms-excel.slicer+xml"/>
  <Override PartName="/xl/charts/chartEx1.xml" ContentType="application/vnd.ms-office.chartex+xml"/>
  <Override PartName="/xl/charts/style8.xml" ContentType="application/vnd.ms-office.chartstyle+xml"/>
  <Override PartName="/xl/charts/colors8.xml" ContentType="application/vnd.ms-office.chartcolorstyle+xml"/>
  <Override PartName="/xl/charts/chart10.xml" ContentType="application/vnd.openxmlformats-officedocument.drawingml.chart+xml"/>
  <Override PartName="/xl/charts/style9.xml" ContentType="application/vnd.ms-office.chartstyle+xml"/>
  <Override PartName="/xl/charts/colors9.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pivotTables/pivotTable19.xml" ContentType="application/vnd.openxmlformats-officedocument.spreadsheetml.pivotTable+xml"/>
  <Override PartName="/xl/pivotTables/pivotTable20.xml" ContentType="application/vnd.openxmlformats-officedocument.spreadsheetml.pivotTable+xml"/>
  <Override PartName="/xl/pivotTables/pivotTable21.xml" ContentType="application/vnd.openxmlformats-officedocument.spreadsheetml.pivotTable+xml"/>
  <Override PartName="/xl/tables/table1.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827" codeName="{E757BCB4-07E6-AE0B-56E0-F0EEF7A6E26C}"/>
  <workbookPr codeName="ThisWorkbook"/>
  <mc:AlternateContent xmlns:mc="http://schemas.openxmlformats.org/markup-compatibility/2006">
    <mc:Choice Requires="x15">
      <x15ac:absPath xmlns:x15ac="http://schemas.microsoft.com/office/spreadsheetml/2010/11/ac" url="C:\Users\Saurabh Lakhanpal\OneDrive\DataE\Project 1_Excel\"/>
    </mc:Choice>
  </mc:AlternateContent>
  <xr:revisionPtr revIDLastSave="0" documentId="13_ncr:1_{940C88E0-2BF3-45E5-A720-ECAF3D17C1E2}" xr6:coauthVersionLast="47" xr6:coauthVersionMax="47" xr10:uidLastSave="{00000000-0000-0000-0000-000000000000}"/>
  <bookViews>
    <workbookView xWindow="-120" yWindow="-120" windowWidth="29040" windowHeight="15720" tabRatio="0" firstSheet="3" activeTab="3" xr2:uid="{00000000-000D-0000-FFFF-FFFF00000000}"/>
  </bookViews>
  <sheets>
    <sheet name="Sales &amp; Profit" sheetId="2" r:id="rId1"/>
    <sheet name="Trends" sheetId="14" r:id="rId2"/>
    <sheet name="Distribution" sheetId="15" r:id="rId3"/>
    <sheet name="Sales Map" sheetId="16" r:id="rId4"/>
    <sheet name="Pivot_tables" sheetId="20" r:id="rId5"/>
    <sheet name="DataSheet" sheetId="1" r:id="rId6"/>
  </sheets>
  <definedNames>
    <definedName name="_xlchart.v5.0" hidden="1">Pivot_tables!$AA$5</definedName>
    <definedName name="_xlchart.v5.1" hidden="1">Pivot_tables!$AA$6:$AA$54</definedName>
    <definedName name="_xlchart.v5.2" hidden="1">Pivot_tables!$AB$5</definedName>
    <definedName name="_xlchart.v5.3" hidden="1">Pivot_tables!$AB$6:$AB$54</definedName>
    <definedName name="_xlcn.WorksheetConnection_SuperstoreRawData.xlsxTable_1" hidden="1">Table_1[]</definedName>
    <definedName name="ExternalData_1" localSheetId="5">DataSheet!$A$1:$X$1937</definedName>
    <definedName name="Slicer_Customer_Segment">#N/A</definedName>
    <definedName name="Slicer_Customer_Segment1">#N/A</definedName>
    <definedName name="Slicer_Manager">#N/A</definedName>
    <definedName name="Slicer_Order_Date__Month">#N/A</definedName>
    <definedName name="Slicer_Order_Date__Month1">#N/A</definedName>
    <definedName name="Slicer_Order_Priority">#N/A</definedName>
    <definedName name="Slicer_Product_Category">#N/A</definedName>
    <definedName name="Slicer_Product_Sub_Category">#N/A</definedName>
  </definedNames>
  <calcPr calcId="191029"/>
  <pivotCaches>
    <pivotCache cacheId="0" r:id="rId7"/>
    <pivotCache cacheId="1" r:id="rId8"/>
    <pivotCache cacheId="2" r:id="rId9"/>
    <pivotCache cacheId="3" r:id="rId10"/>
    <pivotCache cacheId="4" r:id="rId11"/>
    <pivotCache cacheId="5" r:id="rId12"/>
    <pivotCache cacheId="6" r:id="rId13"/>
    <pivotCache cacheId="7" r:id="rId14"/>
    <pivotCache cacheId="8" r:id="rId15"/>
    <pivotCache cacheId="9" r:id="rId16"/>
    <pivotCache cacheId="10" r:id="rId17"/>
    <pivotCache cacheId="11" r:id="rId18"/>
    <pivotCache cacheId="12" r:id="rId19"/>
    <pivotCache cacheId="13" r:id="rId20"/>
    <pivotCache cacheId="14" r:id="rId21"/>
    <pivotCache cacheId="15" r:id="rId22"/>
    <pivotCache cacheId="16" r:id="rId23"/>
    <pivotCache cacheId="17" r:id="rId24"/>
    <pivotCache cacheId="18" r:id="rId25"/>
    <pivotCache cacheId="19" r:id="rId26"/>
    <pivotCache cacheId="20" r:id="rId27"/>
  </pivotCaches>
  <extLst>
    <ext xmlns:x14="http://schemas.microsoft.com/office/spreadsheetml/2009/9/main" uri="{876F7934-8845-4945-9796-88D515C7AA90}">
      <x14:pivotCaches>
        <pivotCache cacheId="21" r:id="rId28"/>
        <pivotCache cacheId="22" r:id="rId29"/>
        <pivotCache cacheId="23" r:id="rId30"/>
        <pivotCache cacheId="24" r:id="rId31"/>
      </x14:pivotCaches>
    </ext>
    <ext xmlns:x14="http://schemas.microsoft.com/office/spreadsheetml/2009/9/main" uri="{BBE1A952-AA13-448e-AADC-164F8A28A991}">
      <x14:slicerCaches>
        <x14:slicerCache r:id="rId32"/>
        <x14:slicerCache r:id="rId33"/>
        <x14:slicerCache r:id="rId34"/>
        <x14:slicerCache r:id="rId35"/>
        <x14:slicerCache r:id="rId36"/>
        <x14:slicerCache r:id="rId37"/>
        <x14:slicerCache r:id="rId38"/>
        <x14:slicerCache r:id="rId39"/>
      </x14:slicerCaches>
    </ext>
    <ext xmlns:x14="http://schemas.microsoft.com/office/spreadsheetml/2009/9/main" uri="{79F54976-1DA5-4618-B147-4CDE4B953A38}">
      <x14:workbookPr/>
    </ext>
    <ext xmlns:x15="http://schemas.microsoft.com/office/spreadsheetml/2010/11/main" uri="{FCE2AD5D-F65C-4FA6-A056-5C36A1767C68}">
      <x15:dataModel>
        <x15:modelTables>
          <x15:modelTable id="Table_1" name="Table_1" connection="WorksheetConnection_Superstore Raw Data.xlsx!Table_1"/>
        </x15:modelTables>
        <x15:extLst>
          <ext xmlns:x16="http://schemas.microsoft.com/office/spreadsheetml/2014/11/main" uri="{9835A34E-60A6-4A7C-AAB8-D5F71C897F49}">
            <x16:modelTimeGroupings>
              <x16:modelTimeGrouping tableName="Table_1" columnName="Order Date" columnId="Order Date">
                <x16:calculatedTimeColumn columnName="Order Date (Month Index)" columnId="Order Date (Month Index)" contentType="monthsindex" isSelected="1"/>
                <x16:calculatedTimeColumn columnName="Order Date (Month)" columnId="Order Date (Month)" contentType="months" isSelected="1"/>
              </x16:modelTimeGrouping>
            </x16:modelTimeGroupings>
          </ext>
        </x15:extLst>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N40" i="20" l="1"/>
  <c r="CN41" i="20" s="1"/>
  <c r="CN28" i="20"/>
  <c r="CO32" i="20" s="1" a="1"/>
  <c r="CO32" i="20" s="1"/>
  <c r="CN16" i="20"/>
  <c r="CN18" i="20" s="1" a="1"/>
  <c r="CN18" i="20" s="1"/>
  <c r="CN4" i="20"/>
  <c r="CM6" i="20" s="1" a="1"/>
  <c r="CM6" i="20" s="1"/>
  <c r="CB6" i="20" a="1"/>
  <c r="CB6" i="20" s="1"/>
  <c r="CD8" i="20" s="1"/>
  <c r="CA6" i="20" a="1"/>
  <c r="CA6" i="20" s="1"/>
  <c r="X1939" i="1"/>
  <c r="X1938" i="1"/>
  <c r="CA4" i="20"/>
  <c r="BZ5" i="20" s="1"/>
  <c r="CG5" i="20"/>
  <c r="CF5" i="20"/>
  <c r="CE5" i="20"/>
  <c r="CD5" i="20"/>
  <c r="CC5" i="20"/>
  <c r="BE26" i="20"/>
  <c r="BF26" i="20"/>
  <c r="BD26" i="20"/>
  <c r="BI4" i="20"/>
  <c r="BH5" i="20" s="1"/>
  <c r="BM5" i="20" s="1"/>
  <c r="AD1938" i="1"/>
  <c r="U1938" i="1"/>
  <c r="J1938" i="1"/>
  <c r="F1938" i="1"/>
  <c r="AA54" i="20"/>
  <c r="AA53" i="20"/>
  <c r="AA52" i="20"/>
  <c r="AA51" i="20"/>
  <c r="B51" i="20"/>
  <c r="AA50" i="20"/>
  <c r="B50" i="20"/>
  <c r="AA49" i="20"/>
  <c r="AA48" i="20"/>
  <c r="C48" i="20" a="1"/>
  <c r="B48" i="20"/>
  <c r="AA47" i="20"/>
  <c r="AA46" i="20"/>
  <c r="AA45" i="20"/>
  <c r="AA44" i="20"/>
  <c r="AA43" i="20"/>
  <c r="AA42" i="20"/>
  <c r="AA41" i="20"/>
  <c r="AA40" i="20"/>
  <c r="AA39" i="20"/>
  <c r="AA38" i="20"/>
  <c r="AA37" i="20"/>
  <c r="AA36" i="20"/>
  <c r="AA35" i="20"/>
  <c r="AA34" i="20"/>
  <c r="AA33" i="20"/>
  <c r="AA32" i="20"/>
  <c r="AA31" i="20"/>
  <c r="AA30" i="20"/>
  <c r="AA29" i="20"/>
  <c r="AA28" i="20"/>
  <c r="E28" i="20"/>
  <c r="AA27" i="20"/>
  <c r="AA26" i="20"/>
  <c r="AA25" i="20"/>
  <c r="AA24" i="20"/>
  <c r="AA23" i="20"/>
  <c r="AA22" i="20"/>
  <c r="N22" i="20"/>
  <c r="M22" i="20"/>
  <c r="J22" i="20"/>
  <c r="AA21" i="20"/>
  <c r="N21" i="20"/>
  <c r="M21" i="20"/>
  <c r="J21" i="20"/>
  <c r="AE20" i="20"/>
  <c r="AA20" i="20"/>
  <c r="N20" i="20"/>
  <c r="M20" i="20"/>
  <c r="J20" i="20"/>
  <c r="AA19" i="20"/>
  <c r="N19" i="20"/>
  <c r="M19" i="20"/>
  <c r="J19" i="20"/>
  <c r="AA18" i="20"/>
  <c r="N18" i="20"/>
  <c r="M18" i="20"/>
  <c r="J18" i="20"/>
  <c r="AA17" i="20"/>
  <c r="N17" i="20"/>
  <c r="M17" i="20"/>
  <c r="J17" i="20"/>
  <c r="AA16" i="20"/>
  <c r="N16" i="20"/>
  <c r="M16" i="20"/>
  <c r="J16" i="20"/>
  <c r="AA15" i="20"/>
  <c r="N15" i="20"/>
  <c r="M15" i="20"/>
  <c r="J15" i="20"/>
  <c r="AA14" i="20"/>
  <c r="N14" i="20"/>
  <c r="M14" i="20"/>
  <c r="J14" i="20"/>
  <c r="AA13" i="20"/>
  <c r="N13" i="20"/>
  <c r="M13" i="20"/>
  <c r="J13" i="20"/>
  <c r="AA12" i="20"/>
  <c r="N12" i="20"/>
  <c r="M12" i="20"/>
  <c r="J12" i="20"/>
  <c r="AA11" i="20"/>
  <c r="N11" i="20"/>
  <c r="M11" i="20"/>
  <c r="J11" i="20"/>
  <c r="BK10" i="20"/>
  <c r="AA10" i="20"/>
  <c r="N10" i="20"/>
  <c r="M10" i="20"/>
  <c r="J10" i="20"/>
  <c r="BK9" i="20"/>
  <c r="AA9" i="20"/>
  <c r="N9" i="20"/>
  <c r="M9" i="20"/>
  <c r="J9" i="20"/>
  <c r="BK8" i="20"/>
  <c r="AA8" i="20"/>
  <c r="N8" i="20"/>
  <c r="M8" i="20"/>
  <c r="J8" i="20"/>
  <c r="BK7" i="20"/>
  <c r="AY7" i="20" a="1"/>
  <c r="AY7" i="20" s="1"/>
  <c r="AQ7" i="20" a="1"/>
  <c r="AT49" i="20" s="1"/>
  <c r="AA7" i="20"/>
  <c r="Z7" i="20"/>
  <c r="AB5" i="20" s="1"/>
  <c r="AB6" i="20" s="1" a="1"/>
  <c r="AC54" i="20" s="1"/>
  <c r="N7" i="20"/>
  <c r="M7" i="20"/>
  <c r="J7" i="20"/>
  <c r="BK6" i="20"/>
  <c r="BJ6" i="20" a="1"/>
  <c r="BQ10" i="20" s="1"/>
  <c r="BI6" i="20" a="1"/>
  <c r="BR10" i="20" s="1"/>
  <c r="AA6" i="20"/>
  <c r="N6" i="20"/>
  <c r="M6" i="20"/>
  <c r="J6" i="20"/>
  <c r="BK5" i="20"/>
  <c r="AZ5" i="20"/>
  <c r="AZ6" i="20" s="1"/>
  <c r="AZ7" i="20" s="1" a="1"/>
  <c r="AZ7" i="20" s="1"/>
  <c r="AR5" i="20"/>
  <c r="AR6" i="20" s="1"/>
  <c r="AR7" i="20" s="1" a="1"/>
  <c r="AS184" i="20" s="1"/>
  <c r="AA5" i="20"/>
  <c r="AI29" i="20"/>
  <c r="AJ26" i="20"/>
  <c r="AG31" i="20"/>
  <c r="AF23" i="20"/>
  <c r="AI23" i="20"/>
  <c r="AI32" i="20"/>
  <c r="AF30" i="20"/>
  <c r="AF25" i="20"/>
  <c r="AH32" i="20"/>
  <c r="AJ25" i="20"/>
  <c r="AH28" i="20"/>
  <c r="AH22" i="20"/>
  <c r="AJ27" i="20"/>
  <c r="AI28" i="20"/>
  <c r="AI24" i="20"/>
  <c r="AH25" i="20"/>
  <c r="AJ32" i="20"/>
  <c r="AH21" i="20"/>
  <c r="AJ22" i="20"/>
  <c r="AF24" i="20"/>
  <c r="AF29" i="20"/>
  <c r="AG21" i="20"/>
  <c r="AH23" i="20"/>
  <c r="AI21" i="20"/>
  <c r="AI30" i="20"/>
  <c r="AF27" i="20"/>
  <c r="AG32" i="20"/>
  <c r="AI31" i="20"/>
  <c r="AJ24" i="20"/>
  <c r="AJ30" i="20"/>
  <c r="AG23" i="20"/>
  <c r="AG26" i="20"/>
  <c r="AI27" i="20"/>
  <c r="AF22" i="20"/>
  <c r="AG22" i="20"/>
  <c r="AG30" i="20"/>
  <c r="AI25" i="20"/>
  <c r="AJ23" i="20"/>
  <c r="AG25" i="20"/>
  <c r="AG28" i="20"/>
  <c r="AF31" i="20"/>
  <c r="AG24" i="20"/>
  <c r="AI22" i="20"/>
  <c r="AH26" i="20"/>
  <c r="AH24" i="20"/>
  <c r="AF32" i="20"/>
  <c r="AJ28" i="20"/>
  <c r="AI26" i="20"/>
  <c r="AJ29" i="20"/>
  <c r="AF26" i="20"/>
  <c r="AH31" i="20"/>
  <c r="AF28" i="20"/>
  <c r="AG27" i="20"/>
  <c r="AJ21" i="20"/>
  <c r="AF21" i="20"/>
  <c r="AH30" i="20"/>
  <c r="AG29" i="20"/>
  <c r="AH27" i="20"/>
  <c r="AH29" i="20"/>
  <c r="AJ31" i="20"/>
  <c r="Q6" i="20"/>
  <c r="E32" i="20"/>
  <c r="S6" i="20"/>
  <c r="H28" i="20"/>
  <c r="CN17" i="20" l="1"/>
  <c r="CM18" i="20" a="1"/>
  <c r="CM18" i="20" s="1"/>
  <c r="CM20" i="20" a="1"/>
  <c r="CM20" i="20" s="1"/>
  <c r="CM19" i="20" a="1"/>
  <c r="CM19" i="20" s="1"/>
  <c r="CN19" i="20" a="1"/>
  <c r="CN19" i="20" s="1"/>
  <c r="CO18" i="20" a="1"/>
  <c r="CO18" i="20" s="1"/>
  <c r="CO20" i="20" a="1"/>
  <c r="CO20" i="20" s="1"/>
  <c r="CN20" i="20" a="1"/>
  <c r="CN20" i="20" s="1"/>
  <c r="CO19" i="20" a="1"/>
  <c r="CO19" i="20" s="1"/>
  <c r="CM30" i="20" a="1"/>
  <c r="CM30" i="20" s="1"/>
  <c r="CM32" i="20" a="1"/>
  <c r="CM32" i="20" s="1"/>
  <c r="CM31" i="20" a="1"/>
  <c r="CM31" i="20" s="1"/>
  <c r="CN30" i="20" a="1"/>
  <c r="CN30" i="20" s="1"/>
  <c r="CN31" i="20" a="1"/>
  <c r="CN31" i="20" s="1"/>
  <c r="CN32" i="20" a="1"/>
  <c r="CN32" i="20" s="1"/>
  <c r="CO30" i="20" a="1"/>
  <c r="CO30" i="20" s="1"/>
  <c r="CO31" i="20" a="1"/>
  <c r="CO31" i="20" s="1"/>
  <c r="CN29" i="20"/>
  <c r="CM42" i="20" a="1"/>
  <c r="CM42" i="20" s="1"/>
  <c r="CM44" i="20" a="1"/>
  <c r="CM44" i="20" s="1"/>
  <c r="CM43" i="20" a="1"/>
  <c r="CM43" i="20" s="1"/>
  <c r="CN42" i="20" a="1"/>
  <c r="CN42" i="20" s="1"/>
  <c r="CN44" i="20" a="1"/>
  <c r="CN44" i="20" s="1"/>
  <c r="CN43" i="20" a="1"/>
  <c r="CN43" i="20" s="1"/>
  <c r="CO43" i="20" a="1"/>
  <c r="CO43" i="20" s="1"/>
  <c r="CO42" i="20" a="1"/>
  <c r="CO42" i="20" s="1"/>
  <c r="CO44" i="20" a="1"/>
  <c r="CO44" i="20" s="1"/>
  <c r="CN7" i="20" a="1"/>
  <c r="CN7" i="20" s="1"/>
  <c r="CO6" i="20" a="1"/>
  <c r="CO6" i="20" s="1"/>
  <c r="CO8" i="20" a="1"/>
  <c r="CO8" i="20" s="1"/>
  <c r="CM8" i="20" a="1"/>
  <c r="CM8" i="20" s="1"/>
  <c r="CN6" i="20" a="1"/>
  <c r="CN6" i="20" s="1"/>
  <c r="CN8" i="20" a="1"/>
  <c r="CN8" i="20" s="1"/>
  <c r="CN5" i="20"/>
  <c r="CO7" i="20" a="1"/>
  <c r="CO7" i="20" s="1"/>
  <c r="CM7" i="20" a="1"/>
  <c r="CM7" i="20" s="1"/>
  <c r="CC6" i="20"/>
  <c r="BZ6" i="20" a="1"/>
  <c r="BZ6" i="20" s="1"/>
  <c r="CD6" i="20" s="1"/>
  <c r="CG8" i="20"/>
  <c r="CF8" i="20"/>
  <c r="CE8" i="20"/>
  <c r="BQ7" i="20"/>
  <c r="BQ8" i="20"/>
  <c r="BQ9" i="20"/>
  <c r="BH6" i="20" a="1"/>
  <c r="BL5" i="20"/>
  <c r="BP5" i="20"/>
  <c r="BO5" i="20"/>
  <c r="BN5" i="20"/>
  <c r="Z6" i="20"/>
  <c r="BI6" i="20"/>
  <c r="BR6" i="20" s="1"/>
  <c r="BR9" i="20"/>
  <c r="BJ6" i="20"/>
  <c r="BQ6" i="20" s="1"/>
  <c r="BR8" i="20"/>
  <c r="BR7" i="20"/>
  <c r="AR4" i="20"/>
  <c r="AY26" i="20"/>
  <c r="AY27" i="20" a="1"/>
  <c r="AY27" i="20" s="1"/>
  <c r="AW20" i="20" s="1"/>
  <c r="AX20" i="20" s="1" a="1"/>
  <c r="AX20" i="20" s="1"/>
  <c r="AT9" i="20"/>
  <c r="AS8" i="20"/>
  <c r="AS14" i="20"/>
  <c r="AS9" i="20"/>
  <c r="AT10" i="20"/>
  <c r="AT20" i="20"/>
  <c r="AT21" i="20"/>
  <c r="AT22" i="20"/>
  <c r="AT24" i="20"/>
  <c r="AT27" i="20"/>
  <c r="AT30" i="20"/>
  <c r="AT34" i="20"/>
  <c r="AT38" i="20"/>
  <c r="AT42" i="20"/>
  <c r="AT46" i="20"/>
  <c r="AS53" i="20"/>
  <c r="AT58" i="20"/>
  <c r="AT64" i="20"/>
  <c r="AT70" i="20"/>
  <c r="AT76" i="20"/>
  <c r="AT82" i="20"/>
  <c r="AT88" i="20"/>
  <c r="AT94" i="20"/>
  <c r="AT100" i="20"/>
  <c r="AT106" i="20"/>
  <c r="AT112" i="20"/>
  <c r="AT118" i="20"/>
  <c r="AT124" i="20"/>
  <c r="AT130" i="20"/>
  <c r="AT136" i="20"/>
  <c r="AT142" i="20"/>
  <c r="AT148" i="20"/>
  <c r="AT154" i="20"/>
  <c r="AT160" i="20"/>
  <c r="AT166" i="20"/>
  <c r="AT172" i="20"/>
  <c r="AT178" i="20"/>
  <c r="AT184" i="20"/>
  <c r="AT53" i="20"/>
  <c r="AS59" i="20"/>
  <c r="AS65" i="20"/>
  <c r="AS71" i="20"/>
  <c r="AS77" i="20"/>
  <c r="AS83" i="20"/>
  <c r="AS89" i="20"/>
  <c r="AS95" i="20"/>
  <c r="AS101" i="20"/>
  <c r="AS107" i="20"/>
  <c r="AS113" i="20"/>
  <c r="AS119" i="20"/>
  <c r="AS125" i="20"/>
  <c r="AS131" i="20"/>
  <c r="AS137" i="20"/>
  <c r="AS143" i="20"/>
  <c r="AS149" i="20"/>
  <c r="AS155" i="20"/>
  <c r="AS161" i="20"/>
  <c r="AS167" i="20"/>
  <c r="AS173" i="20"/>
  <c r="AS179" i="20"/>
  <c r="AS185" i="20"/>
  <c r="AT8" i="20"/>
  <c r="AS25" i="20"/>
  <c r="AS31" i="20"/>
  <c r="AS35" i="20"/>
  <c r="AS39" i="20"/>
  <c r="AS43" i="20"/>
  <c r="AS47" i="20"/>
  <c r="AS50" i="20"/>
  <c r="AT59" i="20"/>
  <c r="AT65" i="20"/>
  <c r="AT71" i="20"/>
  <c r="AT77" i="20"/>
  <c r="AT83" i="20"/>
  <c r="AT89" i="20"/>
  <c r="AT95" i="20"/>
  <c r="AT101" i="20"/>
  <c r="AT107" i="20"/>
  <c r="AT113" i="20"/>
  <c r="AT119" i="20"/>
  <c r="AT125" i="20"/>
  <c r="AT131" i="20"/>
  <c r="AT137" i="20"/>
  <c r="AT143" i="20"/>
  <c r="AT149" i="20"/>
  <c r="AT155" i="20"/>
  <c r="AT161" i="20"/>
  <c r="AT167" i="20"/>
  <c r="AT173" i="20"/>
  <c r="AT179" i="20"/>
  <c r="AT185" i="20"/>
  <c r="AT25" i="20"/>
  <c r="AT31" i="20"/>
  <c r="AT35" i="20"/>
  <c r="AT39" i="20"/>
  <c r="AT43" i="20"/>
  <c r="AT47" i="20"/>
  <c r="AT50" i="20"/>
  <c r="AS54" i="20"/>
  <c r="AS60" i="20"/>
  <c r="AS66" i="20"/>
  <c r="AS72" i="20"/>
  <c r="AS78" i="20"/>
  <c r="AS84" i="20"/>
  <c r="AS90" i="20"/>
  <c r="AS96" i="20"/>
  <c r="AS102" i="20"/>
  <c r="AS108" i="20"/>
  <c r="AS114" i="20"/>
  <c r="AS120" i="20"/>
  <c r="AS126" i="20"/>
  <c r="AS132" i="20"/>
  <c r="AS138" i="20"/>
  <c r="AS144" i="20"/>
  <c r="AS150" i="20"/>
  <c r="AS156" i="20"/>
  <c r="AS162" i="20"/>
  <c r="AS168" i="20"/>
  <c r="AS174" i="20"/>
  <c r="AS180" i="20"/>
  <c r="AT54" i="20"/>
  <c r="AT66" i="20"/>
  <c r="AT78" i="20"/>
  <c r="AT90" i="20"/>
  <c r="AT96" i="20"/>
  <c r="AT108" i="20"/>
  <c r="AT114" i="20"/>
  <c r="AT120" i="20"/>
  <c r="AT126" i="20"/>
  <c r="AT132" i="20"/>
  <c r="AT138" i="20"/>
  <c r="AT144" i="20"/>
  <c r="AT150" i="20"/>
  <c r="AT156" i="20"/>
  <c r="AT162" i="20"/>
  <c r="AT168" i="20"/>
  <c r="AT180" i="20"/>
  <c r="AS12" i="20"/>
  <c r="AT60" i="20"/>
  <c r="AT72" i="20"/>
  <c r="AT84" i="20"/>
  <c r="AT102" i="20"/>
  <c r="AT174" i="20"/>
  <c r="AT12" i="20"/>
  <c r="AT14" i="20"/>
  <c r="AT19" i="20"/>
  <c r="AS26" i="20"/>
  <c r="AS28" i="20"/>
  <c r="AS32" i="20"/>
  <c r="AS36" i="20"/>
  <c r="AS40" i="20"/>
  <c r="AS44" i="20"/>
  <c r="AS55" i="20"/>
  <c r="AS61" i="20"/>
  <c r="AS67" i="20"/>
  <c r="AS73" i="20"/>
  <c r="AS79" i="20"/>
  <c r="AS85" i="20"/>
  <c r="AS91" i="20"/>
  <c r="AS97" i="20"/>
  <c r="AS103" i="20"/>
  <c r="AS109" i="20"/>
  <c r="AS115" i="20"/>
  <c r="AS121" i="20"/>
  <c r="AS127" i="20"/>
  <c r="AS133" i="20"/>
  <c r="AS139" i="20"/>
  <c r="AS145" i="20"/>
  <c r="AS151" i="20"/>
  <c r="AS157" i="20"/>
  <c r="AS163" i="20"/>
  <c r="AS169" i="20"/>
  <c r="AS175" i="20"/>
  <c r="AS181" i="20"/>
  <c r="AT26" i="20"/>
  <c r="AT28" i="20"/>
  <c r="AT32" i="20"/>
  <c r="AT36" i="20"/>
  <c r="AT40" i="20"/>
  <c r="AT44" i="20"/>
  <c r="AS51" i="20"/>
  <c r="AT55" i="20"/>
  <c r="AT61" i="20"/>
  <c r="AT67" i="20"/>
  <c r="AT73" i="20"/>
  <c r="AT79" i="20"/>
  <c r="AT85" i="20"/>
  <c r="AT91" i="20"/>
  <c r="AT97" i="20"/>
  <c r="AT103" i="20"/>
  <c r="AT109" i="20"/>
  <c r="AT115" i="20"/>
  <c r="AT121" i="20"/>
  <c r="AT127" i="20"/>
  <c r="AT133" i="20"/>
  <c r="AT139" i="20"/>
  <c r="AT145" i="20"/>
  <c r="AT151" i="20"/>
  <c r="AT157" i="20"/>
  <c r="AT163" i="20"/>
  <c r="AT169" i="20"/>
  <c r="AT175" i="20"/>
  <c r="AT181" i="20"/>
  <c r="AQ7" i="20"/>
  <c r="AT7" i="20" s="1"/>
  <c r="AS48" i="20"/>
  <c r="AT51" i="20"/>
  <c r="AS56" i="20"/>
  <c r="AS62" i="20"/>
  <c r="AS68" i="20"/>
  <c r="AS74" i="20"/>
  <c r="AS80" i="20"/>
  <c r="AS86" i="20"/>
  <c r="AS92" i="20"/>
  <c r="AS98" i="20"/>
  <c r="AS104" i="20"/>
  <c r="AS110" i="20"/>
  <c r="AS116" i="20"/>
  <c r="AS122" i="20"/>
  <c r="AS128" i="20"/>
  <c r="AS134" i="20"/>
  <c r="AS140" i="20"/>
  <c r="AS146" i="20"/>
  <c r="AS152" i="20"/>
  <c r="AS158" i="20"/>
  <c r="AS164" i="20"/>
  <c r="AS170" i="20"/>
  <c r="AS176" i="20"/>
  <c r="AS182" i="20"/>
  <c r="AS23" i="20"/>
  <c r="AS29" i="20"/>
  <c r="AS33" i="20"/>
  <c r="AS37" i="20"/>
  <c r="AS41" i="20"/>
  <c r="AS45" i="20"/>
  <c r="AT48" i="20"/>
  <c r="AT56" i="20"/>
  <c r="AT62" i="20"/>
  <c r="AT68" i="20"/>
  <c r="AT74" i="20"/>
  <c r="AT80" i="20"/>
  <c r="AT86" i="20"/>
  <c r="AT92" i="20"/>
  <c r="AT98" i="20"/>
  <c r="AT104" i="20"/>
  <c r="AT110" i="20"/>
  <c r="AT116" i="20"/>
  <c r="AT122" i="20"/>
  <c r="AT128" i="20"/>
  <c r="AT134" i="20"/>
  <c r="AT140" i="20"/>
  <c r="AT146" i="20"/>
  <c r="AT152" i="20"/>
  <c r="AT158" i="20"/>
  <c r="AT164" i="20"/>
  <c r="AT170" i="20"/>
  <c r="AT176" i="20"/>
  <c r="AT182" i="20"/>
  <c r="AR7" i="20"/>
  <c r="AT23" i="20"/>
  <c r="AT29" i="20"/>
  <c r="AT33" i="20"/>
  <c r="AT37" i="20"/>
  <c r="AT41" i="20"/>
  <c r="AT45" i="20"/>
  <c r="AS52" i="20"/>
  <c r="AS57" i="20"/>
  <c r="AS63" i="20"/>
  <c r="AS69" i="20"/>
  <c r="AS75" i="20"/>
  <c r="AS81" i="20"/>
  <c r="AS87" i="20"/>
  <c r="AS93" i="20"/>
  <c r="AS99" i="20"/>
  <c r="AS105" i="20"/>
  <c r="AS111" i="20"/>
  <c r="AS117" i="20"/>
  <c r="AS123" i="20"/>
  <c r="AS129" i="20"/>
  <c r="AS135" i="20"/>
  <c r="AS141" i="20"/>
  <c r="AS147" i="20"/>
  <c r="AS153" i="20"/>
  <c r="AS159" i="20"/>
  <c r="AS165" i="20"/>
  <c r="AS171" i="20"/>
  <c r="AS177" i="20"/>
  <c r="AS183" i="20"/>
  <c r="AS19" i="20"/>
  <c r="AS17" i="20"/>
  <c r="AT52" i="20"/>
  <c r="AT63" i="20"/>
  <c r="AT75" i="20"/>
  <c r="AT81" i="20"/>
  <c r="AT93" i="20"/>
  <c r="AT99" i="20"/>
  <c r="AT105" i="20"/>
  <c r="AT111" i="20"/>
  <c r="AT117" i="20"/>
  <c r="AT123" i="20"/>
  <c r="AT129" i="20"/>
  <c r="AT135" i="20"/>
  <c r="AT141" i="20"/>
  <c r="AT147" i="20"/>
  <c r="AT153" i="20"/>
  <c r="AT159" i="20"/>
  <c r="AT165" i="20"/>
  <c r="AT171" i="20"/>
  <c r="AT183" i="20"/>
  <c r="AS11" i="20"/>
  <c r="AS13" i="20"/>
  <c r="AS15" i="20"/>
  <c r="AS16" i="20"/>
  <c r="AS18" i="20"/>
  <c r="AS49" i="20"/>
  <c r="AT57" i="20"/>
  <c r="AT69" i="20"/>
  <c r="AT87" i="20"/>
  <c r="AT177" i="20"/>
  <c r="AS10" i="20"/>
  <c r="AT11" i="20"/>
  <c r="AT13" i="20"/>
  <c r="AT15" i="20"/>
  <c r="AT16" i="20"/>
  <c r="AT17" i="20"/>
  <c r="AT18" i="20"/>
  <c r="AS20" i="20"/>
  <c r="AS21" i="20"/>
  <c r="AS22" i="20"/>
  <c r="AS24" i="20"/>
  <c r="AS27" i="20"/>
  <c r="AS30" i="20"/>
  <c r="AS34" i="20"/>
  <c r="AS38" i="20"/>
  <c r="AS42" i="20"/>
  <c r="AS46" i="20"/>
  <c r="AS58" i="20"/>
  <c r="AS64" i="20"/>
  <c r="AS70" i="20"/>
  <c r="AS76" i="20"/>
  <c r="AS82" i="20"/>
  <c r="AS88" i="20"/>
  <c r="AS94" i="20"/>
  <c r="AS100" i="20"/>
  <c r="AS106" i="20"/>
  <c r="AS112" i="20"/>
  <c r="AS118" i="20"/>
  <c r="AS124" i="20"/>
  <c r="AS130" i="20"/>
  <c r="AS136" i="20"/>
  <c r="AS142" i="20"/>
  <c r="AS148" i="20"/>
  <c r="AS154" i="20"/>
  <c r="AS160" i="20"/>
  <c r="AS166" i="20"/>
  <c r="AS172" i="20"/>
  <c r="AS178" i="20"/>
  <c r="L8" i="20"/>
  <c r="L14" i="20"/>
  <c r="L19" i="20"/>
  <c r="L10" i="20"/>
  <c r="L11" i="20"/>
  <c r="L13" i="20"/>
  <c r="K10" i="20"/>
  <c r="L15" i="20"/>
  <c r="L16" i="20"/>
  <c r="L17" i="20"/>
  <c r="L18" i="20"/>
  <c r="L20" i="20"/>
  <c r="L21" i="20"/>
  <c r="L22" i="20"/>
  <c r="AC13" i="20"/>
  <c r="L7" i="20"/>
  <c r="AC8" i="20"/>
  <c r="L12" i="20"/>
  <c r="AF36" i="20" a="1"/>
  <c r="AF36" i="20" s="1"/>
  <c r="AG36" i="20" a="1"/>
  <c r="AG36" i="20" s="1"/>
  <c r="AF35" i="20" a="1"/>
  <c r="AF35" i="20" s="1"/>
  <c r="AH36" i="20" a="1"/>
  <c r="AH36" i="20" s="1"/>
  <c r="AG35" i="20" a="1"/>
  <c r="AG35" i="20" s="1"/>
  <c r="AI36" i="20" a="1"/>
  <c r="AI36" i="20" s="1"/>
  <c r="AH35" i="20" a="1"/>
  <c r="AH35" i="20" s="1"/>
  <c r="AJ36" i="20" a="1"/>
  <c r="AJ36" i="20" s="1"/>
  <c r="Q7" i="20"/>
  <c r="AF34" i="20" a="1"/>
  <c r="AF34" i="20" s="1"/>
  <c r="AI35" i="20" a="1"/>
  <c r="AI35" i="20" s="1"/>
  <c r="AG34" i="20" a="1"/>
  <c r="AG34" i="20" s="1"/>
  <c r="AJ35" i="20" a="1"/>
  <c r="AJ35" i="20" s="1"/>
  <c r="AH34" i="20" a="1"/>
  <c r="AH34" i="20" s="1"/>
  <c r="AI34" i="20" a="1"/>
  <c r="AI34" i="20" s="1"/>
  <c r="AJ34" i="20" a="1"/>
  <c r="AJ34" i="20" s="1"/>
  <c r="K6" i="20"/>
  <c r="AC11" i="20"/>
  <c r="AC15" i="20"/>
  <c r="AC25" i="20"/>
  <c r="AC34" i="20"/>
  <c r="K11" i="20"/>
  <c r="K15" i="20"/>
  <c r="L6" i="20"/>
  <c r="K7" i="20"/>
  <c r="K8" i="20"/>
  <c r="K13" i="20"/>
  <c r="K17" i="20"/>
  <c r="K19" i="20"/>
  <c r="AC31" i="20"/>
  <c r="AC49" i="20"/>
  <c r="K21" i="20"/>
  <c r="AC35" i="20"/>
  <c r="AC14" i="20"/>
  <c r="AC20" i="20"/>
  <c r="AC22" i="20"/>
  <c r="AC24" i="20"/>
  <c r="AC38" i="20"/>
  <c r="AC41" i="20"/>
  <c r="AC44" i="20"/>
  <c r="AC47" i="20"/>
  <c r="AC52" i="20"/>
  <c r="AC30" i="20"/>
  <c r="AC36" i="20"/>
  <c r="K9" i="20"/>
  <c r="AC16" i="20"/>
  <c r="L9" i="20"/>
  <c r="K12" i="20"/>
  <c r="K18" i="20"/>
  <c r="AC17" i="20"/>
  <c r="AC19" i="20"/>
  <c r="AC23" i="20"/>
  <c r="AC37" i="20"/>
  <c r="AC50" i="20"/>
  <c r="AC21" i="20"/>
  <c r="AC29" i="20"/>
  <c r="AC39" i="20"/>
  <c r="AC42" i="20"/>
  <c r="AC45" i="20"/>
  <c r="AC53" i="20"/>
  <c r="AC33" i="20"/>
  <c r="AC7" i="20"/>
  <c r="AC9" i="20"/>
  <c r="AB6" i="20"/>
  <c r="AC12" i="20"/>
  <c r="AC18" i="20"/>
  <c r="AC26" i="20"/>
  <c r="AC27" i="20"/>
  <c r="AC48" i="20"/>
  <c r="AC10" i="20"/>
  <c r="K14" i="20"/>
  <c r="K16" i="20"/>
  <c r="K20" i="20"/>
  <c r="K22" i="20"/>
  <c r="AC28" i="20"/>
  <c r="AC32" i="20"/>
  <c r="AC40" i="20"/>
  <c r="AC43" i="20"/>
  <c r="AC46" i="20"/>
  <c r="AC51" i="20"/>
  <c r="C48" i="20"/>
  <c r="B49" i="20"/>
  <c r="CH8" i="20" l="1"/>
  <c r="CC7" i="20"/>
  <c r="CE6" i="20"/>
  <c r="CF6" i="20"/>
  <c r="CG6" i="20"/>
  <c r="BQ11" i="20"/>
  <c r="BH6" i="20"/>
  <c r="BL9" i="20"/>
  <c r="BL7" i="20"/>
  <c r="BL8" i="20"/>
  <c r="BL10" i="20"/>
  <c r="AW15" i="20"/>
  <c r="AX15" i="20" s="1" a="1"/>
  <c r="AX15" i="20" s="1"/>
  <c r="AW16" i="20"/>
  <c r="AX16" i="20" s="1" a="1"/>
  <c r="AX16" i="20" s="1"/>
  <c r="AW17" i="20"/>
  <c r="AX17" i="20" s="1" a="1"/>
  <c r="AX17" i="20" s="1"/>
  <c r="AW21" i="20"/>
  <c r="AX21" i="20" s="1" a="1"/>
  <c r="AX21" i="20" s="1"/>
  <c r="AW22" i="20"/>
  <c r="AX22" i="20" s="1" a="1"/>
  <c r="AX22" i="20" s="1"/>
  <c r="AR3" i="20"/>
  <c r="AS7" i="20"/>
  <c r="AS3" i="20" s="1"/>
  <c r="AU22" i="20"/>
  <c r="AV22" i="20" s="1" a="1"/>
  <c r="AV22" i="20" s="1"/>
  <c r="AU21" i="20"/>
  <c r="AV21" i="20" s="1" a="1"/>
  <c r="AV21" i="20" s="1"/>
  <c r="AU20" i="20"/>
  <c r="AV20" i="20" s="1" a="1"/>
  <c r="AV20" i="20" s="1"/>
  <c r="AU17" i="20"/>
  <c r="AV17" i="20" s="1" a="1"/>
  <c r="AV17" i="20" s="1"/>
  <c r="AU16" i="20"/>
  <c r="AV16" i="20" s="1" a="1"/>
  <c r="AV16" i="20" s="1"/>
  <c r="AU15" i="20"/>
  <c r="AV15" i="20" s="1" a="1"/>
  <c r="AV15" i="20" s="1"/>
  <c r="AF37" i="20"/>
  <c r="AH37" i="20"/>
  <c r="AG37" i="20"/>
  <c r="AC6" i="20"/>
  <c r="AC55" i="20" s="1"/>
  <c r="AB56" i="20" s="1"/>
  <c r="AB55" i="20"/>
  <c r="AJ37" i="20"/>
  <c r="AI37" i="20"/>
  <c r="C53" i="20"/>
  <c r="CE7" i="20" l="1"/>
  <c r="CH6" i="20"/>
  <c r="CC4" i="20" s="1"/>
  <c r="CF7" i="20"/>
  <c r="CD7" i="20"/>
  <c r="CG7" i="20"/>
  <c r="BO10" i="20"/>
  <c r="BO8" i="20"/>
  <c r="BM7" i="20"/>
  <c r="BO7" i="20"/>
  <c r="BP7" i="20"/>
  <c r="BN7" i="20"/>
  <c r="BN10" i="20"/>
  <c r="BP10" i="20"/>
  <c r="BM10" i="20"/>
  <c r="BL6" i="20"/>
  <c r="BN8" i="20"/>
  <c r="BM8" i="20"/>
  <c r="BP8" i="20"/>
  <c r="BM9" i="20"/>
  <c r="BN9" i="20"/>
  <c r="BP9" i="20"/>
  <c r="BO9" i="20"/>
  <c r="AR2" i="20"/>
  <c r="D49" i="20"/>
  <c r="D51" i="20"/>
  <c r="D50" i="20"/>
  <c r="D48" i="20"/>
  <c r="BP6" i="20" l="1"/>
  <c r="BL11" i="20"/>
  <c r="BO6" i="20"/>
  <c r="BM6" i="20"/>
  <c r="BN6" i="20"/>
  <c r="D53" i="20"/>
  <c r="BK4" i="20"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7B7D1D75-BDF3-4B90-A840-522CAC23CED0}"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EAB65095-3EBB-4977-9090-CC5BEC3C84EF}" name="WorksheetConnection_Superstore Raw Data.xlsx!Table_1" type="102" refreshedVersion="8" minRefreshableVersion="5">
    <extLst>
      <ext xmlns:x15="http://schemas.microsoft.com/office/spreadsheetml/2010/11/main" uri="{DE250136-89BD-433C-8126-D09CA5730AF9}">
        <x15:connection id="Table_1" autoDelete="1">
          <x15:rangePr sourceName="_xlcn.WorksheetConnection_SuperstoreRawData.xlsxTable_1"/>
        </x15:connection>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<sst xmlns="http://schemas.openxmlformats.org/spreadsheetml/2006/main" count="25667" uniqueCount="3112">
  <si>
    <t>Customer ID</t>
  </si>
  <si>
    <t>Customer Name</t>
  </si>
  <si>
    <t>Order Priority</t>
  </si>
  <si>
    <t>Discount</t>
  </si>
  <si>
    <t>Unit Price</t>
  </si>
  <si>
    <t>Shipping Cost</t>
  </si>
  <si>
    <t>Ship Mode</t>
  </si>
  <si>
    <t>Customer Segment</t>
  </si>
  <si>
    <t>Product Category</t>
  </si>
  <si>
    <t>Product Sub-Category</t>
  </si>
  <si>
    <t>Product Container</t>
  </si>
  <si>
    <t>Product Name</t>
  </si>
  <si>
    <t>Product Base Margin</t>
  </si>
  <si>
    <t>Country</t>
  </si>
  <si>
    <t>Region</t>
  </si>
  <si>
    <t>State or Province</t>
  </si>
  <si>
    <t>City</t>
  </si>
  <si>
    <t>Postal Code</t>
  </si>
  <si>
    <t>Order Date</t>
  </si>
  <si>
    <t>Ship Date</t>
  </si>
  <si>
    <t>Profit</t>
  </si>
  <si>
    <t>Quantity ordered new</t>
  </si>
  <si>
    <t>Sales</t>
  </si>
  <si>
    <t>Order ID</t>
  </si>
  <si>
    <t>Manager</t>
  </si>
  <si>
    <t>Gary Koch</t>
  </si>
  <si>
    <t>Critical</t>
  </si>
  <si>
    <t>Delivery Truck</t>
  </si>
  <si>
    <t>Small Business</t>
  </si>
  <si>
    <t>Furniture</t>
  </si>
  <si>
    <t>Tables</t>
  </si>
  <si>
    <t>Jumbo Box</t>
  </si>
  <si>
    <t>Bretford CR4500 Series Slim Rectangular Table</t>
  </si>
  <si>
    <t>United States</t>
  </si>
  <si>
    <t>South</t>
  </si>
  <si>
    <t>Mississippi</t>
  </si>
  <si>
    <t>Clinton</t>
  </si>
  <si>
    <t>Paige Powers</t>
  </si>
  <si>
    <t>High</t>
  </si>
  <si>
    <t>Regular Air</t>
  </si>
  <si>
    <t>Consumer</t>
  </si>
  <si>
    <t>Technology</t>
  </si>
  <si>
    <t>Computer Peripherals</t>
  </si>
  <si>
    <t>Small Pack</t>
  </si>
  <si>
    <t>Verbatim DVD-RAM, 9.4GB, Rewritable, Type 1, DS, DataLife Plus</t>
  </si>
  <si>
    <t>Arkansas</t>
  </si>
  <si>
    <t>West Memphis</t>
  </si>
  <si>
    <t>Rebecca Lindsey</t>
  </si>
  <si>
    <t>Low</t>
  </si>
  <si>
    <t>Office Supplies</t>
  </si>
  <si>
    <t>Pens &amp; Art Supplies</t>
  </si>
  <si>
    <t>Wrap Bag</t>
  </si>
  <si>
    <t>*Staples* Highlighting Markers</t>
  </si>
  <si>
    <t>Central</t>
  </si>
  <si>
    <t>Indiana</t>
  </si>
  <si>
    <t>Kokomo</t>
  </si>
  <si>
    <t>Gregory Crane</t>
  </si>
  <si>
    <t>Office Machines</t>
  </si>
  <si>
    <t>Jumbo Drum</t>
  </si>
  <si>
    <t>Lexmark 4227 Plus Dot Matrix Printer</t>
  </si>
  <si>
    <t>West</t>
  </si>
  <si>
    <t>Colorado</t>
  </si>
  <si>
    <t>Fort Collins</t>
  </si>
  <si>
    <t>Tamara Dickinson</t>
  </si>
  <si>
    <t>Copiers and Fax</t>
  </si>
  <si>
    <t>Large Box</t>
  </si>
  <si>
    <t>Canon PC940 Copier</t>
  </si>
  <si>
    <t>Washington</t>
  </si>
  <si>
    <t>Mount Vernon</t>
  </si>
  <si>
    <t>Newell 312</t>
  </si>
  <si>
    <t>Sean Stephenson</t>
  </si>
  <si>
    <t>Home Office</t>
  </si>
  <si>
    <t>Binders and Binder Accessories</t>
  </si>
  <si>
    <t>Small Box</t>
  </si>
  <si>
    <t>Binding Machine Supplies</t>
  </si>
  <si>
    <t>Georgia</t>
  </si>
  <si>
    <t>Peachtree City</t>
  </si>
  <si>
    <t>Albert Frost</t>
  </si>
  <si>
    <t>Storage &amp; Organization</t>
  </si>
  <si>
    <t>Fellowes Super Stor/Drawer® Files</t>
  </si>
  <si>
    <t>Missouri</t>
  </si>
  <si>
    <t>Raytown</t>
  </si>
  <si>
    <t>Jane Shah</t>
  </si>
  <si>
    <t>Avery Trapezoid Ring Binder, 3" Capacity, Black, 1040 sheets</t>
  </si>
  <si>
    <t>Minnesota</t>
  </si>
  <si>
    <t>Prior Lake</t>
  </si>
  <si>
    <t>Alex Nicholson</t>
  </si>
  <si>
    <t>Express Air</t>
  </si>
  <si>
    <t>Paper</t>
  </si>
  <si>
    <t>Black Print Carbonless Snap-Off® Rapid Letter, 8 1/2" x 7"</t>
  </si>
  <si>
    <t>California</t>
  </si>
  <si>
    <t>Montebello</t>
  </si>
  <si>
    <t>White GlueTop Scratch Pads</t>
  </si>
  <si>
    <t>Lloyd Levin</t>
  </si>
  <si>
    <t>Corporate</t>
  </si>
  <si>
    <t>Appliances</t>
  </si>
  <si>
    <t>Tripp Lite Isotel 6 Outlet Surge Protector with Fax/Modem Protection</t>
  </si>
  <si>
    <t>North Carolina</t>
  </si>
  <si>
    <t>New Bern</t>
  </si>
  <si>
    <t>Ernest Oh</t>
  </si>
  <si>
    <t>Los Angeles</t>
  </si>
  <si>
    <t>Carmen McPherson</t>
  </si>
  <si>
    <t>Epson LQ-570e Dot Matrix Printer</t>
  </si>
  <si>
    <t>Illinois</t>
  </si>
  <si>
    <t>Carol Stream</t>
  </si>
  <si>
    <t>Ellen McCormick</t>
  </si>
  <si>
    <t>Dual Level, Single-Width Filing Carts</t>
  </si>
  <si>
    <t>Napa</t>
  </si>
  <si>
    <t>Scott Bunn</t>
  </si>
  <si>
    <t>Chairs &amp; Chairmats</t>
  </si>
  <si>
    <t>Hon 4070 Series Pagoda™ Armless Upholstered Stacking Chairs</t>
  </si>
  <si>
    <t>East</t>
  </si>
  <si>
    <t>New York</t>
  </si>
  <si>
    <t>New York City</t>
  </si>
  <si>
    <t>Hon Valutask™ Swivel Chairs</t>
  </si>
  <si>
    <t>Robin Kramer Vaughn</t>
  </si>
  <si>
    <t>Medium</t>
  </si>
  <si>
    <t>Bookcases</t>
  </si>
  <si>
    <t>Bush Westfield Collection Bookcases, Fully Assembled</t>
  </si>
  <si>
    <t>Richland</t>
  </si>
  <si>
    <t>Xerox 1952</t>
  </si>
  <si>
    <t>Allan Shields</t>
  </si>
  <si>
    <t>Maxell Pro 80 Minute CD-R, 10/Pack</t>
  </si>
  <si>
    <t>Florida</t>
  </si>
  <si>
    <t>Seminole</t>
  </si>
  <si>
    <t>Kim Weiss</t>
  </si>
  <si>
    <t>Office Furnishings</t>
  </si>
  <si>
    <t>GE 48" Fluorescent Tube, Cool White Energy Saver, 34 Watts, 30/Box</t>
  </si>
  <si>
    <t>Miami</t>
  </si>
  <si>
    <t>Juanita Coley Knox</t>
  </si>
  <si>
    <t>Watertown</t>
  </si>
  <si>
    <t>Roger Schwartz</t>
  </si>
  <si>
    <t>Xerox 4200 Series MultiUse Premium Copy Paper (20Lb. and 84 Bright)</t>
  </si>
  <si>
    <t>Nebraska</t>
  </si>
  <si>
    <t>Kearney</t>
  </si>
  <si>
    <t>Telephones and Communication</t>
  </si>
  <si>
    <t>T18</t>
  </si>
  <si>
    <t>Ron Newton</t>
  </si>
  <si>
    <t>Dixon Prang® Watercolor Pencils, 10-Color Set with Brush</t>
  </si>
  <si>
    <t>Oregon</t>
  </si>
  <si>
    <t>Lake Oswego</t>
  </si>
  <si>
    <t>Linda Weiss</t>
  </si>
  <si>
    <t>Seattle</t>
  </si>
  <si>
    <t>Anna Burgess</t>
  </si>
  <si>
    <t>Medium Box</t>
  </si>
  <si>
    <t>36X48 HARDFLOOR CHAIRMAT</t>
  </si>
  <si>
    <t>Utah</t>
  </si>
  <si>
    <t>Draper</t>
  </si>
  <si>
    <t>Mary Hewitt</t>
  </si>
  <si>
    <t>Bush Mission Pointe Library</t>
  </si>
  <si>
    <t>Gladstone</t>
  </si>
  <si>
    <t>Beth Dolan</t>
  </si>
  <si>
    <t>Labels</t>
  </si>
  <si>
    <t>Round Specialty Laser Printer Labels</t>
  </si>
  <si>
    <t>Panama City</t>
  </si>
  <si>
    <t>Bevis Round Conference Table Top &amp; Single Column Base</t>
  </si>
  <si>
    <t>Joe Baldwin</t>
  </si>
  <si>
    <t>Troy Casey</t>
  </si>
  <si>
    <t>Xerox 227</t>
  </si>
  <si>
    <t>Edina</t>
  </si>
  <si>
    <t>Lucille Gibbons</t>
  </si>
  <si>
    <t>Peel-Off® China Markers</t>
  </si>
  <si>
    <t>Marshall Sutherland</t>
  </si>
  <si>
    <t>Bush Advantage Collection® Round Conference Table</t>
  </si>
  <si>
    <t>Alabama</t>
  </si>
  <si>
    <t>Phenix City</t>
  </si>
  <si>
    <t>Janice Cole</t>
  </si>
  <si>
    <t>Fellowes Mobile Numeric Keypad, Graphite</t>
  </si>
  <si>
    <t>Louisiana</t>
  </si>
  <si>
    <t>Baton Rouge</t>
  </si>
  <si>
    <t>Polycom ViaVideo™ Desktop Video Communications Unit</t>
  </si>
  <si>
    <t>Staples Wirebound Steno Books, 6" x 9", 12/Pack</t>
  </si>
  <si>
    <t>Miriam Greenberg</t>
  </si>
  <si>
    <t>Riverleaf Stik-Withit® Designer Note Cubes®</t>
  </si>
  <si>
    <t>Valparaiso</t>
  </si>
  <si>
    <t>Matthew Conway</t>
  </si>
  <si>
    <t>Rubber Bands</t>
  </si>
  <si>
    <t>Binder Clips by OIC</t>
  </si>
  <si>
    <t>Ithaca</t>
  </si>
  <si>
    <t>Danny Hong</t>
  </si>
  <si>
    <t>Panasonic KX-P2130 Dot Matrix Printer</t>
  </si>
  <si>
    <t>Layton</t>
  </si>
  <si>
    <t>Eddie Walker</t>
  </si>
  <si>
    <t>Okidata ML320 Series Turbo Dot Matrix Printers</t>
  </si>
  <si>
    <t>Brooklyn Park</t>
  </si>
  <si>
    <t>Maureen Stout</t>
  </si>
  <si>
    <t>Cardinal Poly Pocket Divider Pockets for Ring Binders</t>
  </si>
  <si>
    <t>Texas</t>
  </si>
  <si>
    <t>Pharr</t>
  </si>
  <si>
    <t>"While you Were Out" Message Book, One Form per Page</t>
  </si>
  <si>
    <t>Carol Sherrill</t>
  </si>
  <si>
    <t>Office Star - Professional Matrix Back Chair with 2-to-1 Synchro Tilt and Mesh Fabric Seat</t>
  </si>
  <si>
    <t>Bryan</t>
  </si>
  <si>
    <t>Debbie Dillon</t>
  </si>
  <si>
    <t>Eldon Antistatic Chair Mats for Low to Medium Pile Carpets</t>
  </si>
  <si>
    <t>Roswell</t>
  </si>
  <si>
    <t>Marion Wilcox</t>
  </si>
  <si>
    <t>Burleson</t>
  </si>
  <si>
    <t>Russell Chan</t>
  </si>
  <si>
    <t>Hoover WindTunnel™ Plus Canister Vacuum</t>
  </si>
  <si>
    <t>Waco</t>
  </si>
  <si>
    <t>Billie Fowler</t>
  </si>
  <si>
    <t>Metal Folding Chairs, Beige, 4/Carton</t>
  </si>
  <si>
    <t>Bedford</t>
  </si>
  <si>
    <t>232</t>
  </si>
  <si>
    <t>Betsy Puckett</t>
  </si>
  <si>
    <t>Electrix Halogen Magnifier Lamp</t>
  </si>
  <si>
    <t>Oklahoma</t>
  </si>
  <si>
    <t>Norman</t>
  </si>
  <si>
    <t>Luxo Professional Fluorescent Magnifier Lamp with Clamp-Mount Base</t>
  </si>
  <si>
    <t>Panasonic KX-P1150 Dot Matrix Printer</t>
  </si>
  <si>
    <t>Bobby Powell</t>
  </si>
  <si>
    <t>Memorex 4.7GB DVD+RW, 3/Pack</t>
  </si>
  <si>
    <t>Iowa</t>
  </si>
  <si>
    <t>Fort Dodge</t>
  </si>
  <si>
    <t>3285</t>
  </si>
  <si>
    <t>Guy McDonald</t>
  </si>
  <si>
    <t>Canon S750 Color Inkjet Printer</t>
  </si>
  <si>
    <t>Mount Prospect</t>
  </si>
  <si>
    <t>Joyce Murray</t>
  </si>
  <si>
    <t>GBC Instant Index™ System for Binding Systems</t>
  </si>
  <si>
    <t>Los Altos</t>
  </si>
  <si>
    <t>Avery 514</t>
  </si>
  <si>
    <t>Keith Marsh</t>
  </si>
  <si>
    <t>Carina Double Wide Media Storage Towers in Natural &amp; Black</t>
  </si>
  <si>
    <t>Tennsco Snap-Together Open Shelving Units, Starter Sets and Add-On Units</t>
  </si>
  <si>
    <t>Marion Lindsey</t>
  </si>
  <si>
    <t>Commerce City</t>
  </si>
  <si>
    <t>Elisabeth Shaw</t>
  </si>
  <si>
    <t>Perma STOR-ALL™ Hanging File Box, 13 1/8"W x 12 1/4"D x 10 1/2"H</t>
  </si>
  <si>
    <t>Ormond Beach</t>
  </si>
  <si>
    <t>Ted Dunlap</t>
  </si>
  <si>
    <t>Rediform Wirebound "Phone Memo" Message Book, 11 x 5-3/4</t>
  </si>
  <si>
    <t>Deer Park</t>
  </si>
  <si>
    <t>Melinda Rogers</t>
  </si>
  <si>
    <t>Hon Deluxe Fabric Upholstered Stacking Chairs, Rounded Back</t>
  </si>
  <si>
    <t>Dubuque</t>
  </si>
  <si>
    <t>Derek Jernigan</t>
  </si>
  <si>
    <t>Riverside Palais Royal Lawyers Bookcase, Royale Cherry Finish</t>
  </si>
  <si>
    <t>Galesburg</t>
  </si>
  <si>
    <t>Kyle Fink</t>
  </si>
  <si>
    <t>Sanford EarthWrite® Recycled Pencils, Medium Soft, #2</t>
  </si>
  <si>
    <t>Virginia</t>
  </si>
  <si>
    <t>Petersburg</t>
  </si>
  <si>
    <t>Lawrence Dennis</t>
  </si>
  <si>
    <t>Newell 342</t>
  </si>
  <si>
    <t>San Clemente</t>
  </si>
  <si>
    <t>Carlos Byrd</t>
  </si>
  <si>
    <t>Connecticut</t>
  </si>
  <si>
    <t>Bristol</t>
  </si>
  <si>
    <t>Stacey Lucas</t>
  </si>
  <si>
    <t>Wilson Jones Hanging View Binder, White, 1"</t>
  </si>
  <si>
    <t>Cedar Falls</t>
  </si>
  <si>
    <t>Fellowes Basic 104-Key Keyboard, Platinum</t>
  </si>
  <si>
    <t>Suzanne Cochran</t>
  </si>
  <si>
    <t>Ibico Recycled Linen-Style Covers</t>
  </si>
  <si>
    <t>Cedar Rapids</t>
  </si>
  <si>
    <t>Self-Adhesive Ring Binder Labels</t>
  </si>
  <si>
    <t>Tenex File Box, Personal Filing Tote with Lid, Black</t>
  </si>
  <si>
    <t>Courtney Boyd</t>
  </si>
  <si>
    <t>Tennsco Commercial Shelving</t>
  </si>
  <si>
    <t>Fairfax</t>
  </si>
  <si>
    <t>Anna Wood</t>
  </si>
  <si>
    <t>Utica</t>
  </si>
  <si>
    <t>252</t>
  </si>
  <si>
    <t>Carrie McIntosh</t>
  </si>
  <si>
    <t>GBC VeloBinder Strips</t>
  </si>
  <si>
    <t>Royal Palm Beach</t>
  </si>
  <si>
    <t>G.E. Longer-Life Indoor Recessed Floodlight Bulbs</t>
  </si>
  <si>
    <t>Lee McKenna Gregory</t>
  </si>
  <si>
    <t>Novimex Swivel Fabric Task Chair</t>
  </si>
  <si>
    <t>South Carolina</t>
  </si>
  <si>
    <t>Hilton Head Island</t>
  </si>
  <si>
    <t>Eldon Portable Mobile Manager</t>
  </si>
  <si>
    <t>Accessory35</t>
  </si>
  <si>
    <t>Leslie Shannon</t>
  </si>
  <si>
    <t>Xerox 1986</t>
  </si>
  <si>
    <t>Montana</t>
  </si>
  <si>
    <t>Butte</t>
  </si>
  <si>
    <t>Glen Robertson</t>
  </si>
  <si>
    <t>Belkin F9M820V08 8 Outlet Surge</t>
  </si>
  <si>
    <t>Coon Rapids</t>
  </si>
  <si>
    <t>Holmes HEPA Air Purifier</t>
  </si>
  <si>
    <t>Ricky Garner</t>
  </si>
  <si>
    <t>BASF Silver 74 Minute CD-R</t>
  </si>
  <si>
    <t>Herndon</t>
  </si>
  <si>
    <t>Xerox 19</t>
  </si>
  <si>
    <t>Howard Rogers</t>
  </si>
  <si>
    <t>Coloredge Poster Frame</t>
  </si>
  <si>
    <t>Michigan</t>
  </si>
  <si>
    <t>Southgate</t>
  </si>
  <si>
    <t>Bonnie Potter</t>
  </si>
  <si>
    <t>SANFORD Liquid Accent™ Tank-Style Highlighters</t>
  </si>
  <si>
    <t>Anacortes</t>
  </si>
  <si>
    <t>Leah Clapp</t>
  </si>
  <si>
    <t>GBC Pre-Punched Binding Paper, Plastic, White, 8-1/2" x 11"</t>
  </si>
  <si>
    <t>Nevada</t>
  </si>
  <si>
    <t>Las Vegas</t>
  </si>
  <si>
    <t>i1000</t>
  </si>
  <si>
    <t>Jackie Capps</t>
  </si>
  <si>
    <t>Master Caster Door Stop, Brown</t>
  </si>
  <si>
    <t>San Carlos</t>
  </si>
  <si>
    <t>Jamie Manning</t>
  </si>
  <si>
    <t>Melrose Park</t>
  </si>
  <si>
    <t>Carole Creech</t>
  </si>
  <si>
    <t>File Shuttle II and Handi-File, Black</t>
  </si>
  <si>
    <t>Lake Worth</t>
  </si>
  <si>
    <t>James Hunter</t>
  </si>
  <si>
    <t>Keytronic French Keyboard</t>
  </si>
  <si>
    <t>Lubbock</t>
  </si>
  <si>
    <t>Don Rogers</t>
  </si>
  <si>
    <t>Avery Reinforcements for Hole-Punch Pages</t>
  </si>
  <si>
    <t>Franklin Square</t>
  </si>
  <si>
    <t>Canon PC1060 Personal Laser Copier</t>
  </si>
  <si>
    <t>Polycom ViewStation™ ISDN Videoconferencing Unit</t>
  </si>
  <si>
    <t>Peter Hardy</t>
  </si>
  <si>
    <t>O'Sullivan Cherrywood Estates Traditional Barrister Bookcase</t>
  </si>
  <si>
    <t>Ohio</t>
  </si>
  <si>
    <t>Stow</t>
  </si>
  <si>
    <t>Andrew Levine</t>
  </si>
  <si>
    <t>Pennsylvania</t>
  </si>
  <si>
    <t>Philadelphia</t>
  </si>
  <si>
    <t>Eugene Clayton</t>
  </si>
  <si>
    <t>GBC DocuBind TL300 Electric Binding System</t>
  </si>
  <si>
    <t>Edmonds</t>
  </si>
  <si>
    <t>Robyn Lyon</t>
  </si>
  <si>
    <t>Avery 491</t>
  </si>
  <si>
    <t>Garfield Heights</t>
  </si>
  <si>
    <t>Executive Impressions 14" Two-Color Numerals Wall Clock</t>
  </si>
  <si>
    <t>Pauline Brooks</t>
  </si>
  <si>
    <t>Fellowes Black Plastic Comb Bindings</t>
  </si>
  <si>
    <t>Maine</t>
  </si>
  <si>
    <t>Sanford</t>
  </si>
  <si>
    <t>Nathan Fox</t>
  </si>
  <si>
    <t>Acco 6 Outlet Guardian Premium Surge Suppressor</t>
  </si>
  <si>
    <t>Myrtle Beach</t>
  </si>
  <si>
    <t>Judy Singer</t>
  </si>
  <si>
    <t>VTech VT20-2481 2.4GHz Two-Line Phone System w/Answering Machine</t>
  </si>
  <si>
    <t>Neil Parker</t>
  </si>
  <si>
    <t>Boston School Pro Electric Pencil Sharpener, 1670</t>
  </si>
  <si>
    <t>Decatur</t>
  </si>
  <si>
    <t>Brad Stark</t>
  </si>
  <si>
    <t>GBC DocuBind 300 Electric Binding Machine</t>
  </si>
  <si>
    <t>Eden</t>
  </si>
  <si>
    <t>Melvin Benton</t>
  </si>
  <si>
    <t>Envelopes</t>
  </si>
  <si>
    <t>Staples Brown Kraft Recycled Clasp Envelopes</t>
  </si>
  <si>
    <t>Encinitas</t>
  </si>
  <si>
    <t>4009® Highlighters by Sanford</t>
  </si>
  <si>
    <t>Gerald Love</t>
  </si>
  <si>
    <t>Boston 16765 Mini Stand Up Battery Pencil Sharpener</t>
  </si>
  <si>
    <t>Gilroy</t>
  </si>
  <si>
    <t>Chris F Brandt</t>
  </si>
  <si>
    <t>M70</t>
  </si>
  <si>
    <t>King of Prussia</t>
  </si>
  <si>
    <t>Karl Knowles</t>
  </si>
  <si>
    <t>12 Colored Short Pencils</t>
  </si>
  <si>
    <t>Wisconsin</t>
  </si>
  <si>
    <t>Madison</t>
  </si>
  <si>
    <t>Herbert Holden</t>
  </si>
  <si>
    <t>Avery 05222 Permanent Self-Adhesive File Folder Labels for Typewriters, on Rolls, White, 250/Roll</t>
  </si>
  <si>
    <t>Atlanta</t>
  </si>
  <si>
    <t>Sherri P Stephens</t>
  </si>
  <si>
    <t>Lawton</t>
  </si>
  <si>
    <t>Harry Sellers</t>
  </si>
  <si>
    <t>Acco PRESSTEX® Data Binder with Storage Hooks, Dark Blue, 9 1/2" X 11"</t>
  </si>
  <si>
    <t>Pasadena</t>
  </si>
  <si>
    <t>Newell 337</t>
  </si>
  <si>
    <t>Melanie Knight</t>
  </si>
  <si>
    <t>Newell 339</t>
  </si>
  <si>
    <t>Augusta</t>
  </si>
  <si>
    <t>EcoTones® Memo Sheets</t>
  </si>
  <si>
    <t>Gail Rankin Cole</t>
  </si>
  <si>
    <t>Document Clip Frames</t>
  </si>
  <si>
    <t>District of Columbia</t>
  </si>
  <si>
    <t>Jennifer Siegel</t>
  </si>
  <si>
    <t>Denton</t>
  </si>
  <si>
    <t>Sherri F Vogel</t>
  </si>
  <si>
    <t>Hon Metal Bookcases, Putty</t>
  </si>
  <si>
    <t>East Lansing</t>
  </si>
  <si>
    <t>Newell 309</t>
  </si>
  <si>
    <t>Canon PC1080F Personal Copier</t>
  </si>
  <si>
    <t>Newell 318</t>
  </si>
  <si>
    <t>Philip Hawkins</t>
  </si>
  <si>
    <t>Fellowes Internet Keyboard, Platinum</t>
  </si>
  <si>
    <t>Hazelwood</t>
  </si>
  <si>
    <t>Sylvia Kumar</t>
  </si>
  <si>
    <t>Panasonic KX-P3200 Dot Matrix Printer</t>
  </si>
  <si>
    <t>Kentucky</t>
  </si>
  <si>
    <t>Pleasure Ridge Park</t>
  </si>
  <si>
    <t>Cameron Kendall</t>
  </si>
  <si>
    <t>Imation 3.5, DISKETTE 44766 HGHLD3.52HD/FM, 10/Pack</t>
  </si>
  <si>
    <t>Pittsburgh</t>
  </si>
  <si>
    <t>Tammy Goldman</t>
  </si>
  <si>
    <t>Xerox 1996</t>
  </si>
  <si>
    <t>Lehi</t>
  </si>
  <si>
    <t>Dorothy Buchanan</t>
  </si>
  <si>
    <t>New Jersey</t>
  </si>
  <si>
    <t>Bayonne</t>
  </si>
  <si>
    <t>Vicki Hauser</t>
  </si>
  <si>
    <t>Tennessee</t>
  </si>
  <si>
    <t>Lebanon</t>
  </si>
  <si>
    <t>Marc Nash</t>
  </si>
  <si>
    <t>Massachusetts</t>
  </si>
  <si>
    <t>Bellingham</t>
  </si>
  <si>
    <t>Maria Thomas</t>
  </si>
  <si>
    <t>Tensor "Hersey Kiss" Styled Floor Lamp</t>
  </si>
  <si>
    <t>Beverly</t>
  </si>
  <si>
    <t>Craig Bennett</t>
  </si>
  <si>
    <t>Holmes Odor Grabber</t>
  </si>
  <si>
    <t>Hanson</t>
  </si>
  <si>
    <t>Marion Bowling</t>
  </si>
  <si>
    <t>Eldon Image Series Black Desk Accessories</t>
  </si>
  <si>
    <t>Hawthorne</t>
  </si>
  <si>
    <t>Tony Doyle</t>
  </si>
  <si>
    <t>Xerox 188</t>
  </si>
  <si>
    <t>Trenton</t>
  </si>
  <si>
    <t>April Henson</t>
  </si>
  <si>
    <t>Maryland</t>
  </si>
  <si>
    <t>Gaithersburg</t>
  </si>
  <si>
    <t>Prang Dustless Chalk Sticks</t>
  </si>
  <si>
    <t>Helen H Murphy</t>
  </si>
  <si>
    <t>Avery 51</t>
  </si>
  <si>
    <t>6185</t>
  </si>
  <si>
    <t>Harriet Hodges</t>
  </si>
  <si>
    <t>Lexmark Z55se Color Inkjet Printer</t>
  </si>
  <si>
    <t>Jordan Berry</t>
  </si>
  <si>
    <t>Altoona</t>
  </si>
  <si>
    <t>Sidney Greenberg</t>
  </si>
  <si>
    <t>3M Polarizing Task Lamp with Clamp Arm, Light Gray</t>
  </si>
  <si>
    <t>Salinas</t>
  </si>
  <si>
    <t>Christian Albright</t>
  </si>
  <si>
    <t>Eldon Expressions Mahogany Wood Desk Collection</t>
  </si>
  <si>
    <t>Smyrna</t>
  </si>
  <si>
    <t>Joann Moser</t>
  </si>
  <si>
    <t>Atlantic Metals Mobile 3-Shelf Bookcases, Custom Colors</t>
  </si>
  <si>
    <t>Spring Hill</t>
  </si>
  <si>
    <t>Robyn Zhou</t>
  </si>
  <si>
    <t>Global Leather Executive Chair</t>
  </si>
  <si>
    <t>Englewood</t>
  </si>
  <si>
    <t>#10- 4 1/8" x 9 1/2" Recycled Envelopes</t>
  </si>
  <si>
    <t>Brites Rubber Bands, 1 1/2 oz. Box</t>
  </si>
  <si>
    <t>Becky Farmer</t>
  </si>
  <si>
    <t>Verbatim DVD-RAM, 5.2GB, Rewritable, Type 1, DS</t>
  </si>
  <si>
    <t>Lansing</t>
  </si>
  <si>
    <t>Elsie Boykin</t>
  </si>
  <si>
    <t>Targus USB Numeric Keypad</t>
  </si>
  <si>
    <t>Fort Thomas</t>
  </si>
  <si>
    <t>Jordan Wilkinson</t>
  </si>
  <si>
    <t>Fellowes Super Stor/Drawer®</t>
  </si>
  <si>
    <t>Florence</t>
  </si>
  <si>
    <t>Craig Liu</t>
  </si>
  <si>
    <t>6120</t>
  </si>
  <si>
    <t>Concord</t>
  </si>
  <si>
    <t>Pauline Finch</t>
  </si>
  <si>
    <t>TDK 4.7GB DVD-R</t>
  </si>
  <si>
    <t>Costa Mesa</t>
  </si>
  <si>
    <t>Sean N Boyer</t>
  </si>
  <si>
    <t>Lynn Hines</t>
  </si>
  <si>
    <t>Eldon® Wave Desk Accessories</t>
  </si>
  <si>
    <t>College Park</t>
  </si>
  <si>
    <t>Gregory Rao</t>
  </si>
  <si>
    <t>Xerox 1910</t>
  </si>
  <si>
    <t>Manteca</t>
  </si>
  <si>
    <t>Katharine Bass</t>
  </si>
  <si>
    <t>Bell Sonecor JB700 Caller ID</t>
  </si>
  <si>
    <t>Henderson</t>
  </si>
  <si>
    <t>Gordon Lyon</t>
  </si>
  <si>
    <t>Hoover Portapower™ Portable Vacuum</t>
  </si>
  <si>
    <t>Pomona</t>
  </si>
  <si>
    <t>Mike G Hartman</t>
  </si>
  <si>
    <t>Xerox 1903</t>
  </si>
  <si>
    <t>Pembroke Pines</t>
  </si>
  <si>
    <t>Phillip Blum</t>
  </si>
  <si>
    <t>i1000plus</t>
  </si>
  <si>
    <t>Troutdale</t>
  </si>
  <si>
    <t>Jean Webster</t>
  </si>
  <si>
    <t>Hoover Commercial Soft Guard Upright Vacuum And Disposable Filtration Bags</t>
  </si>
  <si>
    <t>Allentown</t>
  </si>
  <si>
    <t>Xerox 1939</t>
  </si>
  <si>
    <t>Hewlett-Packard Deskjet 5550 Color Inkjet Printer</t>
  </si>
  <si>
    <t>Newell 336</t>
  </si>
  <si>
    <t>Debbie Stevenson</t>
  </si>
  <si>
    <t>Economy Rollaway Files</t>
  </si>
  <si>
    <t>West Hollywood</t>
  </si>
  <si>
    <t>Clarence Crowder</t>
  </si>
  <si>
    <t>Wirebound Four 2-3/4 x 5 Forms per Page, 400 Sets per Book</t>
  </si>
  <si>
    <t>Lacey</t>
  </si>
  <si>
    <t>Leroy Field</t>
  </si>
  <si>
    <t>Telescoping Adjustable Floor Lamp</t>
  </si>
  <si>
    <t>Idaho</t>
  </si>
  <si>
    <t>Post Falls</t>
  </si>
  <si>
    <t>Harriet Moore</t>
  </si>
  <si>
    <t>Hon 4070 Series Pagoda™ Round Back Stacking Chairs</t>
  </si>
  <si>
    <t>Rexburg</t>
  </si>
  <si>
    <t>Laurence Simon</t>
  </si>
  <si>
    <t>Boston 16801 Nautilus™ Battery Pencil Sharpener</t>
  </si>
  <si>
    <t>Oakville</t>
  </si>
  <si>
    <t>Robyn Crawford</t>
  </si>
  <si>
    <t>1.7 Cubic Foot Compact "Cube" Office Refrigerators</t>
  </si>
  <si>
    <t>Germantown</t>
  </si>
  <si>
    <t>Arthur Gold</t>
  </si>
  <si>
    <t>Tyvek® Side-Opening Peel &amp; Seel® Expanding Envelopes</t>
  </si>
  <si>
    <t>Hendersonville</t>
  </si>
  <si>
    <t>DAX Two-Tone Rosewood/Black Document Frame, Desktop, 5 x 7</t>
  </si>
  <si>
    <t>Kent Kerr</t>
  </si>
  <si>
    <t>Newell 335</t>
  </si>
  <si>
    <t>Knoxville</t>
  </si>
  <si>
    <t>Dawn Larson</t>
  </si>
  <si>
    <t>Newell 346</t>
  </si>
  <si>
    <t>Madison Heights</t>
  </si>
  <si>
    <t>Ernest Barber</t>
  </si>
  <si>
    <t>Memorex 4.7GB DVD+R, 3/Pack</t>
  </si>
  <si>
    <t>Carson City</t>
  </si>
  <si>
    <t>Accessory20</t>
  </si>
  <si>
    <t>Eileen Fletcher</t>
  </si>
  <si>
    <t>Pressboard Covers with Storage Hooks, 9 1/2" x 11", Light Blue</t>
  </si>
  <si>
    <t>Gary</t>
  </si>
  <si>
    <t>Canon imageCLASS 2200 Advanced Copier</t>
  </si>
  <si>
    <t>Jeremy Pratt</t>
  </si>
  <si>
    <t>Granger</t>
  </si>
  <si>
    <t>Lori Wolfe</t>
  </si>
  <si>
    <t>6" Cubicle Wall Clock, Black</t>
  </si>
  <si>
    <t>Hattiesburg</t>
  </si>
  <si>
    <t>Tina Evans</t>
  </si>
  <si>
    <t>Hammermill CopyPlus Copy Paper (20Lb. and 84 Bright)</t>
  </si>
  <si>
    <t>Lombard</t>
  </si>
  <si>
    <t>Telephone Message Books with Fax/Mobile Section, 5 1/2" x 3 3/16"</t>
  </si>
  <si>
    <t>Rhonda Ivey</t>
  </si>
  <si>
    <t>Wirebound Message Books, 2 7/8" x 5", 3 Forms per Page</t>
  </si>
  <si>
    <t>West Mifflin</t>
  </si>
  <si>
    <t>Wesley Tate</t>
  </si>
  <si>
    <t>Avery Printable Repositionable Plastic Tabs</t>
  </si>
  <si>
    <t>Chicago</t>
  </si>
  <si>
    <t>Crystal Floyd</t>
  </si>
  <si>
    <t>Battle Creek</t>
  </si>
  <si>
    <t>Patricia Cole Blair</t>
  </si>
  <si>
    <t>Kansas</t>
  </si>
  <si>
    <t>Wichita</t>
  </si>
  <si>
    <t>MicroTAC 650</t>
  </si>
  <si>
    <t>Alex Watkins</t>
  </si>
  <si>
    <t>Stockwell Push Pins</t>
  </si>
  <si>
    <t>Woodmere</t>
  </si>
  <si>
    <t>Bevis Round Conference Table Top, X-Base</t>
  </si>
  <si>
    <t>Courtney Nelson</t>
  </si>
  <si>
    <t>Rubbermaid ClusterMat Chairmats, Mat Size- 66" x 60", Lip 20" x 11" -90 Degree Angle</t>
  </si>
  <si>
    <t>Laurel</t>
  </si>
  <si>
    <t>TOPS Money Receipt Book, Consecutively Numbered in Red,</t>
  </si>
  <si>
    <t>Max Small</t>
  </si>
  <si>
    <t>Imation 3.5" Unformatted DS/HD Diskettes, 10/Box</t>
  </si>
  <si>
    <t>Bartlesville</t>
  </si>
  <si>
    <t>Miriam Mueller</t>
  </si>
  <si>
    <t>Murfreesboro</t>
  </si>
  <si>
    <t>Allison Kirby</t>
  </si>
  <si>
    <t>Dallas</t>
  </si>
  <si>
    <t>Daniel Richmond</t>
  </si>
  <si>
    <t>Premium Writing Pencils, Soft, #2 by Central Association for the Blind</t>
  </si>
  <si>
    <t>Boardman</t>
  </si>
  <si>
    <t>Holly Osborne</t>
  </si>
  <si>
    <t>Fellowes Personal Hanging Folder Files, Navy</t>
  </si>
  <si>
    <t>Hot Springs</t>
  </si>
  <si>
    <t>Kristine Singleton</t>
  </si>
  <si>
    <t>Naperville</t>
  </si>
  <si>
    <t>Assorted Color Push Pins</t>
  </si>
  <si>
    <t>Edith Reynolds</t>
  </si>
  <si>
    <t>North Dakota</t>
  </si>
  <si>
    <t>Mandan</t>
  </si>
  <si>
    <t>Xerox 1906</t>
  </si>
  <si>
    <t>Scissors, Rulers and Trimmers</t>
  </si>
  <si>
    <t>Acme® 8" Straight Scissors</t>
  </si>
  <si>
    <t>Eva Silverman</t>
  </si>
  <si>
    <t>Avery 4027 File Folder Labels for Dot Matrix Printers, 5000 Labels per Box, White</t>
  </si>
  <si>
    <t>Wilmette</t>
  </si>
  <si>
    <t>Joel Huffman</t>
  </si>
  <si>
    <t>Newell 323</t>
  </si>
  <si>
    <t>Woodridge</t>
  </si>
  <si>
    <t>Jon Ayers</t>
  </si>
  <si>
    <t>Avery 508</t>
  </si>
  <si>
    <t>Palm Coast</t>
  </si>
  <si>
    <t>Floyd Dale</t>
  </si>
  <si>
    <t>Super Bands, 12/Pack</t>
  </si>
  <si>
    <t>Troy</t>
  </si>
  <si>
    <t>Patrick Rosenthal</t>
  </si>
  <si>
    <t>Sanyo Counter Height Refrigerator with Crisper, 3.6 Cubic Foot, Stainless Steel/Black</t>
  </si>
  <si>
    <t>Rhode Island</t>
  </si>
  <si>
    <t>Cranston</t>
  </si>
  <si>
    <t>Joy Maxwell</t>
  </si>
  <si>
    <t>Hewlett-Packard 2600DN Business Color Inkjet Printer</t>
  </si>
  <si>
    <t>Arizona</t>
  </si>
  <si>
    <t>Oro Valley</t>
  </si>
  <si>
    <t>Mary Page</t>
  </si>
  <si>
    <t>Verbatim DVD-R, 4.7GB, Spindle, WE, Blank, Ink Jet/Thermal, 20/Spindle</t>
  </si>
  <si>
    <t>Peoria</t>
  </si>
  <si>
    <t>Sandra Berry</t>
  </si>
  <si>
    <t>Holmes Replacement Filter for HEPA Air Cleaner, Large Room</t>
  </si>
  <si>
    <t>Meridian</t>
  </si>
  <si>
    <t>Important Message Pads, 50 4-1/4 x 5-1/2 Forms per Pad</t>
  </si>
  <si>
    <t>Lillian Day</t>
  </si>
  <si>
    <t>Staples Standard Envelopes</t>
  </si>
  <si>
    <t>Shaker Heights</t>
  </si>
  <si>
    <t>Russell W Melton</t>
  </si>
  <si>
    <t>Maxell DVD-RAM Discs</t>
  </si>
  <si>
    <t>Northport</t>
  </si>
  <si>
    <t>Lisa Kim</t>
  </si>
  <si>
    <t>Palm Beach Gardens</t>
  </si>
  <si>
    <t>Xerox 1991</t>
  </si>
  <si>
    <t>Regeneration Desk Collection</t>
  </si>
  <si>
    <t>Amy Hamrick Melvin</t>
  </si>
  <si>
    <t>Security-Tint Envelopes</t>
  </si>
  <si>
    <t>6162</t>
  </si>
  <si>
    <t>Danielle P Rao</t>
  </si>
  <si>
    <t>Moore</t>
  </si>
  <si>
    <t>April Hu</t>
  </si>
  <si>
    <t>Staples® General Use 3-Ring Binders</t>
  </si>
  <si>
    <t>Mesa</t>
  </si>
  <si>
    <t>Xerox 1978</t>
  </si>
  <si>
    <t>Nathan Newton</t>
  </si>
  <si>
    <t>High Point</t>
  </si>
  <si>
    <t>Katharine Hudson</t>
  </si>
  <si>
    <t>Boston Model 1800 Electric Pencil Sharpener, Gray</t>
  </si>
  <si>
    <t>Clarksville</t>
  </si>
  <si>
    <t>Danny Richmond</t>
  </si>
  <si>
    <t>Avery Arch Ring Binders</t>
  </si>
  <si>
    <t>Marsha Roy</t>
  </si>
  <si>
    <t>Peel &amp; Seel® Recycled Catalog Envelopes, Brown</t>
  </si>
  <si>
    <t>Tupelo</t>
  </si>
  <si>
    <t>Priscilla Brandon</t>
  </si>
  <si>
    <t>Willow Grove</t>
  </si>
  <si>
    <t>AT&amp;T Black Trimline Phone, Model 210</t>
  </si>
  <si>
    <t>Derek McCormick</t>
  </si>
  <si>
    <t>Computer Printout Paper with Letter-Trim Perforations</t>
  </si>
  <si>
    <t>Oxford</t>
  </si>
  <si>
    <t>Marjorie Arthur</t>
  </si>
  <si>
    <t>Vermont</t>
  </si>
  <si>
    <t>South Burlington</t>
  </si>
  <si>
    <t>Milton Lindsay</t>
  </si>
  <si>
    <t>Kensington 7 Outlet MasterPiece Power Center with Fax/Phone Line Protection</t>
  </si>
  <si>
    <t>Hamilton</t>
  </si>
  <si>
    <t>Edward Pugh</t>
  </si>
  <si>
    <t>Newell 340</t>
  </si>
  <si>
    <t>New Mexico</t>
  </si>
  <si>
    <t>Santa Fe</t>
  </si>
  <si>
    <t>Julian Keith Mayer</t>
  </si>
  <si>
    <t>Fellowes Smart Surge Ten-Outlet Protector, Platinum</t>
  </si>
  <si>
    <t>Matthew Berman</t>
  </si>
  <si>
    <t>StarTAC 3000</t>
  </si>
  <si>
    <t>Grants Pass</t>
  </si>
  <si>
    <t>Douglas Buck</t>
  </si>
  <si>
    <t>Xerox 21</t>
  </si>
  <si>
    <t>Seatac</t>
  </si>
  <si>
    <t>Advantus Rolling Storage Box</t>
  </si>
  <si>
    <t>Gina McKnight</t>
  </si>
  <si>
    <t>Fellowes PB500 Electric Punch Plastic Comb Binding Machine with Manual Bind</t>
  </si>
  <si>
    <t>Farragut</t>
  </si>
  <si>
    <t>Dennis Boykin Townsend</t>
  </si>
  <si>
    <t>Joe George</t>
  </si>
  <si>
    <t>GBC Standard Plastic Binding Systems' Combs</t>
  </si>
  <si>
    <t>Bossier City</t>
  </si>
  <si>
    <t>Avery 481</t>
  </si>
  <si>
    <t>Paul Puckett</t>
  </si>
  <si>
    <t>Memorex Slim 80 Minute CD-R, 10/Pack</t>
  </si>
  <si>
    <t>Wooster</t>
  </si>
  <si>
    <t>Valerie Siegel</t>
  </si>
  <si>
    <t>TimeportP7382</t>
  </si>
  <si>
    <t>Woodstock</t>
  </si>
  <si>
    <t>Carlos Hess</t>
  </si>
  <si>
    <t>Hon iLevel™ Computer Training Table</t>
  </si>
  <si>
    <t>Cleveland Heights</t>
  </si>
  <si>
    <t>Nicholas Wallace</t>
  </si>
  <si>
    <t>Logitech Cordless Elite Duo</t>
  </si>
  <si>
    <t>Hurst</t>
  </si>
  <si>
    <t>Andrew Gonzalez</t>
  </si>
  <si>
    <t>Memorex 80 Minute CD-R Spindle, 100/Pack</t>
  </si>
  <si>
    <t>Charlotte</t>
  </si>
  <si>
    <t>Fellowes 17-key keypad for PS/2 interface</t>
  </si>
  <si>
    <t>Cindy McLeod</t>
  </si>
  <si>
    <t>Premier Elliptical Ring Binder, Black</t>
  </si>
  <si>
    <t>Sioux City</t>
  </si>
  <si>
    <t>Vicki Womble</t>
  </si>
  <si>
    <t>XtraLife® ClearVue™ Slant-D® Ring Binders by Cardinal</t>
  </si>
  <si>
    <t>Des Moines</t>
  </si>
  <si>
    <t>Deflect-o DuraMat Antistatic Studded Beveled Mat for Medium Pile Carpeting</t>
  </si>
  <si>
    <t>Timothy Currie</t>
  </si>
  <si>
    <t>Woburn</t>
  </si>
  <si>
    <t>Dennis Bowen</t>
  </si>
  <si>
    <t>Avery Premier Heavy-Duty Binder with Round Locking Rings</t>
  </si>
  <si>
    <t>Pottstown</t>
  </si>
  <si>
    <t>Juanita Ballard</t>
  </si>
  <si>
    <t>Super Decoflex Portable Personal File</t>
  </si>
  <si>
    <t>Kent</t>
  </si>
  <si>
    <t>Gregory R Snow</t>
  </si>
  <si>
    <t>Ibico EPK-21 Electric Binding System</t>
  </si>
  <si>
    <t>Greer</t>
  </si>
  <si>
    <t>David Weaver</t>
  </si>
  <si>
    <t>Hon 4700 Series Mobuis™ Mid-Back Task Chairs with Adjustable Arms</t>
  </si>
  <si>
    <t>Holladay</t>
  </si>
  <si>
    <t>Southworth 25% Cotton Premium Laser Paper and Envelopes</t>
  </si>
  <si>
    <t>Sharon Kessler</t>
  </si>
  <si>
    <t>Large Capacity Hanging Post Binders</t>
  </si>
  <si>
    <t>Superior</t>
  </si>
  <si>
    <t>Monica Stuart</t>
  </si>
  <si>
    <t>Imation 3.5" DS/HD IBM Formatted Diskettes, 50/Pack</t>
  </si>
  <si>
    <t>Waukesha</t>
  </si>
  <si>
    <t>Geoffrey Zhu</t>
  </si>
  <si>
    <t>PC Concepts 116 Key Quantum 3000 Keyboard</t>
  </si>
  <si>
    <t>Kingsport</t>
  </si>
  <si>
    <t>Jean Weiss Diaz</t>
  </si>
  <si>
    <t>Carina 42"Hx23 3/4"W Media Storage Unit</t>
  </si>
  <si>
    <t>Elyria</t>
  </si>
  <si>
    <t>Bonnie Matthews Rowland</t>
  </si>
  <si>
    <t>Career Cubicle Clock, 8 1/4", Black</t>
  </si>
  <si>
    <t>Michele Bradshaw</t>
  </si>
  <si>
    <t>8890</t>
  </si>
  <si>
    <t>Dunedin</t>
  </si>
  <si>
    <t>Joan Beach</t>
  </si>
  <si>
    <t>Motorola SB4200 Cable Modem</t>
  </si>
  <si>
    <t>Mobile</t>
  </si>
  <si>
    <t>Deflect-o RollaMat Studded, Beveled Mat for Medium Pile Carpeting</t>
  </si>
  <si>
    <t>Yvonne Collier</t>
  </si>
  <si>
    <t>GBC Twin Loop™ Wire Binding Elements, 9/16" Spine, Black</t>
  </si>
  <si>
    <t>Lino Lakes</t>
  </si>
  <si>
    <t>Sharon Thomas</t>
  </si>
  <si>
    <t>Adams Phone Message Book, Professional, 400 Message Capacity, 5 3/6” x 11”</t>
  </si>
  <si>
    <t>Anna Ellis</t>
  </si>
  <si>
    <t>Mankato</t>
  </si>
  <si>
    <t>Arlene Wiggins Dalton</t>
  </si>
  <si>
    <t>Avery Binder Labels</t>
  </si>
  <si>
    <t>Huntsville</t>
  </si>
  <si>
    <t>Benjamin Gunter</t>
  </si>
  <si>
    <t>Avery 498</t>
  </si>
  <si>
    <t>Hialeah</t>
  </si>
  <si>
    <t>Chromcraft Bull-Nose Wood Round Conference Table Top, Wood Base</t>
  </si>
  <si>
    <t>Amy York</t>
  </si>
  <si>
    <t>Keytronic 105-Key Spanish Keyboard</t>
  </si>
  <si>
    <t>Parkland</t>
  </si>
  <si>
    <t>Rhonda Schroeder</t>
  </si>
  <si>
    <t>Acme Design Line 8" Stainless Steel Bent Scissors w/Champagne Handles, 3-1/8" Cut</t>
  </si>
  <si>
    <t>Newton</t>
  </si>
  <si>
    <t>Melinda Thornton</t>
  </si>
  <si>
    <t>IBM Multi-Purpose Copy Paper, 8 1/2 x 11", Case</t>
  </si>
  <si>
    <t>Reston</t>
  </si>
  <si>
    <t>Lindsay P Ashley</t>
  </si>
  <si>
    <t>Douglas Sutton</t>
  </si>
  <si>
    <t>Wheat Ridge</t>
  </si>
  <si>
    <t>Phillip Pollard</t>
  </si>
  <si>
    <t>Fellowes Command Center 5-outlet power strip</t>
  </si>
  <si>
    <t>Pauline Denton</t>
  </si>
  <si>
    <t>Canon PC-428 Personal Copier</t>
  </si>
  <si>
    <t>Vincennes</t>
  </si>
  <si>
    <t>Dana Sharpe</t>
  </si>
  <si>
    <t>Neil Bailey</t>
  </si>
  <si>
    <t>636</t>
  </si>
  <si>
    <t>Harrisburg</t>
  </si>
  <si>
    <t>Anthony Stanley</t>
  </si>
  <si>
    <t>Eureka The Boss® Cordless Rechargeable Stick Vac</t>
  </si>
  <si>
    <t>Fords</t>
  </si>
  <si>
    <t>Sandy Cannon</t>
  </si>
  <si>
    <t>Eureka Hand Vacuum, Bagless</t>
  </si>
  <si>
    <t>Leawood</t>
  </si>
  <si>
    <t>Nancy Holden</t>
  </si>
  <si>
    <t>Harmony HEPA Quiet Air Purifiers</t>
  </si>
  <si>
    <t>Franklin</t>
  </si>
  <si>
    <t>Roger Blalock Cassidy</t>
  </si>
  <si>
    <t>Recycled Premium Regency Composition Covers</t>
  </si>
  <si>
    <t>Fairfield</t>
  </si>
  <si>
    <t>Charles Cline</t>
  </si>
  <si>
    <t>Tennsco Regal Shelving Units</t>
  </si>
  <si>
    <t>Thousand Oaks</t>
  </si>
  <si>
    <t>T60</t>
  </si>
  <si>
    <t>Jean Khan</t>
  </si>
  <si>
    <t>Eldon Regeneration Recycled Desk Accessories, Smoke</t>
  </si>
  <si>
    <t>Menlo Park</t>
  </si>
  <si>
    <t>Diana Xu</t>
  </si>
  <si>
    <t>Belkin 6 Outlet Metallic Surge Strip</t>
  </si>
  <si>
    <t>Harriet Bowman</t>
  </si>
  <si>
    <t>5170i</t>
  </si>
  <si>
    <t>Arlene Gibbons</t>
  </si>
  <si>
    <t>Nu-Dell Leatherette Frames</t>
  </si>
  <si>
    <t>Muscatine</t>
  </si>
  <si>
    <t>Kristina Collier</t>
  </si>
  <si>
    <t>Allen Park</t>
  </si>
  <si>
    <t>Faye Manning</t>
  </si>
  <si>
    <t>Canon MP41DH Printing Calculator</t>
  </si>
  <si>
    <t>Saint Petersburg</t>
  </si>
  <si>
    <t>Global Stack Chair without Arms, Black</t>
  </si>
  <si>
    <t>Fellowes Neat Ideas® Storage Cubes</t>
  </si>
  <si>
    <t>Pam Patton</t>
  </si>
  <si>
    <t>Xerox 1897</t>
  </si>
  <si>
    <t>Boston</t>
  </si>
  <si>
    <t>Marjorie Owens</t>
  </si>
  <si>
    <t>Farmers Branch</t>
  </si>
  <si>
    <t>Harry Burns</t>
  </si>
  <si>
    <t>Barrel Sharpener</t>
  </si>
  <si>
    <t>Mason City</t>
  </si>
  <si>
    <t>2160i</t>
  </si>
  <si>
    <t>A1228</t>
  </si>
  <si>
    <t>Priscilla Allen</t>
  </si>
  <si>
    <t>Pontiac</t>
  </si>
  <si>
    <t>Edwin Blackburn</t>
  </si>
  <si>
    <t>Rogers® Profile Extra Capacity Storage Tub</t>
  </si>
  <si>
    <t>Agawam</t>
  </si>
  <si>
    <t>Jackie Flynn</t>
  </si>
  <si>
    <t>Winchester</t>
  </si>
  <si>
    <t>Billy Hale</t>
  </si>
  <si>
    <t>Global High-Back Leather Tilter, Burgundy</t>
  </si>
  <si>
    <t>Fort Lee</t>
  </si>
  <si>
    <t>Teresa Wallace</t>
  </si>
  <si>
    <t>Eldon ClusterMat Chair Mat with Cordless Antistatic Protection</t>
  </si>
  <si>
    <t>Mount Lebanon</t>
  </si>
  <si>
    <t>Xerox 1947</t>
  </si>
  <si>
    <t>Oscar Kenney</t>
  </si>
  <si>
    <t>Staples Plastic Wall Frames</t>
  </si>
  <si>
    <t>West Bend</t>
  </si>
  <si>
    <t>Helen Dickerson</t>
  </si>
  <si>
    <t>Joplin</t>
  </si>
  <si>
    <t>Edgar McKenzie</t>
  </si>
  <si>
    <t>Staples 6 Outlet Surge</t>
  </si>
  <si>
    <t>Oswego</t>
  </si>
  <si>
    <t>Lloyd Dolan</t>
  </si>
  <si>
    <t>Newell 338</t>
  </si>
  <si>
    <t>Dickinson</t>
  </si>
  <si>
    <t>Joanna Kenney</t>
  </si>
  <si>
    <t>Boston 1645 Deluxe Heavier-Duty Electric Pencil Sharpener</t>
  </si>
  <si>
    <t>Sandusky</t>
  </si>
  <si>
    <t>OIC Thumb-Tacks</t>
  </si>
  <si>
    <t>Jeff Meadows</t>
  </si>
  <si>
    <t>Avery 48</t>
  </si>
  <si>
    <t>Paducah</t>
  </si>
  <si>
    <t>Judy Hall</t>
  </si>
  <si>
    <t>Newell 343</t>
  </si>
  <si>
    <t>Worcester</t>
  </si>
  <si>
    <t>Kara Allison</t>
  </si>
  <si>
    <t>Alton</t>
  </si>
  <si>
    <t>Array® Memo Cubes</t>
  </si>
  <si>
    <t>Janet McCullough</t>
  </si>
  <si>
    <t>LX 677</t>
  </si>
  <si>
    <t>Coconut Creek</t>
  </si>
  <si>
    <t>Monica Harvey</t>
  </si>
  <si>
    <t>V70</t>
  </si>
  <si>
    <t>Eau Claire</t>
  </si>
  <si>
    <t>Sidney Russell Austin</t>
  </si>
  <si>
    <t>Okidata Pacemark 4410N Wide Format Dot Matrix Printer</t>
  </si>
  <si>
    <t>Redmond</t>
  </si>
  <si>
    <t>Edgar Kumar</t>
  </si>
  <si>
    <t>Billie Stern</t>
  </si>
  <si>
    <t>North Plainfield</t>
  </si>
  <si>
    <t>Edna Thomas</t>
  </si>
  <si>
    <t>Xerox 194</t>
  </si>
  <si>
    <t>Laguna Niguel</t>
  </si>
  <si>
    <t>Belkin 8 Outlet SurgeMaster II Gold Surge Protector</t>
  </si>
  <si>
    <t>Wilson Jones Impact Binders</t>
  </si>
  <si>
    <t>Kristine Connolly</t>
  </si>
  <si>
    <t>Adams Phone Message Book, 200 Message Capacity, 8 1/16” x 11”</t>
  </si>
  <si>
    <t>Kristina Sanders</t>
  </si>
  <si>
    <t>Provo</t>
  </si>
  <si>
    <t>Martin Kirk</t>
  </si>
  <si>
    <t>Chesapeake</t>
  </si>
  <si>
    <t>James Davenport</t>
  </si>
  <si>
    <t>Acco Four Pocket Poly Ring Binder with Label Holder, Smoke, 1"</t>
  </si>
  <si>
    <t>Kansas City</t>
  </si>
  <si>
    <t>Xerox 213</t>
  </si>
  <si>
    <t>Jenny Gold</t>
  </si>
  <si>
    <t>Hon 2090 “Pillow Soft” Series Mid Back Swivel/Tilt Chairs</t>
  </si>
  <si>
    <t>Marianne Carey</t>
  </si>
  <si>
    <t>Atlantic Metals Mobile 2-Shelf Bookcases, Custom Colors</t>
  </si>
  <si>
    <t>North Platte</t>
  </si>
  <si>
    <t>Alfred Singh</t>
  </si>
  <si>
    <t>GBC DocuBind 200 Manual Binding Machine</t>
  </si>
  <si>
    <t>Mechanicsville</t>
  </si>
  <si>
    <t>Jeffrey Mueller</t>
  </si>
  <si>
    <t>Memorex 4.7GB DVD-RAM, 3/Pack</t>
  </si>
  <si>
    <t>Rock Island</t>
  </si>
  <si>
    <t>Edna Monroe Talley</t>
  </si>
  <si>
    <t>Seguin</t>
  </si>
  <si>
    <t>BoxOffice By Design Rectangular and Half-Moon Meeting Room Tables</t>
  </si>
  <si>
    <t>Peggy Chan</t>
  </si>
  <si>
    <t>Sherman</t>
  </si>
  <si>
    <t>Rodney Field</t>
  </si>
  <si>
    <t>Springfield</t>
  </si>
  <si>
    <t>Howard Miller 13" Diameter Goldtone Round Wall Clock</t>
  </si>
  <si>
    <t>Theodore Rubin</t>
  </si>
  <si>
    <t>Franklin Park</t>
  </si>
  <si>
    <t>Irene Li</t>
  </si>
  <si>
    <t>Acme® Elite Stainless Steel Scissors</t>
  </si>
  <si>
    <t>Hanover</t>
  </si>
  <si>
    <t>Lynn Epstein</t>
  </si>
  <si>
    <t>Anderson Hickey Conga Table Tops &amp; Accessories</t>
  </si>
  <si>
    <t>Bangor</t>
  </si>
  <si>
    <t>Constance Flowers</t>
  </si>
  <si>
    <t>US Robotics 56K V.92 Internal PCI Faxmodem</t>
  </si>
  <si>
    <t>San Diego</t>
  </si>
  <si>
    <t>Laurie Howe</t>
  </si>
  <si>
    <t>Office Star - Mid Back Dual function Ergonomic High Back Chair with 2-Way Adjustable Arms</t>
  </si>
  <si>
    <t>Brooklyn Center</t>
  </si>
  <si>
    <t>Rediform S.O.S. Phone Message Books</t>
  </si>
  <si>
    <t>Kelly Byers</t>
  </si>
  <si>
    <t>Peel &amp; Stick Add-On Corner Pockets</t>
  </si>
  <si>
    <t>Woodburn</t>
  </si>
  <si>
    <t>Hewlett-Packard Business Color Inkjet 3000 [N, DTN] Series Printers</t>
  </si>
  <si>
    <t>Xerox 217</t>
  </si>
  <si>
    <t>April Bowers</t>
  </si>
  <si>
    <t>Cedar Hill</t>
  </si>
  <si>
    <t>Marsha P Joyner</t>
  </si>
  <si>
    <t>West Virginia</t>
  </si>
  <si>
    <t>Wheeling</t>
  </si>
  <si>
    <t>Crystal Crabtree</t>
  </si>
  <si>
    <t>West Palm Beach</t>
  </si>
  <si>
    <t>C-Line Peel &amp; Stick Add-On Filing Pockets, 8-3/4 x 5-1/8, 10/Pack</t>
  </si>
  <si>
    <t>Carolyn Fisher</t>
  </si>
  <si>
    <t>Lexmark Z25 Color Inkjet Printer</t>
  </si>
  <si>
    <t>Sherwood</t>
  </si>
  <si>
    <t>Debra Proctor</t>
  </si>
  <si>
    <t>Avery 497</t>
  </si>
  <si>
    <t>Fort Wayne</t>
  </si>
  <si>
    <t>Dana Waller</t>
  </si>
  <si>
    <t>Bush Advantage Collection® Racetrack Conference Table</t>
  </si>
  <si>
    <t>Bozeman</t>
  </si>
  <si>
    <t>Victor Cherry</t>
  </si>
  <si>
    <t>Imation 5.2GB DVD-RAM</t>
  </si>
  <si>
    <t>Farmington Hills</t>
  </si>
  <si>
    <t>Malcolm S Lanier</t>
  </si>
  <si>
    <t>Speediset Carbonless Redi-Letter® 7" x 8 1/2"</t>
  </si>
  <si>
    <t>Flint</t>
  </si>
  <si>
    <t>Denise Carver</t>
  </si>
  <si>
    <t>Laminate Occasional Tables</t>
  </si>
  <si>
    <t>Cuyahoga Falls</t>
  </si>
  <si>
    <t>Mead 1st Gear 2" Zipper Binder, Asst. Colors</t>
  </si>
  <si>
    <t>Annette Boone</t>
  </si>
  <si>
    <t>Burlington</t>
  </si>
  <si>
    <t>Arlene Long</t>
  </si>
  <si>
    <t>Eldon® 200 Class™ Desk Accessories</t>
  </si>
  <si>
    <t>Kevin Smith</t>
  </si>
  <si>
    <t>Lake In The Hills</t>
  </si>
  <si>
    <t>Helen Stein</t>
  </si>
  <si>
    <t>Cincinnati</t>
  </si>
  <si>
    <t>Marc Ray</t>
  </si>
  <si>
    <t>Avery Hi-Liter® Fluorescent Desk Style Markers</t>
  </si>
  <si>
    <t>Mountain View</t>
  </si>
  <si>
    <t>Pamela Wiley</t>
  </si>
  <si>
    <t>Rick Foster Hawkins</t>
  </si>
  <si>
    <t>Hewlett-Packard Deskjet 6122 Color Inkjet Printer</t>
  </si>
  <si>
    <t>San Francisco</t>
  </si>
  <si>
    <t>Wallace Pugh</t>
  </si>
  <si>
    <t>Northbrook</t>
  </si>
  <si>
    <t>Jack Horn</t>
  </si>
  <si>
    <t>Office Star - Ergonomic Mid Back Chair with 2-Way Adjustable Arms</t>
  </si>
  <si>
    <t>Statesboro</t>
  </si>
  <si>
    <t>Robin Tyler</t>
  </si>
  <si>
    <t>i2000</t>
  </si>
  <si>
    <t>Murray</t>
  </si>
  <si>
    <t>Gretchen Ball</t>
  </si>
  <si>
    <t>Accessory27</t>
  </si>
  <si>
    <t>Pueblo</t>
  </si>
  <si>
    <t>Glenda Hunter</t>
  </si>
  <si>
    <t>Twentynine Palms</t>
  </si>
  <si>
    <t>Acme Galleria® Hot Forged Steel Scissors with Colored Handles</t>
  </si>
  <si>
    <t>Nathan Wyatt</t>
  </si>
  <si>
    <t>Pasco</t>
  </si>
  <si>
    <t>Phillip Chappell</t>
  </si>
  <si>
    <t>Redondo Beach</t>
  </si>
  <si>
    <t>Yvonne Clarke</t>
  </si>
  <si>
    <t>Southworth 25% Cotton Antique Laid Paper &amp; Envelopes</t>
  </si>
  <si>
    <t>Oscar Ford</t>
  </si>
  <si>
    <t>Burnsville</t>
  </si>
  <si>
    <t>Tommy Honeycutt</t>
  </si>
  <si>
    <t>Saint Peters</t>
  </si>
  <si>
    <t>Earl Roy</t>
  </si>
  <si>
    <t>Casselberry</t>
  </si>
  <si>
    <t>Advantus Push Pins, Aluminum Head</t>
  </si>
  <si>
    <t>Charlotte L Doyle</t>
  </si>
  <si>
    <t>Coral Gables</t>
  </si>
  <si>
    <t>BPI Conference Tables</t>
  </si>
  <si>
    <t>Larry Langston</t>
  </si>
  <si>
    <t>Avery 493</t>
  </si>
  <si>
    <t>Spartanburg</t>
  </si>
  <si>
    <t>Array® Parchment Paper, Assorted Colors</t>
  </si>
  <si>
    <t>HP Office Paper (20Lb. and 87 Bright)</t>
  </si>
  <si>
    <t>Logitech Cordless Navigator Duo</t>
  </si>
  <si>
    <t>Tara Gold</t>
  </si>
  <si>
    <t>GBC White Gloss Covers, Plain Front</t>
  </si>
  <si>
    <t>Hutchinson</t>
  </si>
  <si>
    <t>Charlotte Patterson</t>
  </si>
  <si>
    <t>Terre Haute</t>
  </si>
  <si>
    <t>Kathy Turner</t>
  </si>
  <si>
    <t>Depew</t>
  </si>
  <si>
    <t>Don Cameron</t>
  </si>
  <si>
    <t>Sanyo 2.5 Cubic Foot Mid-Size Office Refrigerators</t>
  </si>
  <si>
    <t>Annie Horne</t>
  </si>
  <si>
    <t>Post-it® “Important Message” Note Pad, Neon Colors, 50 Sheets/Pad</t>
  </si>
  <si>
    <t>Fort Myers</t>
  </si>
  <si>
    <t>Brian Leach</t>
  </si>
  <si>
    <t>Sanford Colorific Colored Pencils, 12/Box</t>
  </si>
  <si>
    <t>R380</t>
  </si>
  <si>
    <t>Stacy Gould</t>
  </si>
  <si>
    <t>Bay City</t>
  </si>
  <si>
    <t>Danielle Schneider</t>
  </si>
  <si>
    <t>Staples Battery-Operated Desktop Pencil Sharpener</t>
  </si>
  <si>
    <t>Canton</t>
  </si>
  <si>
    <t>Vanessa Boyer</t>
  </si>
  <si>
    <t>Howard Burnett</t>
  </si>
  <si>
    <t>Companion Letter/Legal File, Black</t>
  </si>
  <si>
    <t>Vernon Hirsch Singleton</t>
  </si>
  <si>
    <t>Bretford CR8500 Series Meeting Room Furniture</t>
  </si>
  <si>
    <t>Chico</t>
  </si>
  <si>
    <t>Jimmy Waters</t>
  </si>
  <si>
    <t>Fitchburg</t>
  </si>
  <si>
    <t>Brian Grady</t>
  </si>
  <si>
    <t>Eldon® Expressions™ Wood and Plastic Desk Accessories, Oak</t>
  </si>
  <si>
    <t>Catherine Dorsey Burnett</t>
  </si>
  <si>
    <t>Hewlett-Packard cp1700 [D, PS] Series Color Inkjet Printers</t>
  </si>
  <si>
    <t>East Los Angeles</t>
  </si>
  <si>
    <t>Hot File® 7-Pocket, Floor Stand</t>
  </si>
  <si>
    <t>Samantha Koch</t>
  </si>
  <si>
    <t>Space Solutions Commercial Steel Shelving</t>
  </si>
  <si>
    <t>Tucson</t>
  </si>
  <si>
    <t>Scott Feldman</t>
  </si>
  <si>
    <t>Polycom Soundstation EX Audio-Conferencing Telephone, Black</t>
  </si>
  <si>
    <t>Elizabeth</t>
  </si>
  <si>
    <t>Julie Porter</t>
  </si>
  <si>
    <t>ACCOHIDE® 3-Ring Binder, Blue, 1"</t>
  </si>
  <si>
    <t>Pittsburg</t>
  </si>
  <si>
    <t>Ampad #10 Peel &amp; Seel® Holiday Envelopes</t>
  </si>
  <si>
    <t>Nicole Reid</t>
  </si>
  <si>
    <t>Maxell 3.5" DS/HD IBM-Formatted Diskettes, 10/Pack</t>
  </si>
  <si>
    <t>University City</t>
  </si>
  <si>
    <t>Earl Alston</t>
  </si>
  <si>
    <t>Bevis Round Bullnose 29" High Table Top</t>
  </si>
  <si>
    <t>Greenville</t>
  </si>
  <si>
    <t>Melvin Kendall</t>
  </si>
  <si>
    <t>SouthWestern Bell FA970 Digital Answering Machine with Time/Day Stamp</t>
  </si>
  <si>
    <t>Clovis</t>
  </si>
  <si>
    <t>Lesro Sheffield Collection Coffee Table, End Table, Center Table, Corner Table</t>
  </si>
  <si>
    <t>StarTAC 8000</t>
  </si>
  <si>
    <t>Joel Buckley</t>
  </si>
  <si>
    <t>Lincoln</t>
  </si>
  <si>
    <t>Kathleen Huang Hall</t>
  </si>
  <si>
    <t>Acme® Preferred Stainless Steel Scissors</t>
  </si>
  <si>
    <t>Freeport</t>
  </si>
  <si>
    <t>Kristine Holden</t>
  </si>
  <si>
    <t>Kensington 6 Outlet Guardian Standard Surge Protector</t>
  </si>
  <si>
    <t>Mauldin</t>
  </si>
  <si>
    <t>Adam G Sawyer</t>
  </si>
  <si>
    <t>East Chicago</t>
  </si>
  <si>
    <t>Nelson Hensley</t>
  </si>
  <si>
    <t>Lillian Fischer</t>
  </si>
  <si>
    <t>Avery Trapezoid Extra Heavy Duty 4" Binders</t>
  </si>
  <si>
    <t>Turquoise Lead Holder with Pocket Clip</t>
  </si>
  <si>
    <t>Tonya Proctor</t>
  </si>
  <si>
    <t>Temecula</t>
  </si>
  <si>
    <t>Timeport L7089</t>
  </si>
  <si>
    <t>Xerox 1923</t>
  </si>
  <si>
    <t>Portfile® Personal File Boxes</t>
  </si>
  <si>
    <t>Marjorie Burnette</t>
  </si>
  <si>
    <t>Surelock™ Post Binders</t>
  </si>
  <si>
    <t>Cleveland</t>
  </si>
  <si>
    <t>Eugene Kerr</t>
  </si>
  <si>
    <t>i500plus</t>
  </si>
  <si>
    <t>Central Islip</t>
  </si>
  <si>
    <t>Tammy Buckley</t>
  </si>
  <si>
    <t>Tenex 46" x 60" Computer Anti-Static Chairmat, Rectangular Shaped</t>
  </si>
  <si>
    <t>Wyoming</t>
  </si>
  <si>
    <t>Cheyenne</t>
  </si>
  <si>
    <t>Ross Simpson</t>
  </si>
  <si>
    <t>Donna Craven</t>
  </si>
  <si>
    <t>Randallstown</t>
  </si>
  <si>
    <t>Binder Posts</t>
  </si>
  <si>
    <t>Mitchell Ross</t>
  </si>
  <si>
    <t>Burke</t>
  </si>
  <si>
    <t>Sherry Hurley</t>
  </si>
  <si>
    <t>Fayetteville</t>
  </si>
  <si>
    <t>Brandon E Shepherd</t>
  </si>
  <si>
    <t>South Dakota</t>
  </si>
  <si>
    <t>Sioux Falls</t>
  </si>
  <si>
    <t>Toni Swanson</t>
  </si>
  <si>
    <t>Jimmy Alston Holder</t>
  </si>
  <si>
    <t>Rosemary Branch</t>
  </si>
  <si>
    <t>Sharp EL500L Fraction Calculator</t>
  </si>
  <si>
    <t>Boca Raton</t>
  </si>
  <si>
    <t>Xerox 1894</t>
  </si>
  <si>
    <t>Hon 94000 Series Round Tables</t>
  </si>
  <si>
    <t>Larry Hall</t>
  </si>
  <si>
    <t>Birmingham</t>
  </si>
  <si>
    <t>Denise McIntosh</t>
  </si>
  <si>
    <t>Accessory24</t>
  </si>
  <si>
    <t>Marie Bass</t>
  </si>
  <si>
    <t>Avery Flip-Chart Easel Binder, Black</t>
  </si>
  <si>
    <t>Edward Bynum</t>
  </si>
  <si>
    <t>Chambersburg</t>
  </si>
  <si>
    <t>Maurice Everett</t>
  </si>
  <si>
    <t>Xerox 1930</t>
  </si>
  <si>
    <t>Tennsco Lockers, Gray</t>
  </si>
  <si>
    <t>Thomas Spence</t>
  </si>
  <si>
    <t>Idaho Falls</t>
  </si>
  <si>
    <t>Michael Robbins</t>
  </si>
  <si>
    <t>Euless</t>
  </si>
  <si>
    <t>Kerry Hardy</t>
  </si>
  <si>
    <t>Fort Lauderdale</t>
  </si>
  <si>
    <t>Gerald Raynor</t>
  </si>
  <si>
    <t>Imation 3.5" IBM-Formatted Diskettes, 10/Pack</t>
  </si>
  <si>
    <t>Horn Lake</t>
  </si>
  <si>
    <t>Global Enterprise Series Seating High-Back Swivel/Tilt Chairs</t>
  </si>
  <si>
    <t>Aaron Dillon</t>
  </si>
  <si>
    <t>Weatherford</t>
  </si>
  <si>
    <t>Avery White Multi-Purpose Labels</t>
  </si>
  <si>
    <t>Ultra Door Pull Handle</t>
  </si>
  <si>
    <t>Xerox 1920</t>
  </si>
  <si>
    <t>Alison Jones</t>
  </si>
  <si>
    <t>Talkabout T8097</t>
  </si>
  <si>
    <t>Wilmington</t>
  </si>
  <si>
    <t>Marvin Yang</t>
  </si>
  <si>
    <t>Lexmark Z54se Color Inkjet Printer</t>
  </si>
  <si>
    <t>Pearl</t>
  </si>
  <si>
    <t>Neil Hogan</t>
  </si>
  <si>
    <t>Snap-A-Way® Black Print Carbonless Ruled Speed Letter, Triplicate</t>
  </si>
  <si>
    <t>Tualatin</t>
  </si>
  <si>
    <t>Sarah Ramsey</t>
  </si>
  <si>
    <t>Staples Gold Paper Clips</t>
  </si>
  <si>
    <t>Syracuse</t>
  </si>
  <si>
    <t>StarTAC 7797</t>
  </si>
  <si>
    <t>Lloyd Norris</t>
  </si>
  <si>
    <t>Arlington Heights</t>
  </si>
  <si>
    <t>Gerald Kearney</t>
  </si>
  <si>
    <t>APC 7 Outlet Network SurgeArrest Surge Protector</t>
  </si>
  <si>
    <t>Aurora</t>
  </si>
  <si>
    <t>Andrew Pearce</t>
  </si>
  <si>
    <t>Hon Every-Day® Chair Series Swivel Task Chairs</t>
  </si>
  <si>
    <t>Tony Chandler</t>
  </si>
  <si>
    <t>Self-Adhesive Address Labels for Typewriters by Universal</t>
  </si>
  <si>
    <t>Highland Village</t>
  </si>
  <si>
    <t>Paige Jacobs</t>
  </si>
  <si>
    <t>Accessory28</t>
  </si>
  <si>
    <t>Friendswood</t>
  </si>
  <si>
    <t>Virginia McNeill</t>
  </si>
  <si>
    <t>GBC ProClick Spines for 32-Hole Punch</t>
  </si>
  <si>
    <t>Kenosha</t>
  </si>
  <si>
    <t>Leslie Jacobson</t>
  </si>
  <si>
    <t>El Mirage</t>
  </si>
  <si>
    <t>Stacy Byrne</t>
  </si>
  <si>
    <t>Westerville</t>
  </si>
  <si>
    <t>Herbert Beard</t>
  </si>
  <si>
    <t>Sulphur Springs</t>
  </si>
  <si>
    <t>Fellowes High-Stak® Drawer Files</t>
  </si>
  <si>
    <t>Erika Jordan</t>
  </si>
  <si>
    <t>O'Sullivan Living Dimensions 2-Shelf Bookcases</t>
  </si>
  <si>
    <t>Plum</t>
  </si>
  <si>
    <t>Paul Tate</t>
  </si>
  <si>
    <t>Jim Hinson</t>
  </si>
  <si>
    <t>Rochester Hills</t>
  </si>
  <si>
    <t>Joan Floyd</t>
  </si>
  <si>
    <t>Bevis 36 x 72 Conference Tables</t>
  </si>
  <si>
    <t>Gulfport</t>
  </si>
  <si>
    <t>Betty Giles</t>
  </si>
  <si>
    <t>Hewlett-Packard Deskjet 940 REFURBISHED Color Inkjet Printer</t>
  </si>
  <si>
    <t>Maple Grove</t>
  </si>
  <si>
    <t>Xerox 1997</t>
  </si>
  <si>
    <t>Louise Webster Sharma</t>
  </si>
  <si>
    <t>Xerox 1983</t>
  </si>
  <si>
    <t>Hickory</t>
  </si>
  <si>
    <t>Lawrence Haas</t>
  </si>
  <si>
    <t>Southworth Structures Collection™</t>
  </si>
  <si>
    <t>Port Saint Lucie</t>
  </si>
  <si>
    <t>Marvin Patrick</t>
  </si>
  <si>
    <t>Stanley Bostitch Contemporary Electric Pencil Sharpeners</t>
  </si>
  <si>
    <t>Detroit</t>
  </si>
  <si>
    <t>282</t>
  </si>
  <si>
    <t>Donald Melton</t>
  </si>
  <si>
    <t>Danielle Baird</t>
  </si>
  <si>
    <t>Kleencut® Forged Office Shears by Acme United Corporation</t>
  </si>
  <si>
    <t>Tiffany Merrill</t>
  </si>
  <si>
    <t>Newell 307</t>
  </si>
  <si>
    <t>Oakdale</t>
  </si>
  <si>
    <t>Irene Murphy</t>
  </si>
  <si>
    <t>Pullman</t>
  </si>
  <si>
    <t>Thomas McAllister</t>
  </si>
  <si>
    <t>80 Minute Slim Jewel Case CD-R , 10/Pack - Staples</t>
  </si>
  <si>
    <t>Pikesville</t>
  </si>
  <si>
    <t>Accessory34</t>
  </si>
  <si>
    <t>Glen Caldwell</t>
  </si>
  <si>
    <t>Edith Forbes</t>
  </si>
  <si>
    <t>2180</t>
  </si>
  <si>
    <t>Tewksbury</t>
  </si>
  <si>
    <t>Tenex Traditional Chairmats for Medium Pile Carpet, Standard Lip, 36" x 48"</t>
  </si>
  <si>
    <t>Lois Rowland</t>
  </si>
  <si>
    <t>Chromcraft Rectangular Conference Tables</t>
  </si>
  <si>
    <t>Santa Maria</t>
  </si>
  <si>
    <t>Neal Wolfe</t>
  </si>
  <si>
    <t>Julie Edwards</t>
  </si>
  <si>
    <t>Wesley Corbett</t>
  </si>
  <si>
    <t>Conroe</t>
  </si>
  <si>
    <t>Marcus Dunlap</t>
  </si>
  <si>
    <t>Roselle</t>
  </si>
  <si>
    <t>Doris Fitzpatrick</t>
  </si>
  <si>
    <t>Durable Pressboard Binders</t>
  </si>
  <si>
    <t>Carmel</t>
  </si>
  <si>
    <t>Adams Telephone Message Book w/Frequently-Called Numbers Space, 400 Messages per Book</t>
  </si>
  <si>
    <t>Bretford “Just In Time” Height-Adjustable Multi-Task Work Tables</t>
  </si>
  <si>
    <t>Geoffrey H Wong</t>
  </si>
  <si>
    <t>Rome</t>
  </si>
  <si>
    <t>Accessory15</t>
  </si>
  <si>
    <t>Jonathan Crabtree</t>
  </si>
  <si>
    <t>Addison</t>
  </si>
  <si>
    <t>Accessory37</t>
  </si>
  <si>
    <t>Shawn Combs</t>
  </si>
  <si>
    <t>Filing/Storage Totes and Swivel Casters</t>
  </si>
  <si>
    <t>Auburn</t>
  </si>
  <si>
    <t>Electrix 20W Halogen Replacement Bulb for Zoom-In Desk Lamp</t>
  </si>
  <si>
    <t>210 Trimline Phone, White</t>
  </si>
  <si>
    <t>Edna Michael</t>
  </si>
  <si>
    <t>Port Charlotte</t>
  </si>
  <si>
    <t>Jordan Womble</t>
  </si>
  <si>
    <t>Hays</t>
  </si>
  <si>
    <t>Global Leather Task Chair, Black</t>
  </si>
  <si>
    <t>Clyde Burnett</t>
  </si>
  <si>
    <t>Howard Miller 12-3/4 Diameter Accuwave DS ™ Wall Clock</t>
  </si>
  <si>
    <t>Coachella</t>
  </si>
  <si>
    <t>Canon Imageclass D680 Copier / Fax</t>
  </si>
  <si>
    <t>Ronnie Nolan</t>
  </si>
  <si>
    <t>Waterville</t>
  </si>
  <si>
    <t>Malcolm Floyd</t>
  </si>
  <si>
    <t>The Colony</t>
  </si>
  <si>
    <t>Hazel Jennings</t>
  </si>
  <si>
    <t>Imation 3.5", DISKETTE 44766 HGHLD3.52HD/FM, 10/Pack</t>
  </si>
  <si>
    <t>Patrick Byrne</t>
  </si>
  <si>
    <t>Molly Browning</t>
  </si>
  <si>
    <t>Hon 2111 Invitation™ Series Corner Table</t>
  </si>
  <si>
    <t>Glen Cove</t>
  </si>
  <si>
    <t>BOSTON® Ranger® #55 Pencil Sharpener, Black</t>
  </si>
  <si>
    <t>Robyn Garner</t>
  </si>
  <si>
    <t>Adams Telephone Message Books, 5 1/4” x 11”</t>
  </si>
  <si>
    <t>Redlands</t>
  </si>
  <si>
    <t>Chris Pritchard</t>
  </si>
  <si>
    <t>Deflect-o Glass Clear Studded Chair Mats</t>
  </si>
  <si>
    <t>West Valley City</t>
  </si>
  <si>
    <t>John Merritt</t>
  </si>
  <si>
    <t>White Dual Perf Computer Printout Paper, 2700 Sheets, 1 Part, Heavyweight, 20 lbs., 14 7/8 x 11</t>
  </si>
  <si>
    <t>Keller</t>
  </si>
  <si>
    <t>Vicki Bond</t>
  </si>
  <si>
    <t>Burbank</t>
  </si>
  <si>
    <t>Maureen Whitley</t>
  </si>
  <si>
    <t>DS/HD IBM Formatted Diskettes, 200/Pack - Staples</t>
  </si>
  <si>
    <t>Tamarac</t>
  </si>
  <si>
    <t>Molly Webster</t>
  </si>
  <si>
    <t>Wilson Jones Custom Binder Spines &amp; Labels</t>
  </si>
  <si>
    <t>Durango</t>
  </si>
  <si>
    <t>Sharp 1540cs Digital Laser Copier</t>
  </si>
  <si>
    <t>Multi-Use Personal File Cart and Caster Set, Three Stacking Bins</t>
  </si>
  <si>
    <t>Wallace Werner</t>
  </si>
  <si>
    <t>Vallejo</t>
  </si>
  <si>
    <t>Shawn Meyer</t>
  </si>
  <si>
    <t>5165</t>
  </si>
  <si>
    <t>Corsicana</t>
  </si>
  <si>
    <t>Geoffrey Koch</t>
  </si>
  <si>
    <t>Kankakee</t>
  </si>
  <si>
    <t>Gail Currin</t>
  </si>
  <si>
    <t>Xerox 1971</t>
  </si>
  <si>
    <t>Oxnard</t>
  </si>
  <si>
    <t>Cindy Harvey</t>
  </si>
  <si>
    <t>80 Minute CD-R Spindle, 100/Pack - Staples</t>
  </si>
  <si>
    <t>Tooele</t>
  </si>
  <si>
    <t>Monica Howard</t>
  </si>
  <si>
    <t>X-Rack™ File for Hanging Folders</t>
  </si>
  <si>
    <t>El Centro</t>
  </si>
  <si>
    <t>3390</t>
  </si>
  <si>
    <t>Samuel Newman</t>
  </si>
  <si>
    <t>Desktop 3-Pocket Hot File®</t>
  </si>
  <si>
    <t>Summerville</t>
  </si>
  <si>
    <t>Vincent Hale</t>
  </si>
  <si>
    <t>Newell 315</t>
  </si>
  <si>
    <t>Francis Kendall</t>
  </si>
  <si>
    <t>Albuquerque</t>
  </si>
  <si>
    <t>Wausau Papers Astrobrights® Colored Envelopes</t>
  </si>
  <si>
    <t>Eureka Disposable Bags for Sanitaire® Vibra Groomer I® Upright Vac</t>
  </si>
  <si>
    <t>Avery 510</t>
  </si>
  <si>
    <t>Dana Swing-Arm Lamps</t>
  </si>
  <si>
    <t>Gretchen McKinney</t>
  </si>
  <si>
    <t>Parma</t>
  </si>
  <si>
    <t>Michael Shaffer</t>
  </si>
  <si>
    <t>Executive Impressions 13" Clairmont Wall Clock</t>
  </si>
  <si>
    <t>Kissimmee</t>
  </si>
  <si>
    <t>Michele Bullard</t>
  </si>
  <si>
    <t>Orland Park</t>
  </si>
  <si>
    <t>Eldon Expressions™ Desk Accessory, Wood Pencil Holder, Oak</t>
  </si>
  <si>
    <t>Wayne Sutherland</t>
  </si>
  <si>
    <t>Ibico Covers for Plastic or Wire Binding Elements</t>
  </si>
  <si>
    <t>Downers Grove</t>
  </si>
  <si>
    <t>Hanging Personal Folder File</t>
  </si>
  <si>
    <t>Tennsco Double-Tier Lockers</t>
  </si>
  <si>
    <t>Wesley Waller</t>
  </si>
  <si>
    <t>Zoom V.92 USB External Faxmodem</t>
  </si>
  <si>
    <t>Phillip Holmes</t>
  </si>
  <si>
    <t>Arlington</t>
  </si>
  <si>
    <t>Sean McKenna</t>
  </si>
  <si>
    <t>Office Star Flex Back Scooter Chair with Aluminum Finish Frame</t>
  </si>
  <si>
    <t>Hobbs</t>
  </si>
  <si>
    <t>Erika Fink</t>
  </si>
  <si>
    <t>Eureka Sanitaire ® Multi-Pro Heavy-Duty Upright, Disposable Bags</t>
  </si>
  <si>
    <t>Salt Lake City</t>
  </si>
  <si>
    <t>CF 688</t>
  </si>
  <si>
    <t>Ricky Sanders</t>
  </si>
  <si>
    <t>Joliet</t>
  </si>
  <si>
    <t>Walter Young</t>
  </si>
  <si>
    <t>Pleasant Grove</t>
  </si>
  <si>
    <t>Lee Hancock</t>
  </si>
  <si>
    <t>Global Leather &amp; Oak Executive Chair, Burgundy</t>
  </si>
  <si>
    <t>Hunt Boston® Vacuum Mount KS Pencil Sharpener</t>
  </si>
  <si>
    <t>Carrie Lewis</t>
  </si>
  <si>
    <t>Eaton Premium Continuous-Feed Paper, 25% Cotton, Letter Size, White, 1000 Shts/Box</t>
  </si>
  <si>
    <t>Kettering</t>
  </si>
  <si>
    <t>Paula Hubbard</t>
  </si>
  <si>
    <t>Xerox 1938</t>
  </si>
  <si>
    <t>Kearns</t>
  </si>
  <si>
    <t>Shawn McIntyre</t>
  </si>
  <si>
    <t>Okidata ML390 Turbo Dot Matrix Printers</t>
  </si>
  <si>
    <t>Louisville</t>
  </si>
  <si>
    <t>Monica Law Thompson</t>
  </si>
  <si>
    <t>Texarkana</t>
  </si>
  <si>
    <t>Leo Kane</t>
  </si>
  <si>
    <t>Derby</t>
  </si>
  <si>
    <t>Hand-Finished Solid Wood Document Frame</t>
  </si>
  <si>
    <t>Miriam Bowman</t>
  </si>
  <si>
    <t>Wirebound Service Call Books, 5 1/2" x 4"</t>
  </si>
  <si>
    <t>Hollywood</t>
  </si>
  <si>
    <t>Iceberg OfficeWorks 42" Round Tables</t>
  </si>
  <si>
    <t>Ricky W Clements</t>
  </si>
  <si>
    <t>Vestavia Hills</t>
  </si>
  <si>
    <t>Roberta Mitchell</t>
  </si>
  <si>
    <t>9-3/4 Diameter Round Wall Clock</t>
  </si>
  <si>
    <t>Paris</t>
  </si>
  <si>
    <t>Fellowes Bases and Tops For Staxonsteel®/High-Stak® Systems</t>
  </si>
  <si>
    <t>Cameron Owens</t>
  </si>
  <si>
    <t>Covington</t>
  </si>
  <si>
    <t>Benjamin Porter</t>
  </si>
  <si>
    <t>Livonia</t>
  </si>
  <si>
    <t>Kathryn Tate</t>
  </si>
  <si>
    <t>Staples Copy Paper (20Lb. and 84 Bright)</t>
  </si>
  <si>
    <t>Marshall Brandt Briggs</t>
  </si>
  <si>
    <t>Maryville</t>
  </si>
  <si>
    <t>Roy Hardison</t>
  </si>
  <si>
    <t>Belkin Premiere Surge Master II 8-outlet surge protector</t>
  </si>
  <si>
    <t>Maureen Herbert Hood</t>
  </si>
  <si>
    <t>Global Leather and Oak Executive Chair, Black</t>
  </si>
  <si>
    <t>Appleton</t>
  </si>
  <si>
    <t>Nathan Jenkins</t>
  </si>
  <si>
    <t>T28 WORLD</t>
  </si>
  <si>
    <t>Pine Bluff</t>
  </si>
  <si>
    <t>Ray Grady</t>
  </si>
  <si>
    <t>Eagle Pass</t>
  </si>
  <si>
    <t>Benjamin Chan</t>
  </si>
  <si>
    <t>Redwood City</t>
  </si>
  <si>
    <t>Julian F Wolfe</t>
  </si>
  <si>
    <t>Hanover Park</t>
  </si>
  <si>
    <t>Louis Parrish</t>
  </si>
  <si>
    <t>Ibico Laser Imprintable Binding System Covers</t>
  </si>
  <si>
    <t>Dixon Ticonderoga Core-Lock Colored Pencils, 48-Color Set</t>
  </si>
  <si>
    <t>Edward Lamm</t>
  </si>
  <si>
    <t>Eldon® Gobal File Keepers</t>
  </si>
  <si>
    <t>New Hampshire</t>
  </si>
  <si>
    <t>Nashua</t>
  </si>
  <si>
    <t>Beth English</t>
  </si>
  <si>
    <t>Elmwood Park</t>
  </si>
  <si>
    <t>Faye Wolf</t>
  </si>
  <si>
    <t>South Orange</t>
  </si>
  <si>
    <t>Vincent Daniel</t>
  </si>
  <si>
    <t>Fruit Cove</t>
  </si>
  <si>
    <t>Helen H Heller</t>
  </si>
  <si>
    <t>Dana Fluorescent Magnifying Lamp, White, 36"</t>
  </si>
  <si>
    <t>Hacienda Heights</t>
  </si>
  <si>
    <t>Avery 494</t>
  </si>
  <si>
    <t>Sharon Ellis</t>
  </si>
  <si>
    <t>Deflect-o SuperTray™ Unbreakable Stackable Tray, Letter, Black</t>
  </si>
  <si>
    <t>Shoreview</t>
  </si>
  <si>
    <t>Rachel Casey</t>
  </si>
  <si>
    <t>Accessory41</t>
  </si>
  <si>
    <t>Marvin Rollins</t>
  </si>
  <si>
    <t>Stamford</t>
  </si>
  <si>
    <t>Paige Mason</t>
  </si>
  <si>
    <t>Hon GuestStacker Chair</t>
  </si>
  <si>
    <t>Norfolk</t>
  </si>
  <si>
    <t>Wilson Jones 14 Line Acrylic Coated Pressboard Data Binders</t>
  </si>
  <si>
    <t>Wilson Jones Ledger-Size, Piano-Hinge Binder, 2", Blue</t>
  </si>
  <si>
    <t>Vanessa Winstead</t>
  </si>
  <si>
    <t>Deluxe Rollaway Locking File with Drawer</t>
  </si>
  <si>
    <t>Pekin</t>
  </si>
  <si>
    <t>Elsie Pridgen</t>
  </si>
  <si>
    <t>Telephone Message Books with Fax/Mobile Section, 4 1/4" x 6"</t>
  </si>
  <si>
    <t>Laguna Hills</t>
  </si>
  <si>
    <t>Dana Burgess</t>
  </si>
  <si>
    <t>Xerox 1985</t>
  </si>
  <si>
    <t>Heather Stern</t>
  </si>
  <si>
    <t>Newington</t>
  </si>
  <si>
    <t>Hazel Khan</t>
  </si>
  <si>
    <t>Ann Steele</t>
  </si>
  <si>
    <t>Kirkland</t>
  </si>
  <si>
    <t>Sharp AL-1530CS Digital Copier</t>
  </si>
  <si>
    <t>Marcia Feldman</t>
  </si>
  <si>
    <t>TI 30X Scientific Calculator</t>
  </si>
  <si>
    <t>Little Rock</t>
  </si>
  <si>
    <t>Lloyd Dickson</t>
  </si>
  <si>
    <t>Xerox 1893</t>
  </si>
  <si>
    <t>Buffalo Grove</t>
  </si>
  <si>
    <t>Erin Ballard</t>
  </si>
  <si>
    <t>Gayle Pearson</t>
  </si>
  <si>
    <t>David Wrenn</t>
  </si>
  <si>
    <t>O'Sullivan Elevations Bookcase, Cherry Finish</t>
  </si>
  <si>
    <t>Georgetown</t>
  </si>
  <si>
    <t>Nelson Hong</t>
  </si>
  <si>
    <t>Hewlett-Packard 4.7GB DVD+R Discs</t>
  </si>
  <si>
    <t>Torrance</t>
  </si>
  <si>
    <t>600 Series Flip</t>
  </si>
  <si>
    <t>Gilbert Godfrey</t>
  </si>
  <si>
    <t>Economy Binders</t>
  </si>
  <si>
    <t>Sault Sainte Marie</t>
  </si>
  <si>
    <t>Nu-Form 106-Key Ergonomic Keyboard w/ Touchpad</t>
  </si>
  <si>
    <t>Xerox 1989</t>
  </si>
  <si>
    <t>Gregory Holden</t>
  </si>
  <si>
    <t>Global Commerce™ Series High-Back Swivel/Tilt Chairs</t>
  </si>
  <si>
    <t>Riverside</t>
  </si>
  <si>
    <t>Jennifer Stanton</t>
  </si>
  <si>
    <t>Winter Garden</t>
  </si>
  <si>
    <t>Gordon Brandt</t>
  </si>
  <si>
    <t>Lorraine Boykin</t>
  </si>
  <si>
    <t>Shirley</t>
  </si>
  <si>
    <t>Glenda Simon</t>
  </si>
  <si>
    <t>GBC VeloBinder Electric Binding Machine</t>
  </si>
  <si>
    <t>Camarillo</t>
  </si>
  <si>
    <t>Imation 3.5 IBM Formatted Diskettes, 10/Box</t>
  </si>
  <si>
    <t>V3682</t>
  </si>
  <si>
    <t>Eugene H Walsh</t>
  </si>
  <si>
    <t>Xerox 20</t>
  </si>
  <si>
    <t>Manitowoc</t>
  </si>
  <si>
    <t>Dwight Robinson</t>
  </si>
  <si>
    <t>1726 Digital Answering Machine</t>
  </si>
  <si>
    <t>Lynne Griffith</t>
  </si>
  <si>
    <t>Hagerstown</t>
  </si>
  <si>
    <t>Fiskars 8" Scissors, 2/Pack</t>
  </si>
  <si>
    <t>Stephen Lam</t>
  </si>
  <si>
    <t>Pahrump</t>
  </si>
  <si>
    <t>Fellowes Stor/Drawer® Steel Plus™ Storage Drawers</t>
  </si>
  <si>
    <t>Michael Tanner</t>
  </si>
  <si>
    <t>Fellowes EZ Multi-Media Keyboard</t>
  </si>
  <si>
    <t>Serrated Blade or Curved Handle Hand Letter Openers</t>
  </si>
  <si>
    <t>Faye Hanna</t>
  </si>
  <si>
    <t>El Dorado Hills</t>
  </si>
  <si>
    <t>Denise Parks</t>
  </si>
  <si>
    <t>Theresa Winters</t>
  </si>
  <si>
    <t>Bryant</t>
  </si>
  <si>
    <t>KF 788</t>
  </si>
  <si>
    <t>Josephine Rao</t>
  </si>
  <si>
    <t>Hammond</t>
  </si>
  <si>
    <t>Harold Albright</t>
  </si>
  <si>
    <t>Caroline Stone</t>
  </si>
  <si>
    <t>Memo Book, 100 Message Capacity, 5 3/8” x 11”</t>
  </si>
  <si>
    <t>Edwin Coley</t>
  </si>
  <si>
    <t>Staples 1 Part Blank Computer Paper</t>
  </si>
  <si>
    <t>Mansfield</t>
  </si>
  <si>
    <t>12-1/2 Diameter Round Wall Clock</t>
  </si>
  <si>
    <t>Tracy Buckley</t>
  </si>
  <si>
    <t>Executive Impressions 14" Contract Wall Clock</t>
  </si>
  <si>
    <t>North Little Rock</t>
  </si>
  <si>
    <t>Judith Shepherd</t>
  </si>
  <si>
    <t>Muskego</t>
  </si>
  <si>
    <t>Donna Braun</t>
  </si>
  <si>
    <t>Hoover</t>
  </si>
  <si>
    <t>Anita Kent</t>
  </si>
  <si>
    <t>Linden</t>
  </si>
  <si>
    <t>Jacob Hirsch</t>
  </si>
  <si>
    <t>Epson LQ-870 Dot Matrix Printer</t>
  </si>
  <si>
    <t>Barrington</t>
  </si>
  <si>
    <t>Sidney Gilliam</t>
  </si>
  <si>
    <t>Rush Hierlooms Collection 1" Thick Stackable Bookcases</t>
  </si>
  <si>
    <t>Riverview</t>
  </si>
  <si>
    <t>Lynn Morrow</t>
  </si>
  <si>
    <t>Avery 501</t>
  </si>
  <si>
    <t>Salem</t>
  </si>
  <si>
    <t>Shannon Aldridge</t>
  </si>
  <si>
    <t>North Olmsted</t>
  </si>
  <si>
    <t>Susan Carroll Berman</t>
  </si>
  <si>
    <t>Carole Miller</t>
  </si>
  <si>
    <t>Austintown</t>
  </si>
  <si>
    <t>Lynn O'Donnell</t>
  </si>
  <si>
    <t>Elgin</t>
  </si>
  <si>
    <t>Manila Recycled Extra-Heavyweight Clasp Envelopes, 6" x 9"</t>
  </si>
  <si>
    <t>Peter McConnell</t>
  </si>
  <si>
    <t>Columbus</t>
  </si>
  <si>
    <t>3M Organizer Strips</t>
  </si>
  <si>
    <t>Imation 3.5 IBM Diskettes, 10/Box</t>
  </si>
  <si>
    <t>GE 4 Foot Flourescent Tube, 40 Watt</t>
  </si>
  <si>
    <t>300 Series Non-Flip</t>
  </si>
  <si>
    <t>Katie Dougherty</t>
  </si>
  <si>
    <t>Hoover Replacement Belts For Soft Guard™ &amp; Commercial Ltweight Upright Vacs, 2/Pk</t>
  </si>
  <si>
    <t>Spanaway</t>
  </si>
  <si>
    <t>Ibico Ibimaster 300 Manual Binding System</t>
  </si>
  <si>
    <t>Laurence Poe</t>
  </si>
  <si>
    <t>Spokane</t>
  </si>
  <si>
    <t>Sally Dunn</t>
  </si>
  <si>
    <t>Tenex Contemporary Contur Chairmats for Low and Medium Pile Carpet, Computer, 39" x 49"</t>
  </si>
  <si>
    <t>Tuscaloosa</t>
  </si>
  <si>
    <t>Debra Batchelor</t>
  </si>
  <si>
    <t>Moscow</t>
  </si>
  <si>
    <t>Eldon Shelf Savers™ Cubes and Bins</t>
  </si>
  <si>
    <t>Lewis Baldwin</t>
  </si>
  <si>
    <t>Montclair</t>
  </si>
  <si>
    <t>Elsie Lane</t>
  </si>
  <si>
    <t>Presstex Flexible Ring Binders</t>
  </si>
  <si>
    <t>Midland</t>
  </si>
  <si>
    <t>Erica R Fuller</t>
  </si>
  <si>
    <t>Clayton</t>
  </si>
  <si>
    <t>Roy Rouse</t>
  </si>
  <si>
    <t>Coeur D Alene</t>
  </si>
  <si>
    <t>Heavy-Duty E-Z-D® Binders</t>
  </si>
  <si>
    <t>Kerry Green</t>
  </si>
  <si>
    <t>Staples #10 Laser &amp; Inkjet Envelopes, 4 1/8" x 9 1/2", 100/Box</t>
  </si>
  <si>
    <t>Indianapolis</t>
  </si>
  <si>
    <t>Frances Jackson</t>
  </si>
  <si>
    <t>Jeffersonville</t>
  </si>
  <si>
    <t>Cynthia Khan</t>
  </si>
  <si>
    <t>Xerox 1950</t>
  </si>
  <si>
    <t>Xerox 224</t>
  </si>
  <si>
    <t>Penny Rich</t>
  </si>
  <si>
    <t>Xerox 1896</t>
  </si>
  <si>
    <t>Minnetonka Mills</t>
  </si>
  <si>
    <t>Ashley Reese</t>
  </si>
  <si>
    <t>Avery® Durable Slant Ring Binders With Label Holder</t>
  </si>
  <si>
    <t>Saint Louis</t>
  </si>
  <si>
    <t>Eileen Riddle</t>
  </si>
  <si>
    <t>Xerox 204</t>
  </si>
  <si>
    <t>Roy</t>
  </si>
  <si>
    <t>Penny O Caldwell</t>
  </si>
  <si>
    <t>Bush® Cubix Conference Tables, Fully Assembled</t>
  </si>
  <si>
    <t>Jeff Spivey</t>
  </si>
  <si>
    <t>Euro Pro Shark Stick Mini Vacuum</t>
  </si>
  <si>
    <t>Stephanie Sun Perry</t>
  </si>
  <si>
    <t>GBC Wire Binding Strips</t>
  </si>
  <si>
    <t>Saratoga</t>
  </si>
  <si>
    <t>Bob Gibson</t>
  </si>
  <si>
    <t>Hon Comfortask® Task/Swivel Chairs</t>
  </si>
  <si>
    <t>Port Huron</t>
  </si>
  <si>
    <t>Panasonic KX-P3626 Dot Matrix Printer</t>
  </si>
  <si>
    <t>Jesse Hutchinson</t>
  </si>
  <si>
    <t>Zebra Zazzle Fluorescent Highlighters</t>
  </si>
  <si>
    <t>Goleta</t>
  </si>
  <si>
    <t>Holmes Cool Mist Humidifier for the Whole House with 8-Gallon Output per Day, Extended Life Filter</t>
  </si>
  <si>
    <t>Allen Nash</t>
  </si>
  <si>
    <t>Waynesboro</t>
  </si>
  <si>
    <t>Joel Burnette</t>
  </si>
  <si>
    <t>Dunwoody</t>
  </si>
  <si>
    <t>Leslie Hawley</t>
  </si>
  <si>
    <t>Canon MP25DIII Desktop Whisper-Quiet Printing Calculator</t>
  </si>
  <si>
    <t>Tulsa</t>
  </si>
  <si>
    <t>Richard McClure</t>
  </si>
  <si>
    <t>Thornton</t>
  </si>
  <si>
    <t>Bush Heritage Pine Collection 5-Shelf Bookcase, Albany Pine Finish, *Special Order</t>
  </si>
  <si>
    <t>i470</t>
  </si>
  <si>
    <t>Kathy Shah</t>
  </si>
  <si>
    <t>Garner</t>
  </si>
  <si>
    <t>Theodore Tyson</t>
  </si>
  <si>
    <t>Romeoville</t>
  </si>
  <si>
    <t>Nicole Pope</t>
  </si>
  <si>
    <t>#10- 4 1/8" x 9 1/2" Security-Tint Envelopes</t>
  </si>
  <si>
    <t>Rocky Mount</t>
  </si>
  <si>
    <t>Hewlett-Packard Deskjet 1220Cse Color Inkjet Printer</t>
  </si>
  <si>
    <t>Rick Ellis</t>
  </si>
  <si>
    <t>AT&amp;T 2230 Dual Handset Phone With Caller ID/Call Waiting</t>
  </si>
  <si>
    <t>Angela Rose</t>
  </si>
  <si>
    <t>Xerox 1961</t>
  </si>
  <si>
    <t>Lorraine Kelly</t>
  </si>
  <si>
    <t>6160</t>
  </si>
  <si>
    <t>Puyallup</t>
  </si>
  <si>
    <t>Elisabeth Massey</t>
  </si>
  <si>
    <t>Avery 479</t>
  </si>
  <si>
    <t>Prescott</t>
  </si>
  <si>
    <t>Kate Lehman</t>
  </si>
  <si>
    <t>Westinghouse Clip-On Gooseneck Lamps</t>
  </si>
  <si>
    <t>Dundalk</t>
  </si>
  <si>
    <t>Gloria Jacobs</t>
  </si>
  <si>
    <t>Eldon® 200 Class™ Desk Accessories, Burgundy</t>
  </si>
  <si>
    <t>Elmira</t>
  </si>
  <si>
    <t>Laurence Hull</t>
  </si>
  <si>
    <t>Portage</t>
  </si>
  <si>
    <t>Alison Stewart</t>
  </si>
  <si>
    <t>US Robotics 56K V.92 External Faxmodem</t>
  </si>
  <si>
    <t>Des Plaines</t>
  </si>
  <si>
    <t>Fellowes Staxonsteel® Drawer Files</t>
  </si>
  <si>
    <t>Accessory39</t>
  </si>
  <si>
    <t>Andrea Shaw</t>
  </si>
  <si>
    <t>Crate-A-Files™</t>
  </si>
  <si>
    <t>Danville</t>
  </si>
  <si>
    <t>Avery Hanging File Binders</t>
  </si>
  <si>
    <t>Amanda Conner</t>
  </si>
  <si>
    <t>Papillion</t>
  </si>
  <si>
    <t>Anne Bland</t>
  </si>
  <si>
    <t>Channelview</t>
  </si>
  <si>
    <t>Xerox 1973</t>
  </si>
  <si>
    <t>Brian Bennett</t>
  </si>
  <si>
    <t>Cheektowaga</t>
  </si>
  <si>
    <t>Anne Schultz</t>
  </si>
  <si>
    <t>Accessory4</t>
  </si>
  <si>
    <t>Athens</t>
  </si>
  <si>
    <t>Megan York</t>
  </si>
  <si>
    <t>Caldwell</t>
  </si>
  <si>
    <t>Yvonne Fox</t>
  </si>
  <si>
    <t>Tenex B1-RE Series Chair Mats for Low Pile Carpets</t>
  </si>
  <si>
    <t>Watauga</t>
  </si>
  <si>
    <t>Francis Spivey</t>
  </si>
  <si>
    <t>Lynda Herman</t>
  </si>
  <si>
    <t>Rodney Kearney</t>
  </si>
  <si>
    <t>Metairie</t>
  </si>
  <si>
    <t>Kent Burton</t>
  </si>
  <si>
    <t>Delaware</t>
  </si>
  <si>
    <t>Jessica Huffman</t>
  </si>
  <si>
    <t>Dublin</t>
  </si>
  <si>
    <t>Rhonda Stein</t>
  </si>
  <si>
    <t>i270</t>
  </si>
  <si>
    <t>Salisbury</t>
  </si>
  <si>
    <t>Vickie Morse</t>
  </si>
  <si>
    <t>Xerox 210</t>
  </si>
  <si>
    <t>Reisterstown</t>
  </si>
  <si>
    <t>Arnold Floyd Blair</t>
  </si>
  <si>
    <t>Rock Hill</t>
  </si>
  <si>
    <t>Rhonda Bryant</t>
  </si>
  <si>
    <t>Xerox 216</t>
  </si>
  <si>
    <t>Winter Haven</t>
  </si>
  <si>
    <t>Fellowes Recycled Storage Drawers</t>
  </si>
  <si>
    <t>Alison Peters Wooten</t>
  </si>
  <si>
    <t>West Islip</t>
  </si>
  <si>
    <t>Neal Weber</t>
  </si>
  <si>
    <t>Rita Barton</t>
  </si>
  <si>
    <t>Ridgewood</t>
  </si>
  <si>
    <t>Lynn Bell</t>
  </si>
  <si>
    <t>Linden® 12" Wall Clock With Oak Frame</t>
  </si>
  <si>
    <t>Bennington</t>
  </si>
  <si>
    <t>Colleen Marsh</t>
  </si>
  <si>
    <t>Global Leather Highback Executive Chair with Pneumatic Height Adjustment, Black</t>
  </si>
  <si>
    <t>Ken H Frazier</t>
  </si>
  <si>
    <t>StarTAC 7760</t>
  </si>
  <si>
    <t>Oakton</t>
  </si>
  <si>
    <t>Ricky Allred</t>
  </si>
  <si>
    <t>Columbia</t>
  </si>
  <si>
    <t>Jeanne Werner</t>
  </si>
  <si>
    <t>O'Sullivan Living Dimensions 3-Shelf Bookcases</t>
  </si>
  <si>
    <t>Sandra Sharma</t>
  </si>
  <si>
    <t>Morristown</t>
  </si>
  <si>
    <t>Laurie Petty</t>
  </si>
  <si>
    <t>Jupiter</t>
  </si>
  <si>
    <t>Charlie Moore</t>
  </si>
  <si>
    <t>Anderson</t>
  </si>
  <si>
    <t>Edgar Stone</t>
  </si>
  <si>
    <t>Peggy Lanier</t>
  </si>
  <si>
    <t>Angle-D Binders with Locking Rings, Label Holders</t>
  </si>
  <si>
    <t>Roseville</t>
  </si>
  <si>
    <t>Dorothy Holt</t>
  </si>
  <si>
    <t>Advantus Employee of the Month Certificate Frame, 11 x 13-1/2</t>
  </si>
  <si>
    <t>Irving</t>
  </si>
  <si>
    <t>Beverly Cooke Brooks</t>
  </si>
  <si>
    <t>SC7868i</t>
  </si>
  <si>
    <t>Stratford</t>
  </si>
  <si>
    <t>Lindsay Link</t>
  </si>
  <si>
    <t>Belkin 107-key enhanced keyboard, USB/PS/2 interface</t>
  </si>
  <si>
    <t>Lewiston</t>
  </si>
  <si>
    <t>Emma Bloom</t>
  </si>
  <si>
    <t>Seth Thomas 14" Putty-Colored Wall Clock</t>
  </si>
  <si>
    <t>Rock Springs</t>
  </si>
  <si>
    <t>Marvin Parrott</t>
  </si>
  <si>
    <t>Newell 310</t>
  </si>
  <si>
    <t>Duluth</t>
  </si>
  <si>
    <t>Sandy Ellington</t>
  </si>
  <si>
    <t>Reno</t>
  </si>
  <si>
    <t>Eugene Brewer Knox</t>
  </si>
  <si>
    <t>Acco® Hot Clips™ Clips to Go</t>
  </si>
  <si>
    <t>Bethpage</t>
  </si>
  <si>
    <t>Leah Davenport</t>
  </si>
  <si>
    <t>Storex DuraTech Recycled Plastic Frosted Binders</t>
  </si>
  <si>
    <t>Hesperia</t>
  </si>
  <si>
    <t>Brett Ingram</t>
  </si>
  <si>
    <t>Harker Heights</t>
  </si>
  <si>
    <t>Emma Buckley</t>
  </si>
  <si>
    <t>Holmes Replacement Filter for HEPA Air Cleaner, Very Large Room, HEPA Filter</t>
  </si>
  <si>
    <t>Boston 1730 StandUp Electric Pencil Sharpener</t>
  </si>
  <si>
    <t>Erik Barr</t>
  </si>
  <si>
    <t>Xerox 1982</t>
  </si>
  <si>
    <t>Calumet City</t>
  </si>
  <si>
    <t>Tom Hoyle Honeycutt</t>
  </si>
  <si>
    <t>Eldon Cleatmat® Chair Mats for Medium Pile Carpets</t>
  </si>
  <si>
    <t>Warren</t>
  </si>
  <si>
    <t>Bradley Schroeder</t>
  </si>
  <si>
    <t>Fellowes PB300 Plastic Comb Binding Machine</t>
  </si>
  <si>
    <t>Sharon Long</t>
  </si>
  <si>
    <t>Master Giant Foot® Doorstop, Safety Yellow</t>
  </si>
  <si>
    <t>Marietta</t>
  </si>
  <si>
    <t>Lindsay O'Connell</t>
  </si>
  <si>
    <t>Canon BP1200DH 12-Digit Bubble Jet Printing Calculator</t>
  </si>
  <si>
    <t>688</t>
  </si>
  <si>
    <t>Teresa Bishop</t>
  </si>
  <si>
    <t>Staples Surge Protector 6 outlet</t>
  </si>
  <si>
    <t>Bakersfield</t>
  </si>
  <si>
    <t>Eldon Radial Chair Mat for Low to Medium Pile Carpets</t>
  </si>
  <si>
    <t>Bobby Clements</t>
  </si>
  <si>
    <t>Joyce Knox</t>
  </si>
  <si>
    <t>Imation Neon Mac Format Diskettes, 10/Pack</t>
  </si>
  <si>
    <t>Parkersburg</t>
  </si>
  <si>
    <t>Chris Ford</t>
  </si>
  <si>
    <t>Camp Springs</t>
  </si>
  <si>
    <t>Anthony Foley</t>
  </si>
  <si>
    <t>Joyce Kern</t>
  </si>
  <si>
    <t>Xerox 1974</t>
  </si>
  <si>
    <t>Sterling Heights</t>
  </si>
  <si>
    <t>Jenny Hawkins</t>
  </si>
  <si>
    <t>Stevens Point</t>
  </si>
  <si>
    <t>Grace McNeill Hunt</t>
  </si>
  <si>
    <t>Sudbury</t>
  </si>
  <si>
    <t>Quality Park Security Envelopes</t>
  </si>
  <si>
    <t>Beverly Cameron</t>
  </si>
  <si>
    <t>Apex</t>
  </si>
  <si>
    <t>Carolyn Hoffman</t>
  </si>
  <si>
    <t>Honeywell Quietcare HEPA Air Cleaner</t>
  </si>
  <si>
    <t>Xerox 1908</t>
  </si>
  <si>
    <t>Arnold Gay</t>
  </si>
  <si>
    <t>Bush Cubix Collection Bookcases, Fully Assembled</t>
  </si>
  <si>
    <t>Chandler</t>
  </si>
  <si>
    <t>Edward Leonard</t>
  </si>
  <si>
    <t>Avery 49</t>
  </si>
  <si>
    <t>Fresno</t>
  </si>
  <si>
    <t>Renee Alston</t>
  </si>
  <si>
    <t>Pressboard Data Binder, Crimson, 12" X 8 1/2"</t>
  </si>
  <si>
    <t>Drexel Hill</t>
  </si>
  <si>
    <t>8860</t>
  </si>
  <si>
    <t>Geraldine Puckett</t>
  </si>
  <si>
    <t>Deborah Paul</t>
  </si>
  <si>
    <t>West Linn</t>
  </si>
  <si>
    <t>Brother DCP1000 Digital 3 in 1 Multifunction Machine</t>
  </si>
  <si>
    <t>Toni Owens Poe</t>
  </si>
  <si>
    <t>GBC Standard Therm-A-Bind Covers</t>
  </si>
  <si>
    <t>Munster</t>
  </si>
  <si>
    <t>Staples Premium Bright 1-Part Blank Computer Paper</t>
  </si>
  <si>
    <t>Robyn Hayes</t>
  </si>
  <si>
    <t>Sanford 52201 APSCO Electric Pencil Sharpener</t>
  </si>
  <si>
    <t>Brentwood</t>
  </si>
  <si>
    <t>Bob Berg</t>
  </si>
  <si>
    <t>Panasonic KP-310 Heavy-Duty Electric Pencil Sharpener</t>
  </si>
  <si>
    <t>North Miami</t>
  </si>
  <si>
    <t>Stuart C Robinson</t>
  </si>
  <si>
    <t>North Ridgeville</t>
  </si>
  <si>
    <t>Diane Lu</t>
  </si>
  <si>
    <t>Tallahassee</t>
  </si>
  <si>
    <t>Joy Kaplan McNeill</t>
  </si>
  <si>
    <t>Xerox 23</t>
  </si>
  <si>
    <t>Carlsbad</t>
  </si>
  <si>
    <t>Erika Morgan</t>
  </si>
  <si>
    <t>Seymour</t>
  </si>
  <si>
    <t>Marianne Connor</t>
  </si>
  <si>
    <t>Lawrence Hester</t>
  </si>
  <si>
    <t>Xerox 1976</t>
  </si>
  <si>
    <t>Alexander O'Brien</t>
  </si>
  <si>
    <t>Houston</t>
  </si>
  <si>
    <t>Christopher Bryant</t>
  </si>
  <si>
    <t>Rush Hierlooms Collection Rich Wood Bookcases</t>
  </si>
  <si>
    <t>Santa Clara</t>
  </si>
  <si>
    <t>Ruby Gibbons</t>
  </si>
  <si>
    <t>High Speed Automatic Electric Letter Opener</t>
  </si>
  <si>
    <t>Forest Park</t>
  </si>
  <si>
    <t>Benjamin Kaufman</t>
  </si>
  <si>
    <t>Belkin 105-Key Black Keyboard</t>
  </si>
  <si>
    <t>Belchertown</t>
  </si>
  <si>
    <t>Amy Shea</t>
  </si>
  <si>
    <t>Ottumwa</t>
  </si>
  <si>
    <t>Xerox 1891</t>
  </si>
  <si>
    <t>Jeanne Nguyen</t>
  </si>
  <si>
    <t>DAX Wood Document Frame.</t>
  </si>
  <si>
    <t>Fairborn</t>
  </si>
  <si>
    <t>Connie Bunn</t>
  </si>
  <si>
    <t>Marshalltown</t>
  </si>
  <si>
    <t>Daniel Huff</t>
  </si>
  <si>
    <t>West Allis</t>
  </si>
  <si>
    <t>Nu-Dell Executive Frame</t>
  </si>
  <si>
    <t>Alicia Curtis</t>
  </si>
  <si>
    <t>Xerox 200</t>
  </si>
  <si>
    <t>Tacoma</t>
  </si>
  <si>
    <t>Danielle Daniel</t>
  </si>
  <si>
    <t>Malcolm French</t>
  </si>
  <si>
    <t>Acme Kleencut® Forged Steel Scissors</t>
  </si>
  <si>
    <t>Merrimack</t>
  </si>
  <si>
    <t>Tenex Personal Project File with Scoop Front Design, Black</t>
  </si>
  <si>
    <t>Lee Xu</t>
  </si>
  <si>
    <t>Gretchen Best Wilkins</t>
  </si>
  <si>
    <t>Fellowes Smart Design 104-Key Enhanced Keyboard, PS/2 Adapter, Platinum</t>
  </si>
  <si>
    <t>Lynnwood</t>
  </si>
  <si>
    <t>Norman Shields</t>
  </si>
  <si>
    <t>Vacaville</t>
  </si>
  <si>
    <t>Cathy Simon</t>
  </si>
  <si>
    <t>Council Bluffs</t>
  </si>
  <si>
    <t>Epson DFX5000+ Dot Matrix Printer</t>
  </si>
  <si>
    <t>Newell 320</t>
  </si>
  <si>
    <t>Franklin Spencer</t>
  </si>
  <si>
    <t>Adesso Programmable 142-Key Keyboard</t>
  </si>
  <si>
    <t>Emporia</t>
  </si>
  <si>
    <t>Eileen McDonald</t>
  </si>
  <si>
    <t>Sally House</t>
  </si>
  <si>
    <t>Tara Powers Underwood</t>
  </si>
  <si>
    <t>Laurie Moon</t>
  </si>
  <si>
    <t>Ossining</t>
  </si>
  <si>
    <t>Fellowes Mighty 8 Compact Surge Protector</t>
  </si>
  <si>
    <t>Phyllis Little</t>
  </si>
  <si>
    <t>Bartlett</t>
  </si>
  <si>
    <t>Ellen Sparks</t>
  </si>
  <si>
    <t>Accessory21</t>
  </si>
  <si>
    <t>Neenah</t>
  </si>
  <si>
    <t>Patsy Harmon</t>
  </si>
  <si>
    <t>Lufkin</t>
  </si>
  <si>
    <t>Joe D Dean</t>
  </si>
  <si>
    <t>Beverly Roberts</t>
  </si>
  <si>
    <t>Savannah</t>
  </si>
  <si>
    <t>Christopher Norton Patterson</t>
  </si>
  <si>
    <t>Staples SlimLine Pencil Sharpener</t>
  </si>
  <si>
    <t>Macon</t>
  </si>
  <si>
    <t>Robert Cowan</t>
  </si>
  <si>
    <t>Pueblo West</t>
  </si>
  <si>
    <t>Edwin Chung</t>
  </si>
  <si>
    <t>Natick</t>
  </si>
  <si>
    <t>Tiffany Grossman Hardin</t>
  </si>
  <si>
    <t>Sandwich</t>
  </si>
  <si>
    <t>Larry Church</t>
  </si>
  <si>
    <t>Tennsco Industrial Shelving</t>
  </si>
  <si>
    <t>Highland</t>
  </si>
  <si>
    <t>Laurence Cummings</t>
  </si>
  <si>
    <t>Lehigh Acres</t>
  </si>
  <si>
    <t>Gene Gilliam</t>
  </si>
  <si>
    <t>Balt Split Level Computer Training Table</t>
  </si>
  <si>
    <t>Willie Robinson</t>
  </si>
  <si>
    <t>Coram</t>
  </si>
  <si>
    <t>Advantus Map Pennant Flags and Round Head Tacks</t>
  </si>
  <si>
    <t>Novimex Turbo Task Chair</t>
  </si>
  <si>
    <t>Kara Foster</t>
  </si>
  <si>
    <t>Lock-Up Easel 'Spel-Binder'</t>
  </si>
  <si>
    <t>Marion</t>
  </si>
  <si>
    <t>Neil Song</t>
  </si>
  <si>
    <t>Decoflex Hanging Personal Folder File</t>
  </si>
  <si>
    <t>Pflugerville</t>
  </si>
  <si>
    <t>Kimberly Reilly</t>
  </si>
  <si>
    <t>Killeen</t>
  </si>
  <si>
    <t>Ellen Beck</t>
  </si>
  <si>
    <t>Scottsdale</t>
  </si>
  <si>
    <t>Xerox 1964</t>
  </si>
  <si>
    <t>Nina Bowles</t>
  </si>
  <si>
    <t>Bionaire Personal Warm Mist Humidifier/Vaporizer</t>
  </si>
  <si>
    <t>Eldon Expressions Punched Metal &amp; Wood Desk Accessories, Pewter &amp; Cherry</t>
  </si>
  <si>
    <t>David Hoyle</t>
  </si>
  <si>
    <t>Tensor Computer Mounted Lamp</t>
  </si>
  <si>
    <t>Bloomington</t>
  </si>
  <si>
    <t>Gladys Holloway</t>
  </si>
  <si>
    <t>Accessory17</t>
  </si>
  <si>
    <t>Oakland Park</t>
  </si>
  <si>
    <t>DMI Eclipse Executive Suite Bookcases</t>
  </si>
  <si>
    <t>James Nicholson</t>
  </si>
  <si>
    <t>Annandale</t>
  </si>
  <si>
    <t>Joseph Hurst</t>
  </si>
  <si>
    <t>Ibico Presentation Index for Binding Systems</t>
  </si>
  <si>
    <t>Levittown</t>
  </si>
  <si>
    <t>Xerox 207</t>
  </si>
  <si>
    <t>Sara O'Connor</t>
  </si>
  <si>
    <t>Loveland</t>
  </si>
  <si>
    <t>Xerox 1933</t>
  </si>
  <si>
    <t>Tim Connolly</t>
  </si>
  <si>
    <t>Sauder Forest Hills Library, Woodland Oak Finish</t>
  </si>
  <si>
    <t>Inver Grove Heights</t>
  </si>
  <si>
    <t>Talkabout T8367</t>
  </si>
  <si>
    <t>Robert Rollins</t>
  </si>
  <si>
    <t>Microsoft Natural Multimedia Keyboard</t>
  </si>
  <si>
    <t>Newnan</t>
  </si>
  <si>
    <t>Sanford Liquid Accent Highlighters</t>
  </si>
  <si>
    <t>Annette McIntyre</t>
  </si>
  <si>
    <t>Xerox 1936</t>
  </si>
  <si>
    <t>Kennesaw</t>
  </si>
  <si>
    <t>Claudia Webb</t>
  </si>
  <si>
    <t>Iris® 3-Drawer Stacking Bin, Black</t>
  </si>
  <si>
    <t>Indian Trail</t>
  </si>
  <si>
    <t>Sandra Faulkner</t>
  </si>
  <si>
    <t>Holmes Harmony HEPA Air Purifier for 17 x 20 Room</t>
  </si>
  <si>
    <t>Portsmouth</t>
  </si>
  <si>
    <t>Christina Zhu</t>
  </si>
  <si>
    <t>Lumber Crayons</t>
  </si>
  <si>
    <t>Canon P1-DHIII Palm Printing Calculator</t>
  </si>
  <si>
    <t>Jessie Kelly</t>
  </si>
  <si>
    <t>Logitech Access Keyboard</t>
  </si>
  <si>
    <t>Johnny Reid</t>
  </si>
  <si>
    <t>Crown Point</t>
  </si>
  <si>
    <t>Deflect-o EconoMat Nonstudded, No Bevel Mat</t>
  </si>
  <si>
    <t>Xerox 1882</t>
  </si>
  <si>
    <t>Letter/Legal File Tote with Clear Snap-On Lid, Black Granite</t>
  </si>
  <si>
    <t>Executive Impressions 13-1/2" Indoor/Outdoor Wall Clock</t>
  </si>
  <si>
    <t>Marion Owens</t>
  </si>
  <si>
    <t>Bethlehem</t>
  </si>
  <si>
    <t>Marvin MacDonald</t>
  </si>
  <si>
    <t>Recycled Desk Saver Line "While You Were Out" Book, 5 1/2" X 4"</t>
  </si>
  <si>
    <t>Sara Faulkner</t>
  </si>
  <si>
    <t>Avery 487</t>
  </si>
  <si>
    <t>Calexico</t>
  </si>
  <si>
    <t>Carlos Hanson</t>
  </si>
  <si>
    <t>Executive Impressions 8-1/2" Career Panel/Partition Cubicle Clock</t>
  </si>
  <si>
    <t>Rapid City</t>
  </si>
  <si>
    <t>Xerox 1962</t>
  </si>
  <si>
    <t>Cheryl Guthrie</t>
  </si>
  <si>
    <t>Dean Solomon</t>
  </si>
  <si>
    <t>Gastonia</t>
  </si>
  <si>
    <t>Grace Black</t>
  </si>
  <si>
    <t>North Miami Beach</t>
  </si>
  <si>
    <t>StarTAC Analog</t>
  </si>
  <si>
    <t>Wilson Jones DublLock® D-Ring Binders</t>
  </si>
  <si>
    <t>Janet Zhang</t>
  </si>
  <si>
    <t>Apple Valley</t>
  </si>
  <si>
    <t>Mitchell Goldberg</t>
  </si>
  <si>
    <t>Accessory9</t>
  </si>
  <si>
    <t>7160</t>
  </si>
  <si>
    <t>Marguerite Rodgers</t>
  </si>
  <si>
    <t>SANFORD Major Accent™ Highlighters</t>
  </si>
  <si>
    <t>Commack</t>
  </si>
  <si>
    <t>HP Office Recycled Paper (20Lb. and 87 Bright)</t>
  </si>
  <si>
    <t>Eva Simpson</t>
  </si>
  <si>
    <t>Eldon® Expressions™ Wood Desk Accessories, Oak</t>
  </si>
  <si>
    <t>Carrollton</t>
  </si>
  <si>
    <t>Marvin Reid</t>
  </si>
  <si>
    <t>Faye Silver</t>
  </si>
  <si>
    <t>Xerox 220</t>
  </si>
  <si>
    <t>Crofton</t>
  </si>
  <si>
    <t>Milton Harrell</t>
  </si>
  <si>
    <t>Rotterdam</t>
  </si>
  <si>
    <t>Alvin Mullins</t>
  </si>
  <si>
    <t>Dana Rankin</t>
  </si>
  <si>
    <t>Microsoft Natural Keyboard Elite</t>
  </si>
  <si>
    <t>Twin Falls</t>
  </si>
  <si>
    <t>Wilson Jones® Four-Pocket Poly Binders</t>
  </si>
  <si>
    <t>Sam Rouse</t>
  </si>
  <si>
    <t>Accessory6</t>
  </si>
  <si>
    <t>Adam Saunders Gray</t>
  </si>
  <si>
    <t>Acco Pressboard Covers with Storage Hooks, 14 7/8" x 11", Light Blue</t>
  </si>
  <si>
    <t>Colorado Springs</t>
  </si>
  <si>
    <t>Clifford Webb</t>
  </si>
  <si>
    <t>Townsend</t>
  </si>
  <si>
    <t>Hazel Dale</t>
  </si>
  <si>
    <t>Accessory36</t>
  </si>
  <si>
    <t>Claudia White</t>
  </si>
  <si>
    <t>Novimex Fabric Task Chair</t>
  </si>
  <si>
    <t>Gallatin</t>
  </si>
  <si>
    <t>Jenny Petty</t>
  </si>
  <si>
    <t>Xerox 212</t>
  </si>
  <si>
    <t>Manchester</t>
  </si>
  <si>
    <t>Terry Klein</t>
  </si>
  <si>
    <t>Rutland</t>
  </si>
  <si>
    <t>Michelle Steele</t>
  </si>
  <si>
    <t>Enterprise</t>
  </si>
  <si>
    <t>Wanda Harris</t>
  </si>
  <si>
    <t>Hudson</t>
  </si>
  <si>
    <t>Catalog Binders with Expanding Posts</t>
  </si>
  <si>
    <t>Claire Warren</t>
  </si>
  <si>
    <t>Holmes Replacement Filter for HEPA Air Cleaner, Medium Room</t>
  </si>
  <si>
    <t>New London</t>
  </si>
  <si>
    <t>Brad H Blake</t>
  </si>
  <si>
    <t>Letter Size Cart</t>
  </si>
  <si>
    <t>Gainesville</t>
  </si>
  <si>
    <t>Samantha Weaver</t>
  </si>
  <si>
    <t>Overland Park</t>
  </si>
  <si>
    <t>Leroy Blanchard</t>
  </si>
  <si>
    <t>Pat Baker</t>
  </si>
  <si>
    <t>Kensington 6 Outlet MasterPiece® HOMEOFFICE Power Control Center</t>
  </si>
  <si>
    <t>Lakewood</t>
  </si>
  <si>
    <t>Colleen Andrews</t>
  </si>
  <si>
    <t>Global Push Button Manager's Chair, Indigo</t>
  </si>
  <si>
    <t>Mint Hill</t>
  </si>
  <si>
    <t>Francis I Davis</t>
  </si>
  <si>
    <t>Milwaukee</t>
  </si>
  <si>
    <t>Luis Kerr</t>
  </si>
  <si>
    <t>Atlantic Metals Mobile 5-Shelf Bookcases, Custom Colors</t>
  </si>
  <si>
    <t>Yucaipa</t>
  </si>
  <si>
    <t>Epson DFX-8500 Dot Matrix Printer</t>
  </si>
  <si>
    <t>Advantus 10-Drawer Portable Organizer, Chrome Metal Frame, Smoke Drawers</t>
  </si>
  <si>
    <t>Kathryn Wolfe</t>
  </si>
  <si>
    <t>GBC Plastic Binding Combs</t>
  </si>
  <si>
    <t>Plainview</t>
  </si>
  <si>
    <t>Arthur Lowe Nash</t>
  </si>
  <si>
    <t>Potomac</t>
  </si>
  <si>
    <t>Francis Evans</t>
  </si>
  <si>
    <t>Hoover Replacement Belt for Commercial Guardsman Heavy-Duty Upright Vacuum</t>
  </si>
  <si>
    <t>Hannah Tyson</t>
  </si>
  <si>
    <t>Avery® 3 1/2" Diskette Storage Pages, 10/Pack</t>
  </si>
  <si>
    <t>Paragould</t>
  </si>
  <si>
    <t>Wayne Bass</t>
  </si>
  <si>
    <t>Accessory31</t>
  </si>
  <si>
    <t>Joan Bowers</t>
  </si>
  <si>
    <t>York</t>
  </si>
  <si>
    <t>Lucille Buchanan</t>
  </si>
  <si>
    <t>Eldon Expressions™ Desk Accessory, Wood Photo Frame, Mahogany</t>
  </si>
  <si>
    <t>Willoughby</t>
  </si>
  <si>
    <t>Ronald O'Neill</t>
  </si>
  <si>
    <t>Avery Durable Poly Binders</t>
  </si>
  <si>
    <t>Kenneth Capps</t>
  </si>
  <si>
    <t>Howard Miller 16" Diameter Gallery Wall Clock</t>
  </si>
  <si>
    <t>Melbourne</t>
  </si>
  <si>
    <t>Natalie Aldridge</t>
  </si>
  <si>
    <t>Merritt Island</t>
  </si>
  <si>
    <t>Florence Gold</t>
  </si>
  <si>
    <t>Eldon Expressions Punched Metal &amp; Wood Desk Accessories, Black &amp; Cherry</t>
  </si>
  <si>
    <t>Fairmont</t>
  </si>
  <si>
    <t>Nina Horne Kelly</t>
  </si>
  <si>
    <t>Christopher Meadows</t>
  </si>
  <si>
    <t>Harrison</t>
  </si>
  <si>
    <t>Penny Leach</t>
  </si>
  <si>
    <t>Hackensack</t>
  </si>
  <si>
    <t>Gina Curry</t>
  </si>
  <si>
    <t>Iselin</t>
  </si>
  <si>
    <t>Juan Justice</t>
  </si>
  <si>
    <t>Saint Paul</t>
  </si>
  <si>
    <t>Sauder Facets Collection Locker/File Cabinet, Sky Alder Finish</t>
  </si>
  <si>
    <t>Lois Hansen</t>
  </si>
  <si>
    <t>G.E. Halogen Desk Lamp Bulbs</t>
  </si>
  <si>
    <t>Henry O'Connell</t>
  </si>
  <si>
    <t>Leander</t>
  </si>
  <si>
    <t>Steve Raynor</t>
  </si>
  <si>
    <t>Taylors</t>
  </si>
  <si>
    <t>Gretchen Levine</t>
  </si>
  <si>
    <t>Chromcraft 48" x 96" Racetrack Double Pedestal Table</t>
  </si>
  <si>
    <t>Lima</t>
  </si>
  <si>
    <t>Allan Dickinson</t>
  </si>
  <si>
    <t>Van Buren</t>
  </si>
  <si>
    <t>Ruth Dudley</t>
  </si>
  <si>
    <t>Advantus Push Pins</t>
  </si>
  <si>
    <t>Calvin Conway</t>
  </si>
  <si>
    <t>Old Bridge</t>
  </si>
  <si>
    <t>Julia Reynolds</t>
  </si>
  <si>
    <t>Arvada</t>
  </si>
  <si>
    <t>Kelly Sawyer</t>
  </si>
  <si>
    <t>Lafayette</t>
  </si>
  <si>
    <t>June Roberts</t>
  </si>
  <si>
    <t>Martin-Yale Premier Letter Opener</t>
  </si>
  <si>
    <t>Gerald Petty</t>
  </si>
  <si>
    <t>600 Series Non-Flip</t>
  </si>
  <si>
    <t>Lancaster</t>
  </si>
  <si>
    <t>Fellowes Officeware™ Wire Shelving</t>
  </si>
  <si>
    <t>Maurice Kelly</t>
  </si>
  <si>
    <t>Lakeland</t>
  </si>
  <si>
    <t>Stephanie Hawkins</t>
  </si>
  <si>
    <t>Greenfield</t>
  </si>
  <si>
    <t>Marian Willis</t>
  </si>
  <si>
    <t>La Vista</t>
  </si>
  <si>
    <t>Caroline Johnston</t>
  </si>
  <si>
    <t>Lois Hamilton</t>
  </si>
  <si>
    <t>Dover</t>
  </si>
  <si>
    <t>Jason Bray</t>
  </si>
  <si>
    <t>Mission Viejo</t>
  </si>
  <si>
    <t>Kerry Wilkerson</t>
  </si>
  <si>
    <t>Ted Crowder</t>
  </si>
  <si>
    <t>Micro Innovations Media Access Pro Keyboard</t>
  </si>
  <si>
    <t>James Beck</t>
  </si>
  <si>
    <t>Flagstaff</t>
  </si>
  <si>
    <t>Eldon Executive Woodline II Cherry Finish Desk Accessories</t>
  </si>
  <si>
    <t>Eleanor Swain</t>
  </si>
  <si>
    <t>Keytronic Designer 104- Key Black Keyboard</t>
  </si>
  <si>
    <t>Seth Merrill</t>
  </si>
  <si>
    <t>Executive Impressions 12" Wall Clock</t>
  </si>
  <si>
    <t>Charles Ward</t>
  </si>
  <si>
    <t>g520</t>
  </si>
  <si>
    <t>Moreno Valley</t>
  </si>
  <si>
    <t>Gene Heath Cross</t>
  </si>
  <si>
    <t>Belkin MediaBoard 104- Keyboard</t>
  </si>
  <si>
    <t>Jamestown</t>
  </si>
  <si>
    <t>Fellowes Strictly Business® Drawer File, Letter/Legal Size</t>
  </si>
  <si>
    <t>Evan Kelley</t>
  </si>
  <si>
    <t>Garden City</t>
  </si>
  <si>
    <t>Max Hubbard</t>
  </si>
  <si>
    <t>Avery 485</t>
  </si>
  <si>
    <t>Winter Park</t>
  </si>
  <si>
    <t>Helen Ferguson</t>
  </si>
  <si>
    <t>Winter Springs</t>
  </si>
  <si>
    <t>Timothy Reese</t>
  </si>
  <si>
    <t>Grip Seal Envelopes</t>
  </si>
  <si>
    <t>Smithtown</t>
  </si>
  <si>
    <t>Diana Coble Hubbard</t>
  </si>
  <si>
    <t>Grand Prairie</t>
  </si>
  <si>
    <t>Benjamin Lam</t>
  </si>
  <si>
    <t>Prang Colored Pencils</t>
  </si>
  <si>
    <t>Xerox 1932</t>
  </si>
  <si>
    <t>Wayne Lutz</t>
  </si>
  <si>
    <t>TDK 4.7GB DVD-R Spindle, 15/Pack</t>
  </si>
  <si>
    <t>Hopkinton</t>
  </si>
  <si>
    <t>Meredith Humphrey</t>
  </si>
  <si>
    <t>Jet-Pak Recycled Peel 'N' Seal Padded Mailers</t>
  </si>
  <si>
    <t>Cary</t>
  </si>
  <si>
    <t>Personal Creations™ Ink Jet Cards and Labels</t>
  </si>
  <si>
    <t>Aluminum Document Frame</t>
  </si>
  <si>
    <t>Karen Warren</t>
  </si>
  <si>
    <t>Fridley</t>
  </si>
  <si>
    <t>Marcia Greenberg</t>
  </si>
  <si>
    <t>Hon Metal Bookcases, Black</t>
  </si>
  <si>
    <t>Bullhead City</t>
  </si>
  <si>
    <t>Shawn Stern</t>
  </si>
  <si>
    <t>Acme® Office Executive Series Stainless Steel Trimmers</t>
  </si>
  <si>
    <t>Tysons Corner</t>
  </si>
  <si>
    <t>Glenda Herbert</t>
  </si>
  <si>
    <t>Huntington Beach</t>
  </si>
  <si>
    <t>Gary Hester</t>
  </si>
  <si>
    <t>Flower Mound</t>
  </si>
  <si>
    <t>Sandy Hunt</t>
  </si>
  <si>
    <t>Altamonte Springs</t>
  </si>
  <si>
    <t>Kara Patton</t>
  </si>
  <si>
    <t>Carpentersville</t>
  </si>
  <si>
    <t>Gordon Walker</t>
  </si>
  <si>
    <t>Cabot</t>
  </si>
  <si>
    <t>Dwight M Carr</t>
  </si>
  <si>
    <t>Fuji Slim Jewel Case CD-R</t>
  </si>
  <si>
    <t>Mcminnville</t>
  </si>
  <si>
    <t>Annie Sherrill</t>
  </si>
  <si>
    <t>5185</t>
  </si>
  <si>
    <t>Odessa</t>
  </si>
  <si>
    <t>Joanne Church</t>
  </si>
  <si>
    <t>La Mesa</t>
  </si>
  <si>
    <t>StarTAC ST7762</t>
  </si>
  <si>
    <t>Katherine W Epstein</t>
  </si>
  <si>
    <t>Hewlett-Packard Deskjet 3820 Color Inkjet Printer</t>
  </si>
  <si>
    <t>Jackson</t>
  </si>
  <si>
    <t>Vanessa Day</t>
  </si>
  <si>
    <t>Collierville</t>
  </si>
  <si>
    <t>DAX Solid Wood Frames</t>
  </si>
  <si>
    <t>Frank Hess</t>
  </si>
  <si>
    <t>Waldorf</t>
  </si>
  <si>
    <t>Tyvek ® Top-Opening Peel &amp; Seel ® Envelopes, Gray</t>
  </si>
  <si>
    <t>DAX Value U-Channel Document Frames, Easel Back</t>
  </si>
  <si>
    <t>Staples Metal Binder Clips</t>
  </si>
  <si>
    <t>Sidney Bowling</t>
  </si>
  <si>
    <t>Omaha</t>
  </si>
  <si>
    <t>Timothy Ross</t>
  </si>
  <si>
    <t>Kim McCarthy</t>
  </si>
  <si>
    <t>Fiskars® Softgrip Scissors</t>
  </si>
  <si>
    <t>Oak Park</t>
  </si>
  <si>
    <t>Jacob Murray</t>
  </si>
  <si>
    <t>DAX Cubicle Frames - 8x10</t>
  </si>
  <si>
    <t>Medina</t>
  </si>
  <si>
    <t>Carrie High</t>
  </si>
  <si>
    <t>Troy Moon</t>
  </si>
  <si>
    <t>Oakland</t>
  </si>
  <si>
    <t>Regina Langley</t>
  </si>
  <si>
    <t>Hunt BOSTON® Vista® Battery-Operated Pencil Sharpener, Black</t>
  </si>
  <si>
    <t>Martinez</t>
  </si>
  <si>
    <t>Melvin Duke</t>
  </si>
  <si>
    <t>Frankfort</t>
  </si>
  <si>
    <t>Judy Barrett</t>
  </si>
  <si>
    <t>14-7/8 x 11 Blue Bar Computer Printout Paper</t>
  </si>
  <si>
    <t>Kerry Jernigan</t>
  </si>
  <si>
    <t>Steel Personal Filing/Posting Tote</t>
  </si>
  <si>
    <t>Rancho Cucamonga</t>
  </si>
  <si>
    <t>Tracy Livingston</t>
  </si>
  <si>
    <t>Redding</t>
  </si>
  <si>
    <t>Fellowes Twister Kit, Gray/Clear, 3/pkg</t>
  </si>
  <si>
    <t>Helen Lyons</t>
  </si>
  <si>
    <t>Epson C82 Color Inkjet Printer</t>
  </si>
  <si>
    <t>Prescott Valley</t>
  </si>
  <si>
    <t>Sean Pugh</t>
  </si>
  <si>
    <t>Sunrise</t>
  </si>
  <si>
    <t>Christina Matthews</t>
  </si>
  <si>
    <t>Advantus Panel Wall Certificate Holder - 8.5x11</t>
  </si>
  <si>
    <t>Sherri Kramer</t>
  </si>
  <si>
    <t>Imation Neon 80 Minute CD-R Spindle, 50/Pack</t>
  </si>
  <si>
    <t>Janice Boswell</t>
  </si>
  <si>
    <t>Port Orange</t>
  </si>
  <si>
    <t>Sally Liu</t>
  </si>
  <si>
    <t>Microsoft Multimedia Keyboard</t>
  </si>
  <si>
    <t>New Berlin</t>
  </si>
  <si>
    <t>Alvin Hoover</t>
  </si>
  <si>
    <t>State College</t>
  </si>
  <si>
    <t>Albert Maxwell</t>
  </si>
  <si>
    <t>New Milford</t>
  </si>
  <si>
    <t>Faye Dyer</t>
  </si>
  <si>
    <t>Bradley Pollock</t>
  </si>
  <si>
    <t>Acco Keyboard-In-A-Box®</t>
  </si>
  <si>
    <t>Goffstown</t>
  </si>
  <si>
    <t>Zachary Maynard</t>
  </si>
  <si>
    <t>Blacksburg</t>
  </si>
  <si>
    <t>Xerox 1922</t>
  </si>
  <si>
    <t>Thelma Murray</t>
  </si>
  <si>
    <t>Grove City</t>
  </si>
  <si>
    <t>Tripp Lite Isotel 8 Ultra 8 Outlet Metal Surge</t>
  </si>
  <si>
    <t>GBC Clear Cover, 8-1/2 x 11, unpunched, 25 covers per pack</t>
  </si>
  <si>
    <t>Ian Hall</t>
  </si>
  <si>
    <t>Dearborn</t>
  </si>
  <si>
    <t>3M Polarizing Light Filter Sleeves</t>
  </si>
  <si>
    <t>Jon Kendall</t>
  </si>
  <si>
    <t>Ann Katz</t>
  </si>
  <si>
    <t>Wilson Jones Suede Grain Vinyl Binders</t>
  </si>
  <si>
    <t>Mildred Chase</t>
  </si>
  <si>
    <t>Woodland</t>
  </si>
  <si>
    <t>Jackie Burke</t>
  </si>
  <si>
    <t>Carol City</t>
  </si>
  <si>
    <t>Dana Teague</t>
  </si>
  <si>
    <t>Oscar Bowers</t>
  </si>
  <si>
    <t>Space Solutions™ Industrial Galvanized Steel Shelving.</t>
  </si>
  <si>
    <t>Smead Adjustable Mobile File Trolley with Lockable Top</t>
  </si>
  <si>
    <t>Sylvia Bush</t>
  </si>
  <si>
    <t>3M Office Air Cleaner</t>
  </si>
  <si>
    <t>Batavia</t>
  </si>
  <si>
    <t>James Dickinson Ball</t>
  </si>
  <si>
    <t>Carol Saunders</t>
  </si>
  <si>
    <t>Bowling Green</t>
  </si>
  <si>
    <t>Office Star - Contemporary Task Swivel chair with 2-way adjustable arms, Plum</t>
  </si>
  <si>
    <t>Hammermill Color Copier Paper (28Lb. and 96 Bright)</t>
  </si>
  <si>
    <t>Xerox 1937</t>
  </si>
  <si>
    <t>Sean Burton</t>
  </si>
  <si>
    <t>Saginaw</t>
  </si>
  <si>
    <t>Kate Peck</t>
  </si>
  <si>
    <t>Gould Plastics 9-Pocket Panel Bin, 18-3/8w x 5-1/4d x 20-1/2h, Black</t>
  </si>
  <si>
    <t>Bettendorf</t>
  </si>
  <si>
    <t>Bush Westfield Collection Bookcases, Dark Cherry Finish, Fully Assembled</t>
  </si>
  <si>
    <t>Patsy Shea</t>
  </si>
  <si>
    <t>Gyration Ultra Professional Cordless Optical Suite</t>
  </si>
  <si>
    <t>Tracy Dyer</t>
  </si>
  <si>
    <t>Ultra Commercial Grade Dual Valve Door Closer</t>
  </si>
  <si>
    <t>Mount Pleasant</t>
  </si>
  <si>
    <t>Gyration RF Keyboard</t>
  </si>
  <si>
    <t>Dwight Albright Huffman</t>
  </si>
  <si>
    <t>Herbert Williamson</t>
  </si>
  <si>
    <t>San Gabriel</t>
  </si>
  <si>
    <t>Stacy Chang</t>
  </si>
  <si>
    <t>Catonsville</t>
  </si>
  <si>
    <t>Eldon Cleatmat Plus™ Chair Mats for High Pile Carpets</t>
  </si>
  <si>
    <t>William Crawford</t>
  </si>
  <si>
    <t>OIC Colored Binder Clips, Assorted Sizes</t>
  </si>
  <si>
    <t>Garland</t>
  </si>
  <si>
    <t>Edna Freeman</t>
  </si>
  <si>
    <t>Xerox 1905</t>
  </si>
  <si>
    <t>Virginia Beach</t>
  </si>
  <si>
    <t>Eva Decker</t>
  </si>
  <si>
    <t>GBC ProClick™ 150 Presentation Binding System</t>
  </si>
  <si>
    <t>La Grange</t>
  </si>
  <si>
    <t>Keith Hobbs</t>
  </si>
  <si>
    <t>Colored Envelopes</t>
  </si>
  <si>
    <t>Jack Hatcher</t>
  </si>
  <si>
    <t>Hon Pagoda™ Stacking Chairs</t>
  </si>
  <si>
    <t>StarTAC 6500</t>
  </si>
  <si>
    <t>Debbie Hsu</t>
  </si>
  <si>
    <t>Randall Montgomery</t>
  </si>
  <si>
    <t>Tonawanda</t>
  </si>
  <si>
    <t>Gilbert Scarborough</t>
  </si>
  <si>
    <t>Xerox Blank Computer Paper</t>
  </si>
  <si>
    <t>Fountain</t>
  </si>
  <si>
    <t>Amy Ellis Holder</t>
  </si>
  <si>
    <t>Grand Junction</t>
  </si>
  <si>
    <t>Lynn Payne</t>
  </si>
  <si>
    <t>Rose Hill</t>
  </si>
  <si>
    <t>William Woodard</t>
  </si>
  <si>
    <t>Kendall</t>
  </si>
  <si>
    <t>Peter Adams</t>
  </si>
  <si>
    <t>Kathy Hinton</t>
  </si>
  <si>
    <t>Jill Clements</t>
  </si>
  <si>
    <t>Xerox 1951</t>
  </si>
  <si>
    <t>Boston KS Multi-Size Manual Pencil Sharpener</t>
  </si>
  <si>
    <t>Martha Bowers</t>
  </si>
  <si>
    <t>Whitehall</t>
  </si>
  <si>
    <t>Scott McKenna</t>
  </si>
  <si>
    <t>Steubenville</t>
  </si>
  <si>
    <t>Staples Vinyl Coated Paper Clips</t>
  </si>
  <si>
    <t>Phyllis Hull</t>
  </si>
  <si>
    <t>Xerox 1880</t>
  </si>
  <si>
    <t>Laurie Case Daniel</t>
  </si>
  <si>
    <t>Stoneham</t>
  </si>
  <si>
    <t>Emily Sims</t>
  </si>
  <si>
    <t>Newell® 3-Hole Punched Plastic Slotted Magazine Holders for Binders</t>
  </si>
  <si>
    <t>Nashville</t>
  </si>
  <si>
    <t>Wirebound Message Book, 4 per Page</t>
  </si>
  <si>
    <t>Edward McKenzie</t>
  </si>
  <si>
    <t>Decoflex Hanging Personal Folder File, Blue</t>
  </si>
  <si>
    <t>Evan Adkins</t>
  </si>
  <si>
    <t>Waterbury</t>
  </si>
  <si>
    <t>Arnold Johnson</t>
  </si>
  <si>
    <t>Acco Perma® 2700 Stacking Storage Drawers</t>
  </si>
  <si>
    <t>Rachel Bates</t>
  </si>
  <si>
    <t>*Staples* Packaging Labels</t>
  </si>
  <si>
    <t>Vickie Coates</t>
  </si>
  <si>
    <t>Cedar Park</t>
  </si>
  <si>
    <t>Global Ergonomic Managers Chair</t>
  </si>
  <si>
    <t>Xerox 1954</t>
  </si>
  <si>
    <t>Kelly O'Connor</t>
  </si>
  <si>
    <t>Santa Rosa</t>
  </si>
  <si>
    <t>Sherri McIntosh</t>
  </si>
  <si>
    <t>Avery 507</t>
  </si>
  <si>
    <t>West Jordan</t>
  </si>
  <si>
    <t>Ryan Foster</t>
  </si>
  <si>
    <t>Letter Slitter</t>
  </si>
  <si>
    <t>Diane Barr</t>
  </si>
  <si>
    <t>DIXON Ticonderoga® Erasable Checking Pencils</t>
  </si>
  <si>
    <t>Coos Bay</t>
  </si>
  <si>
    <t>Southworth 25% Cotton Linen-Finish Paper &amp; Envelopes</t>
  </si>
  <si>
    <t>Leon Peele</t>
  </si>
  <si>
    <t>GBC Laser Imprintable Binding System Covers, Desert Sand</t>
  </si>
  <si>
    <t>Dix Hills</t>
  </si>
  <si>
    <t>Carolyn Bowling</t>
  </si>
  <si>
    <t>Imation DVD-RAM discs</t>
  </si>
  <si>
    <t>Carolyn Greer</t>
  </si>
  <si>
    <t>Sunnyvale</t>
  </si>
  <si>
    <t>Yvonne Stephens</t>
  </si>
  <si>
    <t>Davis</t>
  </si>
  <si>
    <t>Global Troy™ Executive Leather Low-Back Tilter</t>
  </si>
  <si>
    <t>DAX Copper Panel Document Frame, 5 x 7 Size</t>
  </si>
  <si>
    <t>Deflect-O® Glasstique™ Clear Desk Accessories</t>
  </si>
  <si>
    <t>Rosemary O'Brien</t>
  </si>
  <si>
    <t>June Herbert</t>
  </si>
  <si>
    <t>Melanie Burgess</t>
  </si>
  <si>
    <t>Webster Groves</t>
  </si>
  <si>
    <t>Maria Block</t>
  </si>
  <si>
    <t>Lisa Branch</t>
  </si>
  <si>
    <t>Grand Rapids</t>
  </si>
  <si>
    <t>Geoffrey Saunders</t>
  </si>
  <si>
    <t>Sue Drake</t>
  </si>
  <si>
    <t>Searcy</t>
  </si>
  <si>
    <t>Stuart Holloway</t>
  </si>
  <si>
    <t>Vancouver</t>
  </si>
  <si>
    <t>Alicia Maynard</t>
  </si>
  <si>
    <t>Kyle Kaufman</t>
  </si>
  <si>
    <t>Euclid</t>
  </si>
  <si>
    <t>Tammy Raynor</t>
  </si>
  <si>
    <t>Honeywell Enviracaire Portable HEPA Air Cleaner for 17' x 22' Room</t>
  </si>
  <si>
    <t>Xerox 1941</t>
  </si>
  <si>
    <t>Annie Livingston</t>
  </si>
  <si>
    <t>Rochester</t>
  </si>
  <si>
    <t>Xerox 1917</t>
  </si>
  <si>
    <t>Hannah Carver</t>
  </si>
  <si>
    <t>Grand Forks</t>
  </si>
  <si>
    <t>Jeffrey Cheng</t>
  </si>
  <si>
    <t>Wauwatosa</t>
  </si>
  <si>
    <t>Eldon Spacemaker® Box, Quick-Snap Lid, Clear</t>
  </si>
  <si>
    <t>Billy Perry Browning</t>
  </si>
  <si>
    <t>Ken Cash</t>
  </si>
  <si>
    <t>Pawtucket</t>
  </si>
  <si>
    <t>Elsie Hwang</t>
  </si>
  <si>
    <t>Patrick Lowry</t>
  </si>
  <si>
    <t>Edgewood</t>
  </si>
  <si>
    <t>Accessory25</t>
  </si>
  <si>
    <t>Sarah N Becker</t>
  </si>
  <si>
    <t>Home/Office Personal File Carts</t>
  </si>
  <si>
    <t>Whittier</t>
  </si>
  <si>
    <t>Marianne Goldstein</t>
  </si>
  <si>
    <t>New Smyrna Beach</t>
  </si>
  <si>
    <t>Jeffrey Lloyd</t>
  </si>
  <si>
    <t>Bevis Steel Folding Chairs</t>
  </si>
  <si>
    <t>Brett Schultz</t>
  </si>
  <si>
    <t>Park Ridge™ Embossed Executive Business Envelopes</t>
  </si>
  <si>
    <t>Acco PRESSTEX® Data Binder with Storage Hooks, Dark Blue, 14 7/8" X 11"</t>
  </si>
  <si>
    <t>1/4 Fold Party Design Invitations &amp; White Envelopes, 24 8-1/2" X 11" Cards, 25 Env./Pack</t>
  </si>
  <si>
    <t>Brooke Shepherd</t>
  </si>
  <si>
    <t>Santa Cruz</t>
  </si>
  <si>
    <t>KH 688</t>
  </si>
  <si>
    <t>Bagged Rubber Bands</t>
  </si>
  <si>
    <t>Karen Hendricks</t>
  </si>
  <si>
    <t>Branford</t>
  </si>
  <si>
    <t>Jacob Lanier</t>
  </si>
  <si>
    <t>2300 Heavy-Duty Transfer File Systems by Perma</t>
  </si>
  <si>
    <t>Danbury</t>
  </si>
  <si>
    <t>Arthur Brady</t>
  </si>
  <si>
    <t>Juan Gold</t>
  </si>
  <si>
    <t>Pensacola</t>
  </si>
  <si>
    <t>Vivian Clarke</t>
  </si>
  <si>
    <t>Vivian Goldstein</t>
  </si>
  <si>
    <t>Brandon</t>
  </si>
  <si>
    <t>Max Hurley</t>
  </si>
  <si>
    <t>North Las Vegas</t>
  </si>
  <si>
    <t>Sanford Pocket Accent® Highlighters</t>
  </si>
  <si>
    <t>Tina Monroe</t>
  </si>
  <si>
    <t>Fellowes Binding Cases</t>
  </si>
  <si>
    <t>Sandy Springs</t>
  </si>
  <si>
    <t>Erika Clapp</t>
  </si>
  <si>
    <t>Chattanooga</t>
  </si>
  <si>
    <t>Christina Hanna</t>
  </si>
  <si>
    <t>Eldon Pizzaz™ Desk Accessories</t>
  </si>
  <si>
    <t>Danielle Watts</t>
  </si>
  <si>
    <t>Sidney Brewer</t>
  </si>
  <si>
    <t>Immokalee</t>
  </si>
  <si>
    <t>David Powell</t>
  </si>
  <si>
    <t>Cranford</t>
  </si>
  <si>
    <t>Renee McKenzie</t>
  </si>
  <si>
    <t>Upper Arlington</t>
  </si>
  <si>
    <t>Avery 506</t>
  </si>
  <si>
    <t>Calvin Parsons Walter</t>
  </si>
  <si>
    <t>San Juan</t>
  </si>
  <si>
    <t>Kent Gill</t>
  </si>
  <si>
    <t>Opelika</t>
  </si>
  <si>
    <t>Balt Solid Wood Rectangular Table</t>
  </si>
  <si>
    <t>Rick Houston</t>
  </si>
  <si>
    <t>Atascadero</t>
  </si>
  <si>
    <t>Guy Gallagher</t>
  </si>
  <si>
    <t>Carmen Elmore</t>
  </si>
  <si>
    <t>Executive Impressions 13" Chairman Wall Clock</t>
  </si>
  <si>
    <t>Recycled Eldon Regeneration Jumbo File</t>
  </si>
  <si>
    <t>Esther Whitaker</t>
  </si>
  <si>
    <t>Staples Colored Interoffice Envelopes</t>
  </si>
  <si>
    <t>Electrix Fluorescent Magnifier Lamps &amp; Weighted Base</t>
  </si>
  <si>
    <t>Eddie House Mueller</t>
  </si>
  <si>
    <t>Max McKenna</t>
  </si>
  <si>
    <t>Manhattan</t>
  </si>
  <si>
    <t>Roberta Daniel</t>
  </si>
  <si>
    <t>Alamogordo</t>
  </si>
  <si>
    <t>Curtis O'Connell</t>
  </si>
  <si>
    <t>Medford</t>
  </si>
  <si>
    <t>Jacqueline Noble</t>
  </si>
  <si>
    <t>Avery Hi-Liter GlideStik Fluorescent Highlighter, Yellow Ink</t>
  </si>
  <si>
    <t>Rosemary English</t>
  </si>
  <si>
    <t>Portland</t>
  </si>
  <si>
    <t>Ryan Herman</t>
  </si>
  <si>
    <t>Joanne Chu</t>
  </si>
  <si>
    <t>Baldwin</t>
  </si>
  <si>
    <t>Marlene Gray</t>
  </si>
  <si>
    <t>Avery 496</t>
  </si>
  <si>
    <t>Clifton</t>
  </si>
  <si>
    <t>Lloyd Cannon</t>
  </si>
  <si>
    <t>Carolyn Proctor</t>
  </si>
  <si>
    <t>Jackie McCullough</t>
  </si>
  <si>
    <t>Micro Innovations 104 Keyboard</t>
  </si>
  <si>
    <t>Jacksonville</t>
  </si>
  <si>
    <t>Richard Tan</t>
  </si>
  <si>
    <t>Eagle</t>
  </si>
  <si>
    <t>2190</t>
  </si>
  <si>
    <t>Ralph Woods Scott</t>
  </si>
  <si>
    <t>Avery Binding System Hidden Tab™ Executive Style Index Sets</t>
  </si>
  <si>
    <t>Creve Coeur</t>
  </si>
  <si>
    <t>Debra Block</t>
  </si>
  <si>
    <t>Belkin 325VA UPS Surge Protector, 6'</t>
  </si>
  <si>
    <t>Harlingen</t>
  </si>
  <si>
    <t>Marlene Harrison</t>
  </si>
  <si>
    <t>Westinghouse Floor Lamp with Metal Mesh Shade, Black</t>
  </si>
  <si>
    <t>Mildred Briggs</t>
  </si>
  <si>
    <t>GBC Therma-A-Bind 250T Electric Binding System</t>
  </si>
  <si>
    <t>Kimberly McCarthy</t>
  </si>
  <si>
    <t>Sidney Larson</t>
  </si>
  <si>
    <t>South Portland</t>
  </si>
  <si>
    <t>Marianne Weiner Ennis</t>
  </si>
  <si>
    <t>Littleton</t>
  </si>
  <si>
    <t>Betsy Gibson</t>
  </si>
  <si>
    <t>Wesley Cho</t>
  </si>
  <si>
    <t>Richmond</t>
  </si>
  <si>
    <t>Lynda Rosenthal</t>
  </si>
  <si>
    <t>Eldon Jumbo ProFile™ Portable File Boxes Graphite/Black</t>
  </si>
  <si>
    <t>Vickie Gonzalez</t>
  </si>
  <si>
    <t>Broomfield</t>
  </si>
  <si>
    <t>Renee Huang</t>
  </si>
  <si>
    <t>Coral Springs</t>
  </si>
  <si>
    <t>Linda Blake</t>
  </si>
  <si>
    <t>Hilliard</t>
  </si>
  <si>
    <t>Leonard Strauss</t>
  </si>
  <si>
    <t>Wirebound Voice Message Log Book</t>
  </si>
  <si>
    <t>Earl Donnelly</t>
  </si>
  <si>
    <t>Slidell</t>
  </si>
  <si>
    <t>Constance Robertson</t>
  </si>
  <si>
    <t>Tampa</t>
  </si>
  <si>
    <t>Lynne Reid</t>
  </si>
  <si>
    <t>Strongsville</t>
  </si>
  <si>
    <t>Joanne Spivey</t>
  </si>
  <si>
    <t>Brown Kraft Recycled Envelopes</t>
  </si>
  <si>
    <t>Independence</t>
  </si>
  <si>
    <t>Frank Cross</t>
  </si>
  <si>
    <t>Todd D Norris</t>
  </si>
  <si>
    <t>Newport News</t>
  </si>
  <si>
    <t>Sean Herbert</t>
  </si>
  <si>
    <t>Racine</t>
  </si>
  <si>
    <t>Lindsay Webb</t>
  </si>
  <si>
    <t>Xerox 1928</t>
  </si>
  <si>
    <t>Sheboygan</t>
  </si>
  <si>
    <t>George Terry</t>
  </si>
  <si>
    <t>Los Gatos</t>
  </si>
  <si>
    <t>Micro Innovations Micro Digital Wireless Keyboard and Mouse, Gray</t>
  </si>
  <si>
    <t>Colleen Fletcher</t>
  </si>
  <si>
    <t>Acme Hot Forged Carbon Steel Scissors with Nickel-Plated Handles, 3 7/8" Cut, 8"L</t>
  </si>
  <si>
    <t>Saint Charles</t>
  </si>
  <si>
    <t>Stuart Sharma</t>
  </si>
  <si>
    <t>Pam Gilbert</t>
  </si>
  <si>
    <t>Xerox 193</t>
  </si>
  <si>
    <t>Round Rock</t>
  </si>
  <si>
    <t>Dan Lamm</t>
  </si>
  <si>
    <t>Sony MFD2HD Formatted Diskettes, 10/Pack</t>
  </si>
  <si>
    <t>Asheboro</t>
  </si>
  <si>
    <t>Theodore Moran</t>
  </si>
  <si>
    <t>Ray Oakley</t>
  </si>
  <si>
    <t>West Lafayette</t>
  </si>
  <si>
    <t>Lloyd Spencer</t>
  </si>
  <si>
    <t>West Scarborough</t>
  </si>
  <si>
    <t>Chad Henson</t>
  </si>
  <si>
    <t>Huntington</t>
  </si>
  <si>
    <t>Newell 329</t>
  </si>
  <si>
    <t>Jerry Ennis</t>
  </si>
  <si>
    <t>Sacramento</t>
  </si>
  <si>
    <t>Hon Rectangular Conference Tables</t>
  </si>
  <si>
    <t>#10 White Business Envelopes,4 1/8 x 9 1/2</t>
  </si>
  <si>
    <t>Shirley Riley</t>
  </si>
  <si>
    <t>GBC DocuBind TL200 Manual Binding Machine</t>
  </si>
  <si>
    <t>Gwendolyn F Tyson</t>
  </si>
  <si>
    <t>Newell 321</t>
  </si>
  <si>
    <t>Newell 351</t>
  </si>
  <si>
    <t>Wirebound Message Books, Four 2 3/4" x 5" Forms per Page, 600 Sets per Book</t>
  </si>
  <si>
    <t>Imation 3.5" DS/HD IBM Formatted Diskettes, 10/Pack</t>
  </si>
  <si>
    <t>Evan K Bullard</t>
  </si>
  <si>
    <t>Multimedia Mailers</t>
  </si>
  <si>
    <t>Naugatuck</t>
  </si>
  <si>
    <t>Marlene Abrams</t>
  </si>
  <si>
    <t>Kathryn Patrick</t>
  </si>
  <si>
    <t>William Larson</t>
  </si>
  <si>
    <t>Sharon Marcus</t>
  </si>
  <si>
    <t>Longview</t>
  </si>
  <si>
    <t>Steve McKee</t>
  </si>
  <si>
    <t>Carla Hauser</t>
  </si>
  <si>
    <t>Bonnie Chambers</t>
  </si>
  <si>
    <t>Glendale</t>
  </si>
  <si>
    <t>Xerox 1898</t>
  </si>
  <si>
    <t>Alice Coley</t>
  </si>
  <si>
    <t>GBC Recycled Regency Composition Covers</t>
  </si>
  <si>
    <t>Urbana</t>
  </si>
  <si>
    <t>Ruth Lamm</t>
  </si>
  <si>
    <t>Accessory29</t>
  </si>
  <si>
    <t>Vernon Hills</t>
  </si>
  <si>
    <t>Pam Bennett</t>
  </si>
  <si>
    <t>Boston 16701 Slimline Battery Pencil Sharpener</t>
  </si>
  <si>
    <t>Carbondale</t>
  </si>
  <si>
    <t>Glen Newman</t>
  </si>
  <si>
    <t>Wilkinsburg</t>
  </si>
  <si>
    <t>Vinyl Sectional Post Binders</t>
  </si>
  <si>
    <t>Laurie Hanna</t>
  </si>
  <si>
    <t>DAX Natural Wood-Tone Poster Frame</t>
  </si>
  <si>
    <t>Helena</t>
  </si>
  <si>
    <t>Tony Wilkins Winters</t>
  </si>
  <si>
    <t>Belkin ErgoBoard™ Keyboard</t>
  </si>
  <si>
    <t>Ross Frederick</t>
  </si>
  <si>
    <t>Xerox 214</t>
  </si>
  <si>
    <t>San Antonio</t>
  </si>
  <si>
    <t>Carrie Duke</t>
  </si>
  <si>
    <t>*Staples* vLetter Openers, 2/Pack</t>
  </si>
  <si>
    <t>Dale Gillespie</t>
  </si>
  <si>
    <t>Petaluma</t>
  </si>
  <si>
    <t>Jerome Burch</t>
  </si>
  <si>
    <t>Yuba City</t>
  </si>
  <si>
    <t>Hazel Jones</t>
  </si>
  <si>
    <t>Wirebound Message Forms, Four 2 3/4 x 5 Forms per Page, Pink Paper</t>
  </si>
  <si>
    <t>Stockton</t>
  </si>
  <si>
    <t>Jennifer Zimmerman</t>
  </si>
  <si>
    <t>Eldon Simplefile® Box Office®</t>
  </si>
  <si>
    <t>Jonesboro</t>
  </si>
  <si>
    <t>Tommy Lutz</t>
  </si>
  <si>
    <t>Universal Premium White Copier/Laser Paper (20Lb. and 87 Bright)</t>
  </si>
  <si>
    <t>Kelly Collins</t>
  </si>
  <si>
    <t>Eastpointe</t>
  </si>
  <si>
    <t>Lynne Wilcox</t>
  </si>
  <si>
    <t>Prismacolor Color Pencil Set</t>
  </si>
  <si>
    <t>Victoria Baker Hoover</t>
  </si>
  <si>
    <t>REDIFORM Incoming/Outgoing Call Register, 11" X 8 1/2", 100 Messages</t>
  </si>
  <si>
    <t>Terrytown</t>
  </si>
  <si>
    <t>Sharp EL501VB Scientific Calculator, Battery Operated, 10-Digit Display, Hard Case</t>
  </si>
  <si>
    <t>Penny Tuttle</t>
  </si>
  <si>
    <t>Ibico EB-19 Dual Function Manual Binding System</t>
  </si>
  <si>
    <t>Amy Hall</t>
  </si>
  <si>
    <t>Lorain</t>
  </si>
  <si>
    <t>Jerry Webster</t>
  </si>
  <si>
    <t>Anita Kang</t>
  </si>
  <si>
    <t>Acco Smartsocket™ Table Surge Protector, 6 Color-Coded Adapter Outlets</t>
  </si>
  <si>
    <t>Mundelein</t>
  </si>
  <si>
    <t>Wayne English</t>
  </si>
  <si>
    <t>GBC Recycled Grain Textured Covers</t>
  </si>
  <si>
    <t>New Iberia</t>
  </si>
  <si>
    <t>Xerox 1881</t>
  </si>
  <si>
    <t>Panasonic KP-350BK Electric Pencil Sharpener with Auto Stop</t>
  </si>
  <si>
    <t>Jon Ward</t>
  </si>
  <si>
    <t>Revere Boxed Rubber Bands by Revere</t>
  </si>
  <si>
    <t>Ted Durham</t>
  </si>
  <si>
    <t>Zoom V.92 V.44 PCI Internal Controllerless FaxModem</t>
  </si>
  <si>
    <t>North Port</t>
  </si>
  <si>
    <t>Molly Vincent</t>
  </si>
  <si>
    <t>Ronnie Creech</t>
  </si>
  <si>
    <t>Eileen Cheek</t>
  </si>
  <si>
    <t>Norwood</t>
  </si>
  <si>
    <t>Tennsco Lockers, Sand</t>
  </si>
  <si>
    <t>Troy Cassidy</t>
  </si>
  <si>
    <t>Lindsay Tate</t>
  </si>
  <si>
    <t>Midwest City</t>
  </si>
  <si>
    <t>Becky Puckett</t>
  </si>
  <si>
    <t>Eureka</t>
  </si>
  <si>
    <t>O'Sullivan 3-Shelf Heavy-Duty Bookcases</t>
  </si>
  <si>
    <t>Arlene Weeks</t>
  </si>
  <si>
    <t>Union City</t>
  </si>
  <si>
    <t>Carole Rosen</t>
  </si>
  <si>
    <t>Boise</t>
  </si>
  <si>
    <t>Joseph Grossman</t>
  </si>
  <si>
    <t>Maxine Collier Grady</t>
  </si>
  <si>
    <t>Dwight Bishop</t>
  </si>
  <si>
    <t>Robert Brantley</t>
  </si>
  <si>
    <t>Dearborn Heights</t>
  </si>
  <si>
    <t>Wesley Field</t>
  </si>
  <si>
    <t>Xerox 1979</t>
  </si>
  <si>
    <t>Westland</t>
  </si>
  <si>
    <t>Brenda Jain</t>
  </si>
  <si>
    <t>Hon Non-Folding Utility Tables</t>
  </si>
  <si>
    <t>Sharon</t>
  </si>
  <si>
    <t>Storex Dura Pro™ Binders</t>
  </si>
  <si>
    <t>Xerox 231</t>
  </si>
  <si>
    <t>Dolores Abrams</t>
  </si>
  <si>
    <t>5180</t>
  </si>
  <si>
    <t>Lucille Rankin</t>
  </si>
  <si>
    <t>Vickie Andrews</t>
  </si>
  <si>
    <t>Belleville</t>
  </si>
  <si>
    <t>Marvin Hunt</t>
  </si>
  <si>
    <t>Abilene</t>
  </si>
  <si>
    <t>June Frank Hammond</t>
  </si>
  <si>
    <t>South Vineland</t>
  </si>
  <si>
    <t>Acme® Forged Steel Scissors with Black Enamel Handles</t>
  </si>
  <si>
    <t>Joanna Keith</t>
  </si>
  <si>
    <t>Lake Jackson</t>
  </si>
  <si>
    <t>Catherine Mullins</t>
  </si>
  <si>
    <t>Avery Hi-Liter® Smear-Safe Highlighters</t>
  </si>
  <si>
    <t>Walla Walla</t>
  </si>
  <si>
    <t>Marlene Davidson</t>
  </si>
  <si>
    <t>Avery Legal 4-Ring Binder</t>
  </si>
  <si>
    <t>Benjamin Strauss</t>
  </si>
  <si>
    <t>El Paso</t>
  </si>
  <si>
    <t>Jim Rodgers</t>
  </si>
  <si>
    <t>Hewlett Packard 6S Scientific Calculator</t>
  </si>
  <si>
    <t>Missoula</t>
  </si>
  <si>
    <t>Advantus Plastic Paper Clips</t>
  </si>
  <si>
    <t>Lifetime Advantage™ Folding Chairs, 4/Carton</t>
  </si>
  <si>
    <t>Janice Frye</t>
  </si>
  <si>
    <t>Las Cruces</t>
  </si>
  <si>
    <t>Cardinal Holdit Business Card Pockets</t>
  </si>
  <si>
    <t>Alex Harrell</t>
  </si>
  <si>
    <t>Hayes Optima 56K V.90 Internal Voice Modem</t>
  </si>
  <si>
    <t>Fred Barber</t>
  </si>
  <si>
    <t>Oak Creek</t>
  </si>
  <si>
    <t>Lester Woodward Maynard</t>
  </si>
  <si>
    <t>Boston 1799 Powerhouse™ Electric Pencil Sharpener</t>
  </si>
  <si>
    <t>Lindenhurst</t>
  </si>
  <si>
    <t>Derek Sweeney</t>
  </si>
  <si>
    <t>Gretchen Orr</t>
  </si>
  <si>
    <t>Lake Charles</t>
  </si>
  <si>
    <t>Jesse Williamson</t>
  </si>
  <si>
    <t>Spanish Fork</t>
  </si>
  <si>
    <t>Nicole Goldstein</t>
  </si>
  <si>
    <t>Wilson Jones Elliptical Ring 3 1/2" Capacity Binders, 800 sheets</t>
  </si>
  <si>
    <t>Annapolis</t>
  </si>
  <si>
    <t>Anne Armstrong</t>
  </si>
  <si>
    <t>Tenex Personal Self-Stacking Standard File Box, Black/Gray</t>
  </si>
  <si>
    <t>Millville</t>
  </si>
  <si>
    <t>Bruce Stark</t>
  </si>
  <si>
    <t>Dayton</t>
  </si>
  <si>
    <t>Soundgear Copyboard Conference Phone, Optional Battery</t>
  </si>
  <si>
    <t>Albert Tyson</t>
  </si>
  <si>
    <t>Olive Branch</t>
  </si>
  <si>
    <t>Tonya Miller</t>
  </si>
  <si>
    <t>Newell 31</t>
  </si>
  <si>
    <t>Janesville</t>
  </si>
  <si>
    <t>Barbara McNamara</t>
  </si>
  <si>
    <t>Kingman</t>
  </si>
  <si>
    <t>Malcolm Robertson</t>
  </si>
  <si>
    <t>Amarillo</t>
  </si>
  <si>
    <t>Patrick Adcock</t>
  </si>
  <si>
    <t>GBC Prepunched Paper, 19-Hole, for Binding Systems, 24-lb</t>
  </si>
  <si>
    <t>Schererville</t>
  </si>
  <si>
    <t>Mike Howard</t>
  </si>
  <si>
    <t>Kensington 6 Outlet SmartSocket Surge Protector</t>
  </si>
  <si>
    <t>Bevis Boat-Shaped Conference Table</t>
  </si>
  <si>
    <t>Dana Boyle</t>
  </si>
  <si>
    <t>Veronica Peck</t>
  </si>
  <si>
    <t>South Lake Tahoe</t>
  </si>
  <si>
    <t>Global Airflow Leather Mesh Back Chair, Black</t>
  </si>
  <si>
    <t>Thelma Abrams</t>
  </si>
  <si>
    <t>Priscilla Frank</t>
  </si>
  <si>
    <t>Self-Adhesive Removable Labels</t>
  </si>
  <si>
    <t>Gorham</t>
  </si>
  <si>
    <t>Mary Norman</t>
  </si>
  <si>
    <t>Granite Bay</t>
  </si>
  <si>
    <t>Sheryl Marsh</t>
  </si>
  <si>
    <t>Polycom VoiceStation 100</t>
  </si>
  <si>
    <t>Phone 918</t>
  </si>
  <si>
    <t>Tommy Ellis Ritchie</t>
  </si>
  <si>
    <t>Westlake</t>
  </si>
  <si>
    <t>Gordon Boswell</t>
  </si>
  <si>
    <t>Cloverleaf</t>
  </si>
  <si>
    <t>Brenda Ross</t>
  </si>
  <si>
    <t>#10-4 1/8" x 9 1/2" Premium Diagonal Seam Envelopes</t>
  </si>
  <si>
    <t>Keith R Atkinson</t>
  </si>
  <si>
    <t>Surprise</t>
  </si>
  <si>
    <t>Xerox 1883</t>
  </si>
  <si>
    <t>Jacob McNeill</t>
  </si>
  <si>
    <t>Imation Primaris 3.5" 2HD Unformatted Diskettes, 10/Pack</t>
  </si>
  <si>
    <t>Oceanside</t>
  </si>
  <si>
    <t>Tyvek ® Top-Opening Peel &amp; Seel Envelopes, Plain White</t>
  </si>
  <si>
    <t>Brandon Beach</t>
  </si>
  <si>
    <t>Kirkwood</t>
  </si>
  <si>
    <t>Leslie Woodard</t>
  </si>
  <si>
    <t>Avery Heavy-Duty EZD ™ Binder With Locking Rings</t>
  </si>
  <si>
    <t>Charleston</t>
  </si>
  <si>
    <t>Leah Pollock</t>
  </si>
  <si>
    <t>270c</t>
  </si>
  <si>
    <t>Leslie Rowland</t>
  </si>
  <si>
    <t>Los Banos</t>
  </si>
  <si>
    <t>Sam Oh</t>
  </si>
  <si>
    <t>Roberta Mullins Peters</t>
  </si>
  <si>
    <t>Everett</t>
  </si>
  <si>
    <t>Brenda Nelson Blanchard</t>
  </si>
  <si>
    <t>DIXON Oriole® Pencils</t>
  </si>
  <si>
    <t>Richfield</t>
  </si>
  <si>
    <t>StarTAC Series</t>
  </si>
  <si>
    <t>Aaron Day</t>
  </si>
  <si>
    <t>Trav-L-File Heavy-Duty Shuttle II, Black</t>
  </si>
  <si>
    <t>Greeneville</t>
  </si>
  <si>
    <t>Tracy Schultz</t>
  </si>
  <si>
    <t>Dixon My First Ticonderoga Pencil, #2</t>
  </si>
  <si>
    <t>Lindenwold</t>
  </si>
  <si>
    <t>Stanley Steele</t>
  </si>
  <si>
    <t>Ellicott City</t>
  </si>
  <si>
    <t>Hilda Bennett</t>
  </si>
  <si>
    <t>DAX Clear Channel Poster Frame</t>
  </si>
  <si>
    <t>Rosemary Stark</t>
  </si>
  <si>
    <t>TI 36X Solar Scientific Calculator</t>
  </si>
  <si>
    <t>Yvonne Mann</t>
  </si>
  <si>
    <t>Model L Table or Wall-Mount Pencil Sharpener</t>
  </si>
  <si>
    <t>Lloyd Fuller</t>
  </si>
  <si>
    <t>Bernice F Day</t>
  </si>
  <si>
    <t>Quincy</t>
  </si>
  <si>
    <t>Roger Meyer</t>
  </si>
  <si>
    <t>Staples Bulldog Clip</t>
  </si>
  <si>
    <t>Seth Thomas 13 1/2" Wall Clock</t>
  </si>
  <si>
    <t>Scott Moore</t>
  </si>
  <si>
    <t>Bravo II™ Megaboss® 12-Amp Hard Body Upright, Replacement Belts, 2 Belts per Pack</t>
  </si>
  <si>
    <t>Neil Barbee</t>
  </si>
  <si>
    <t>Moline</t>
  </si>
  <si>
    <t>Jack Morse</t>
  </si>
  <si>
    <t>Paul W French</t>
  </si>
  <si>
    <t>Plymouth Boxed Rubber Bands by Plymouth</t>
  </si>
  <si>
    <t>Newark</t>
  </si>
  <si>
    <t>Accessory32</t>
  </si>
  <si>
    <t>Artistic Insta-Plaque</t>
  </si>
  <si>
    <t>Jerome McIntosh</t>
  </si>
  <si>
    <t>Dixon Ticonderoga Core-Lock Colored Pencils</t>
  </si>
  <si>
    <t>Carol Wood</t>
  </si>
  <si>
    <t>Avery 482</t>
  </si>
  <si>
    <t>Alexandria</t>
  </si>
  <si>
    <t>Binney &amp; Smith inkTank™ Erasable Pocket Highlighter, Chisel Tip, Yellow</t>
  </si>
  <si>
    <t>Brooke Weeks Taylor</t>
  </si>
  <si>
    <t>Ansonia</t>
  </si>
  <si>
    <t>Marguerite Moss</t>
  </si>
  <si>
    <t>Yarmouth</t>
  </si>
  <si>
    <t>Norman Adams</t>
  </si>
  <si>
    <t>GBC Binding covers</t>
  </si>
  <si>
    <t>Rubber Band Ball</t>
  </si>
  <si>
    <t>Seth Thomas 8 1/2" Cubicle Clock</t>
  </si>
  <si>
    <t>Jamie Ward</t>
  </si>
  <si>
    <t>Odenton</t>
  </si>
  <si>
    <t>Jessie Houston</t>
  </si>
  <si>
    <t>5125</t>
  </si>
  <si>
    <t>Michelle Bryant Phillips</t>
  </si>
  <si>
    <t>Tucker</t>
  </si>
  <si>
    <t>Carlos Adkins</t>
  </si>
  <si>
    <t>Land O Lakes</t>
  </si>
  <si>
    <t>Marguerite Yu</t>
  </si>
  <si>
    <t>Weslaco</t>
  </si>
  <si>
    <t>Danielle Myers</t>
  </si>
  <si>
    <t>Newell 308</t>
  </si>
  <si>
    <t>Judy Frazier</t>
  </si>
  <si>
    <t>East Massapequa</t>
  </si>
  <si>
    <t>Bevis Rectangular Conference Tables</t>
  </si>
  <si>
    <t>Kathleen P Bloom</t>
  </si>
  <si>
    <t>Corvallis</t>
  </si>
  <si>
    <t>Dixon Ticonderoga® Erasable Colored Pencil Set, 12-Color</t>
  </si>
  <si>
    <t>Calvin Boyette</t>
  </si>
  <si>
    <t>Gilbert</t>
  </si>
  <si>
    <t>Tenex Antistatic Computer Chair Mats</t>
  </si>
  <si>
    <t>Mark Ritchie</t>
  </si>
  <si>
    <t>Alfred Harmon</t>
  </si>
  <si>
    <t>Xerox 1984</t>
  </si>
  <si>
    <t>Cheshire</t>
  </si>
  <si>
    <t>Jeanette Davies</t>
  </si>
  <si>
    <t>Leo E Underwood</t>
  </si>
  <si>
    <t>Sandy Mueller</t>
  </si>
  <si>
    <t>Providence</t>
  </si>
  <si>
    <t>Harriet Wooten</t>
  </si>
  <si>
    <t>Okidata ML395C Color Dot Matrix Printer</t>
  </si>
  <si>
    <t>Staples Pen Style Liquid Stix; Assorted (yellow, pink, green, blue, orange), 5/Pack</t>
  </si>
  <si>
    <t>Pam Anthony</t>
  </si>
  <si>
    <t>Winthrop</t>
  </si>
  <si>
    <t>Jordan Beard</t>
  </si>
  <si>
    <t>Xerox 1995</t>
  </si>
  <si>
    <t>Leavenworth</t>
  </si>
  <si>
    <t>Leigh Burnette Hurley</t>
  </si>
  <si>
    <t>Xerox 1994</t>
  </si>
  <si>
    <t>Alfred Barber</t>
  </si>
  <si>
    <t>Mehlville</t>
  </si>
  <si>
    <t>Eileen Dalton</t>
  </si>
  <si>
    <t>Hon Olson Stacker Stools</t>
  </si>
  <si>
    <t>Fluorescent Highlighters by Dixon</t>
  </si>
  <si>
    <t>IBM 80 Minute CD-R Spindle, 50/Pack</t>
  </si>
  <si>
    <t>Earl Buck</t>
  </si>
  <si>
    <t>Acco Smartsocket® Color-Coded Six-Outlet AC Adapter Model Surge Protectors</t>
  </si>
  <si>
    <t>Danny Vaughn</t>
  </si>
  <si>
    <t>Bloomfield</t>
  </si>
  <si>
    <t>George McLamb</t>
  </si>
  <si>
    <t>Sidney Scarborough</t>
  </si>
  <si>
    <t>Charlottesville</t>
  </si>
  <si>
    <t>Wendy Pridgen Pearce</t>
  </si>
  <si>
    <t>Okidata ML520 Series Dot Matrix Printers</t>
  </si>
  <si>
    <t>Holland</t>
  </si>
  <si>
    <t>TOPS Voice Message Log Book, Flash Format</t>
  </si>
  <si>
    <t>Ernest Peele</t>
  </si>
  <si>
    <t>Teresa Watts</t>
  </si>
  <si>
    <t>Alicia Wood Shah</t>
  </si>
  <si>
    <t>Gyration Ultra Cordless Optical Suite</t>
  </si>
  <si>
    <t>Alison Sharp</t>
  </si>
  <si>
    <t>Ibico Hi-Tech Manual Binding System</t>
  </si>
  <si>
    <t>Laconia</t>
  </si>
  <si>
    <t>Seth Matthews</t>
  </si>
  <si>
    <t>Inkster</t>
  </si>
  <si>
    <t>Edna Huang</t>
  </si>
  <si>
    <t>South Hadley</t>
  </si>
  <si>
    <t>Frances Saunders</t>
  </si>
  <si>
    <t>Brenda May</t>
  </si>
  <si>
    <t>Quartet Alpha® White Chalk, 12/Pack</t>
  </si>
  <si>
    <t>Marlene Phillips</t>
  </si>
  <si>
    <t>Imation 3.5" DS-HD Macintosh Formatted Diskettes, 10/Pack</t>
  </si>
  <si>
    <t>Brett Hawkins</t>
  </si>
  <si>
    <t>Global Adaptabilities™ Conference Tables</t>
  </si>
  <si>
    <t>Highlands Ranch</t>
  </si>
  <si>
    <t>Alexandra Wise</t>
  </si>
  <si>
    <t>GBC Standard Plastic Binding Systems Combs</t>
  </si>
  <si>
    <t>Debra P May</t>
  </si>
  <si>
    <t>Danielle Kramer</t>
  </si>
  <si>
    <t>Altus</t>
  </si>
  <si>
    <t>Jacob Burgess</t>
  </si>
  <si>
    <t>Wilson</t>
  </si>
  <si>
    <t>Peter Brooks</t>
  </si>
  <si>
    <t>Wesley Reid</t>
  </si>
  <si>
    <t>Leo J Olson</t>
  </si>
  <si>
    <t>Josephine Dalton</t>
  </si>
  <si>
    <t>T65</t>
  </si>
  <si>
    <t>Xerox 1892</t>
  </si>
  <si>
    <t>Kate McKenna</t>
  </si>
  <si>
    <t>Toledo</t>
  </si>
  <si>
    <t>Eileen Schwartz</t>
  </si>
  <si>
    <t>Xerox 199</t>
  </si>
  <si>
    <t>Liberal</t>
  </si>
  <si>
    <t>Bretford Rectangular Conference Table Tops</t>
  </si>
  <si>
    <t>Snap-A-Way® Black Print Carbonless Speed Message, No Reply Area, Duplicate</t>
  </si>
  <si>
    <t>Angela Howe</t>
  </si>
  <si>
    <t>Grand Island</t>
  </si>
  <si>
    <t>Francis Sherrill</t>
  </si>
  <si>
    <t>Asheville</t>
  </si>
  <si>
    <t>Helen Simpson</t>
  </si>
  <si>
    <t>Enid</t>
  </si>
  <si>
    <t>Bernard Thompson</t>
  </si>
  <si>
    <t>Raleigh</t>
  </si>
  <si>
    <t>Vicki Zhu Daniels</t>
  </si>
  <si>
    <t>Clearfield</t>
  </si>
  <si>
    <t>Marie Pittman</t>
  </si>
  <si>
    <t>Owatonna</t>
  </si>
  <si>
    <t>2160</t>
  </si>
  <si>
    <t>Xerox 1916</t>
  </si>
  <si>
    <t>Lester Sawyer</t>
  </si>
  <si>
    <t>Kevin Wolfe</t>
  </si>
  <si>
    <t>Kensington 7 Outlet MasterPiece Power Center</t>
  </si>
  <si>
    <t>East Point</t>
  </si>
  <si>
    <t>Logitech Internet Navigator Keyboard</t>
  </si>
  <si>
    <t>Kay Schultz</t>
  </si>
  <si>
    <t>College Station</t>
  </si>
  <si>
    <t>Ronnie Proctor</t>
  </si>
  <si>
    <t>Randall Boykin</t>
  </si>
  <si>
    <t>Xerox 1888</t>
  </si>
  <si>
    <t>Earl Watts</t>
  </si>
  <si>
    <t>Hopkins</t>
  </si>
  <si>
    <t>Lester Copeland</t>
  </si>
  <si>
    <t>Titusville</t>
  </si>
  <si>
    <t>Sam Woodward</t>
  </si>
  <si>
    <t>Marlene Kirk</t>
  </si>
  <si>
    <t>South Bend</t>
  </si>
  <si>
    <t>Henry Ball</t>
  </si>
  <si>
    <t>Morgantown</t>
  </si>
  <si>
    <t>Daniel Christian</t>
  </si>
  <si>
    <t>New Orleans</t>
  </si>
  <si>
    <t>Gina B Hess</t>
  </si>
  <si>
    <t>Webster</t>
  </si>
  <si>
    <t>Ricky Hensley</t>
  </si>
  <si>
    <t>Gresham</t>
  </si>
  <si>
    <t>Meredith Walters</t>
  </si>
  <si>
    <t>Peggy Rowe</t>
  </si>
  <si>
    <t>Stacey Hale</t>
  </si>
  <si>
    <t>Summit</t>
  </si>
  <si>
    <t>Sheryl Reese</t>
  </si>
  <si>
    <t>Owensboro</t>
  </si>
  <si>
    <t>Frances Holt</t>
  </si>
  <si>
    <t>Cambridge</t>
  </si>
  <si>
    <t>Jon Hale</t>
  </si>
  <si>
    <t>Belle Glade</t>
  </si>
  <si>
    <t>Geoffrey Rivera</t>
  </si>
  <si>
    <t>Deflect-o EconoMat Studded, No Bevel Mat for Low Pile Carpeting</t>
  </si>
  <si>
    <t>Donna Block</t>
  </si>
  <si>
    <t>Dalton</t>
  </si>
  <si>
    <t>Don Beard</t>
  </si>
  <si>
    <t>Ozark</t>
  </si>
  <si>
    <t>Pauline Boyette</t>
  </si>
  <si>
    <t>Virginia Gay</t>
  </si>
  <si>
    <t>ACCOHIDE® Binder by Acco</t>
  </si>
  <si>
    <t>Shawnee</t>
  </si>
  <si>
    <t>Robin High</t>
  </si>
  <si>
    <t>Howard Miller 13-3/4" Diameter Brushed Chrome Round Wall Clock</t>
  </si>
  <si>
    <t>Shakopee</t>
  </si>
  <si>
    <t>Dwight Stephenson</t>
  </si>
  <si>
    <t>Katherine Kearney</t>
  </si>
  <si>
    <t>Lemon Grove</t>
  </si>
  <si>
    <t>Monica McCormick</t>
  </si>
  <si>
    <t>Albemarle</t>
  </si>
  <si>
    <t>Xerox 1929</t>
  </si>
  <si>
    <t>Vickie Martinez</t>
  </si>
  <si>
    <t>William Sharma</t>
  </si>
  <si>
    <t>Maplewood</t>
  </si>
  <si>
    <t>Wayne Bean</t>
  </si>
  <si>
    <t>3M Hangers With Command Adhesive</t>
  </si>
  <si>
    <t>Kristin George</t>
  </si>
  <si>
    <t>Chromcraft Bull-Nose Wood Oval Conference Tables &amp; Bases</t>
  </si>
  <si>
    <t>Saco</t>
  </si>
  <si>
    <t>Justin Frank</t>
  </si>
  <si>
    <t>Herbert Donnelly Swanson</t>
  </si>
  <si>
    <t>Londonderry</t>
  </si>
  <si>
    <t>Ray Silverman</t>
  </si>
  <si>
    <t>Ponte Vedra Beach</t>
  </si>
  <si>
    <t>Kerry Beach</t>
  </si>
  <si>
    <t>Cumberland</t>
  </si>
  <si>
    <t>Randy Jiang</t>
  </si>
  <si>
    <t>Norwich</t>
  </si>
  <si>
    <t>Lynda Banks</t>
  </si>
  <si>
    <t>Avery 492</t>
  </si>
  <si>
    <t>Kalamazoo</t>
  </si>
  <si>
    <t>Kenneth Pollock</t>
  </si>
  <si>
    <t>Harrisonburg</t>
  </si>
  <si>
    <t>Newell 326</t>
  </si>
  <si>
    <t>Pat Kinney</t>
  </si>
  <si>
    <t>Steve O'Brien</t>
  </si>
  <si>
    <t>Bolingbrook</t>
  </si>
  <si>
    <t>Holly Pate</t>
  </si>
  <si>
    <t>Xerox 1993</t>
  </si>
  <si>
    <t>Mustang</t>
  </si>
  <si>
    <t>Joseph Dawson</t>
  </si>
  <si>
    <t>Muncie</t>
  </si>
  <si>
    <t>V 3600 Series</t>
  </si>
  <si>
    <t>Frances Johnson</t>
  </si>
  <si>
    <t>Iris Project Case</t>
  </si>
  <si>
    <t>Middle River</t>
  </si>
  <si>
    <t>Alice Berger McIntyre</t>
  </si>
  <si>
    <t>Lunenburg</t>
  </si>
  <si>
    <t>Kurt O'Connor</t>
  </si>
  <si>
    <t>Edinburg</t>
  </si>
  <si>
    <t>Lucille McGee</t>
  </si>
  <si>
    <t>Greensburg</t>
  </si>
  <si>
    <t>Claudia Boyle</t>
  </si>
  <si>
    <t>Biddeford</t>
  </si>
  <si>
    <t>Avery Durable Binders</t>
  </si>
  <si>
    <t>Tom McFarland</t>
  </si>
  <si>
    <t>Lodi</t>
  </si>
  <si>
    <t>Aaron Riggs</t>
  </si>
  <si>
    <t>Newell 333</t>
  </si>
  <si>
    <t>Megan Woods</t>
  </si>
  <si>
    <t>Green Bay</t>
  </si>
  <si>
    <t>John Bray</t>
  </si>
  <si>
    <t>Canon Image Class D660 Copier</t>
  </si>
  <si>
    <t>Christopher High</t>
  </si>
  <si>
    <t>Massillon</t>
  </si>
  <si>
    <t>Clara Kaplan</t>
  </si>
  <si>
    <t>Jay Simon</t>
  </si>
  <si>
    <t>Rogers</t>
  </si>
  <si>
    <t>Prang Drawing Pencil Set</t>
  </si>
  <si>
    <t>Laurence Flowers</t>
  </si>
  <si>
    <t>Biloxi</t>
  </si>
  <si>
    <t>Cathy Burgess</t>
  </si>
  <si>
    <t>Shreveport</t>
  </si>
  <si>
    <t>Valerie Moon</t>
  </si>
  <si>
    <t>Brooke Lancaster</t>
  </si>
  <si>
    <t>Frances Powers</t>
  </si>
  <si>
    <t>KI Conference Tables</t>
  </si>
  <si>
    <t>Reynoldsburg</t>
  </si>
  <si>
    <t>Steven Long</t>
  </si>
  <si>
    <t>Adrian</t>
  </si>
  <si>
    <t>Karen O'Donnell</t>
  </si>
  <si>
    <t>Jeanne Walker</t>
  </si>
  <si>
    <t>Kelly Shaw</t>
  </si>
  <si>
    <t>Gerald Crabtree</t>
  </si>
  <si>
    <t>Aberdeen</t>
  </si>
  <si>
    <t>Natalie Watts</t>
  </si>
  <si>
    <t>West Des Moines</t>
  </si>
  <si>
    <t>Xerox 196</t>
  </si>
  <si>
    <t>Elsie Floyd</t>
  </si>
  <si>
    <t>Beverly Hills</t>
  </si>
  <si>
    <t>Epson C62 Color Inkjet Printer</t>
  </si>
  <si>
    <t>Xerox 197</t>
  </si>
  <si>
    <t>Eric West</t>
  </si>
  <si>
    <t>Hempstead</t>
  </si>
  <si>
    <t>John Morse</t>
  </si>
  <si>
    <t>New Britain</t>
  </si>
  <si>
    <t>Judy Merritt</t>
  </si>
  <si>
    <t>Jimmy Wang</t>
  </si>
  <si>
    <t>Bionaire 99.97% HEPA Air Cleaner</t>
  </si>
  <si>
    <t>Verbatim DVD-R, 3.95GB, SR, Mitsubishi Branded, Jewel</t>
  </si>
  <si>
    <t>Melanie Morrow</t>
  </si>
  <si>
    <t>Quartet Omega® Colored Chalk, 12/Pack</t>
  </si>
  <si>
    <t>Dennis Welch</t>
  </si>
  <si>
    <t>Laredo</t>
  </si>
  <si>
    <t>Becky O'Brien</t>
  </si>
  <si>
    <t>Springville</t>
  </si>
  <si>
    <t>Staples Vinyl Coated Paper Clips, 800/Box</t>
  </si>
  <si>
    <t>Teresa Hill</t>
  </si>
  <si>
    <t>Annie Odom</t>
  </si>
  <si>
    <t>Fellowes Superior 10 Outlet Split Surge Protector</t>
  </si>
  <si>
    <t>New City</t>
  </si>
  <si>
    <t>Hewlett Packard LaserJet 3310 Copier</t>
  </si>
  <si>
    <t>Unpadded Memo Slips</t>
  </si>
  <si>
    <t>Gary Frazier</t>
  </si>
  <si>
    <t>North Royalton</t>
  </si>
  <si>
    <t>Dennis Block Richardson</t>
  </si>
  <si>
    <t>Niagara Falls</t>
  </si>
  <si>
    <t>Sam</t>
  </si>
  <si>
    <t>Chris</t>
  </si>
  <si>
    <t>William</t>
  </si>
  <si>
    <t>Erin</t>
  </si>
  <si>
    <t>Grand Total</t>
  </si>
  <si>
    <t>Quantity</t>
  </si>
  <si>
    <t>Sale</t>
  </si>
  <si>
    <t>Gross Profit</t>
  </si>
  <si>
    <t>Dollar Discount</t>
  </si>
  <si>
    <t>Cumulative cost</t>
  </si>
  <si>
    <t>Y</t>
  </si>
  <si>
    <t>2. Segment Distribution of each product category</t>
  </si>
  <si>
    <t>6. Distribution of Order Priority</t>
  </si>
  <si>
    <t>Distribution</t>
  </si>
  <si>
    <t>Sales %</t>
  </si>
  <si>
    <t>Quantity %</t>
  </si>
  <si>
    <t>X</t>
  </si>
  <si>
    <t>Max Sales</t>
  </si>
  <si>
    <t>Not Max Sales</t>
  </si>
  <si>
    <t>Sum of Profit</t>
  </si>
  <si>
    <t>Profit percentage</t>
  </si>
  <si>
    <t>Sum of Sales</t>
  </si>
  <si>
    <t>Sale %</t>
  </si>
  <si>
    <t>Jan</t>
  </si>
  <si>
    <t>Quantity Sold</t>
  </si>
  <si>
    <t>% of Sold Qty</t>
  </si>
  <si>
    <t>Total Profit</t>
  </si>
  <si>
    <t>Regional Profit</t>
  </si>
  <si>
    <t>10. Analyzing Shipping priority share (what product is high priority and also by region)</t>
  </si>
  <si>
    <t>All other Cost</t>
  </si>
  <si>
    <t>Net Profit</t>
  </si>
  <si>
    <t>Average</t>
  </si>
  <si>
    <t>count</t>
  </si>
  <si>
    <t>Feb</t>
  </si>
  <si>
    <t>Mar</t>
  </si>
  <si>
    <t>Apr</t>
  </si>
  <si>
    <t>May</t>
  </si>
  <si>
    <t>Jun</t>
  </si>
  <si>
    <t>Total Sales</t>
  </si>
  <si>
    <t>Gross Cost</t>
  </si>
  <si>
    <t>Total</t>
  </si>
  <si>
    <t>Values</t>
  </si>
  <si>
    <t>Choice</t>
  </si>
  <si>
    <t>Totals</t>
  </si>
  <si>
    <t>Order Date (Month)</t>
  </si>
  <si>
    <t>Date</t>
  </si>
  <si>
    <t>Title</t>
  </si>
  <si>
    <t>Sold Quantity</t>
  </si>
  <si>
    <t>Count</t>
  </si>
  <si>
    <t>Row Labels</t>
  </si>
  <si>
    <t xml:space="preserve">Top 3 Values </t>
  </si>
  <si>
    <t>Top 3 Names</t>
  </si>
  <si>
    <t>The Dates</t>
  </si>
  <si>
    <t>The Products</t>
  </si>
  <si>
    <t>Column Labels</t>
  </si>
  <si>
    <t>Selection</t>
  </si>
  <si>
    <t>Σ Costs</t>
  </si>
  <si>
    <t>Σ Discount</t>
  </si>
  <si>
    <t>Σ Profit</t>
  </si>
  <si>
    <t>Σ Shipping</t>
  </si>
  <si>
    <t>Filter by segment, what do they buy, what priority and which city, what products</t>
  </si>
  <si>
    <t xml:space="preserve"> Shipping priority share (what product is high priority and also by region)</t>
  </si>
  <si>
    <t>Week Number</t>
  </si>
  <si>
    <t>Recent order date</t>
  </si>
  <si>
    <t># of Orders</t>
  </si>
  <si>
    <t>Last Orderd</t>
  </si>
  <si>
    <t>Sales&amp;Profit_TrendChart</t>
  </si>
  <si>
    <t>Monthly Avg Sale</t>
  </si>
  <si>
    <t>Sales&amp;Profit_BarChart</t>
  </si>
  <si>
    <t>Sales&amp;Profit_SmallDonut</t>
  </si>
  <si>
    <t>Sales&amp;Profit_VBAhover</t>
  </si>
  <si>
    <t>SALES &amp; PROFIT</t>
  </si>
  <si>
    <t>The Map</t>
  </si>
  <si>
    <t>SALES MAP</t>
  </si>
  <si>
    <t>RegionalBars+Matrix</t>
  </si>
  <si>
    <t>TRENDS</t>
  </si>
  <si>
    <t>LineChart</t>
  </si>
  <si>
    <t>Bars</t>
  </si>
  <si>
    <t>Matrix</t>
  </si>
  <si>
    <t>height</t>
  </si>
  <si>
    <t>Sales&amp;Profit_</t>
  </si>
  <si>
    <t>Matrix+</t>
  </si>
  <si>
    <t>ScatterChart+Donut</t>
  </si>
  <si>
    <t>N/A</t>
  </si>
  <si>
    <t>Enterpreneurs</t>
  </si>
  <si>
    <t>Cust. Segment</t>
  </si>
  <si>
    <t>DISTRIBUTION</t>
  </si>
  <si>
    <t>https://static.vecteezy.com/system/resources/previews/002/304/213/non_2x/dark-purple-circuit-microchip-technology-on-future-background-hi-tech-digital-and-communication-concept-design-free-space-for-text-in-put-illustration-vector.jpg</t>
  </si>
  <si>
    <t>Top Loss</t>
  </si>
  <si>
    <t>Top Sale Cities</t>
  </si>
  <si>
    <t>Least Sale Cities</t>
  </si>
  <si>
    <t>Top Profit Cities</t>
  </si>
  <si>
    <t>Least Profit Cities</t>
  </si>
  <si>
    <t>City Name</t>
  </si>
  <si>
    <t>Top Cities</t>
  </si>
  <si>
    <t>Least Cities</t>
  </si>
  <si>
    <t>Top Selling Products</t>
  </si>
  <si>
    <t>Top Profit Products</t>
  </si>
  <si>
    <t>Least Selling Products</t>
  </si>
  <si>
    <t>Top Products</t>
  </si>
  <si>
    <t>Least Products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</si>
</sst>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0">
    <numFmt numFmtId="5" formatCode="&quot;$&quot;#,##0;\-&quot;$&quot;#,##0"/>
    <numFmt numFmtId="6" formatCode="&quot;$&quot;#,##0;[Red]\-&quot;$&quot;#,##0"/>
    <numFmt numFmtId="44" formatCode="_-&quot;$&quot;* #,##0.00_-;\-&quot;$&quot;* #,##0.00_-;_-&quot;$&quot;* &quot;-&quot;??_-;_-@_-"/>
    <numFmt numFmtId="43" formatCode="_-* #,##0.00_-;\-* #,##0.00_-;_-* &quot;-&quot;??_-;_-@_-"/>
    <numFmt numFmtId="164" formatCode="&quot;$&quot;#,##0.00"/>
    <numFmt numFmtId="165" formatCode="_-* #,##0_-;\-* #,##0_-;_-* &quot;-&quot;??_-;_-@_-"/>
    <numFmt numFmtId="166" formatCode="\$#,##0;\-\$#,##0;\$#,##0"/>
    <numFmt numFmtId="167" formatCode="[=0]&quot;&quot;;dd/mmm"/>
    <numFmt numFmtId="168" formatCode="&quot;$&quot;#,##0"/>
    <numFmt numFmtId="169" formatCode="[$-F800]dddd\,\ mmmm\ dd\,\ yyyy"/>
  </numFmts>
  <fonts count="28" x14ac:knownFonts="1">
    <font>
      <sz val="10"/>
      <color rgb="FF000000"/>
      <name val="Arial"/>
      <scheme val="minor"/>
    </font>
    <font>
      <sz val="11"/>
      <color theme="1"/>
      <name val="Calibri"/>
      <family val="2"/>
    </font>
    <font>
      <sz val="10"/>
      <color theme="1"/>
      <name val="Arial"/>
      <family val="2"/>
      <scheme val="minor"/>
    </font>
    <font>
      <sz val="11"/>
      <color rgb="FF000000"/>
      <name val="Calibri"/>
      <family val="2"/>
    </font>
    <font>
      <sz val="8"/>
      <name val="Arial"/>
      <family val="2"/>
      <scheme val="minor"/>
    </font>
    <font>
      <b/>
      <sz val="10"/>
      <color theme="1"/>
      <name val="Arial"/>
      <family val="2"/>
      <scheme val="minor"/>
    </font>
    <font>
      <sz val="11"/>
      <color rgb="FFFF0000"/>
      <name val="Calibri"/>
      <family val="2"/>
    </font>
    <font>
      <sz val="11"/>
      <color rgb="FF194AFE"/>
      <name val="Calibri"/>
      <family val="2"/>
    </font>
    <font>
      <sz val="10"/>
      <color theme="2"/>
      <name val="Arial"/>
      <family val="2"/>
      <scheme val="minor"/>
    </font>
    <font>
      <sz val="10"/>
      <color rgb="FF000000"/>
      <name val="Arial"/>
      <scheme val="minor"/>
    </font>
    <font>
      <b/>
      <sz val="10"/>
      <color rgb="FF000000"/>
      <name val="Arial"/>
      <family val="2"/>
      <scheme val="minor"/>
    </font>
    <font>
      <sz val="11"/>
      <color theme="0"/>
      <name val="Calibri"/>
      <family val="2"/>
    </font>
    <font>
      <sz val="11"/>
      <color theme="0"/>
      <name val="Avenir Next LT Pro"/>
      <family val="2"/>
    </font>
    <font>
      <sz val="10"/>
      <name val="Arial"/>
      <family val="2"/>
      <scheme val="minor"/>
    </font>
    <font>
      <sz val="8"/>
      <color rgb="FF000000"/>
      <name val="Segoe UI"/>
      <family val="2"/>
    </font>
    <font>
      <sz val="11"/>
      <color rgb="FF000000"/>
      <name val="Avenir Next LT Pro"/>
      <family val="2"/>
    </font>
    <font>
      <sz val="11"/>
      <color rgb="FFFF0000"/>
      <name val="Avenir Next LT Pro"/>
      <family val="2"/>
    </font>
    <font>
      <sz val="11"/>
      <name val="Avenir Next LT Pro"/>
      <family val="2"/>
    </font>
    <font>
      <sz val="10"/>
      <color rgb="FF000000"/>
      <name val="Arial"/>
      <family val="2"/>
      <scheme val="minor"/>
    </font>
    <font>
      <sz val="10"/>
      <color rgb="FFFF0000"/>
      <name val="Arial"/>
      <family val="2"/>
      <scheme val="minor"/>
    </font>
    <font>
      <b/>
      <sz val="11"/>
      <color rgb="FF000000"/>
      <name val="Avenir Next LT Pro"/>
      <family val="2"/>
    </font>
    <font>
      <sz val="11"/>
      <color rgb="FF194AFE"/>
      <name val="Avenir Next LT Pro"/>
      <family val="2"/>
    </font>
    <font>
      <b/>
      <sz val="11"/>
      <color rgb="FFFF0000"/>
      <name val="Avenir Next LT Pro"/>
      <family val="2"/>
    </font>
    <font>
      <b/>
      <sz val="11"/>
      <color theme="1"/>
      <name val="Calibri"/>
      <family val="2"/>
    </font>
    <font>
      <b/>
      <sz val="11"/>
      <color rgb="FF000000"/>
      <name val="Calibri"/>
      <family val="2"/>
    </font>
    <font>
      <b/>
      <sz val="11"/>
      <color rgb="FFFF0000"/>
      <name val="Calibri"/>
      <family val="2"/>
    </font>
    <font>
      <sz val="11"/>
      <color theme="2" tint="-4.9989318521683403E-2"/>
      <name val="Avenir Next LT Pro"/>
      <family val="2"/>
    </font>
    <font>
      <sz val="11"/>
      <color rgb="FF000000"/>
      <name val="Arial"/>
      <family val="2"/>
      <scheme val="minor"/>
    </font>
  </fonts>
  <fills count="7">
    <fill>
      <patternFill patternType="none"/>
    </fill>
    <fill>
      <patternFill patternType="gray125"/>
    </fill>
    <fill>
      <patternFill patternType="solid">
        <fgColor theme="1"/>
        <bgColor indexed="64"/>
      </patternFill>
    </fill>
    <fill>
      <patternFill patternType="solid">
        <fgColor theme="0" tint="-4.9989318521683403E-2"/>
        <bgColor indexed="64"/>
      </patternFill>
    </fill>
    <fill>
      <patternFill patternType="solid">
        <fgColor theme="2" tint="-4.9989318521683403E-2"/>
        <bgColor indexed="64"/>
      </patternFill>
    </fill>
    <fill>
      <patternFill patternType="solid">
        <fgColor theme="0"/>
        <bgColor indexed="64"/>
      </patternFill>
    </fill>
    <fill>
      <patternFill patternType="solid">
        <fgColor rgb="FF002060"/>
        <bgColor indexed="64"/>
      </patternFill>
    </fill>
  </fills>
  <borders count="72">
    <border>
      <left/>
      <right/>
      <top/>
      <bottom/>
      <diagonal/>
    </border>
    <border>
      <left/>
      <right/>
      <top/>
      <bottom style="thin">
        <color indexed="64"/>
      </bottom>
      <diagonal/>
    </border>
    <border>
      <left style="thin">
        <color indexed="64"/>
      </left>
      <right/>
      <top/>
      <bottom/>
      <diagonal/>
    </border>
    <border>
      <left style="thin">
        <color rgb="FFABABAB"/>
      </left>
      <right/>
      <top style="thin">
        <color rgb="FFABABAB"/>
      </top>
      <bottom/>
      <diagonal/>
    </border>
    <border>
      <left style="thin">
        <color rgb="FFABABAB"/>
      </left>
      <right/>
      <top style="thin">
        <color indexed="65"/>
      </top>
      <bottom/>
      <diagonal/>
    </border>
    <border>
      <left/>
      <right/>
      <top style="thin">
        <color rgb="FFABABAB"/>
      </top>
      <bottom/>
      <diagonal/>
    </border>
    <border>
      <left/>
      <right/>
      <top style="thin">
        <color indexed="65"/>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rgb="FFABABAB"/>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style="thin">
        <color indexed="64"/>
      </left>
      <right/>
      <top/>
      <bottom style="medium">
        <color indexed="64"/>
      </bottom>
      <diagonal/>
    </border>
    <border>
      <left/>
      <right style="medium">
        <color indexed="64"/>
      </right>
      <top/>
      <bottom style="medium">
        <color indexed="64"/>
      </bottom>
      <diagonal/>
    </border>
    <border>
      <left/>
      <right style="medium">
        <color indexed="64"/>
      </right>
      <top/>
      <bottom style="thin">
        <color indexed="64"/>
      </bottom>
      <diagonal/>
    </border>
    <border>
      <left style="thin">
        <color rgb="FFABABAB"/>
      </left>
      <right/>
      <top style="medium">
        <color indexed="64"/>
      </top>
      <bottom/>
      <diagonal/>
    </border>
    <border>
      <left style="thin">
        <color indexed="64"/>
      </left>
      <right/>
      <top style="medium">
        <color indexed="64"/>
      </top>
      <bottom style="double">
        <color indexed="64"/>
      </bottom>
      <diagonal/>
    </border>
    <border>
      <left style="thin">
        <color rgb="FFABABAB"/>
      </left>
      <right/>
      <top style="medium">
        <color indexed="64"/>
      </top>
      <bottom style="double">
        <color indexed="64"/>
      </bottom>
      <diagonal/>
    </border>
    <border>
      <left/>
      <right/>
      <top style="medium">
        <color indexed="64"/>
      </top>
      <bottom style="double">
        <color indexed="64"/>
      </bottom>
      <diagonal/>
    </border>
    <border>
      <left/>
      <right style="medium">
        <color indexed="64"/>
      </right>
      <top style="medium">
        <color indexed="64"/>
      </top>
      <bottom style="double">
        <color indexed="64"/>
      </bottom>
      <diagonal/>
    </border>
    <border>
      <left style="medium">
        <color indexed="64"/>
      </left>
      <right/>
      <top style="thin">
        <color rgb="FFABABAB"/>
      </top>
      <bottom/>
      <diagonal/>
    </border>
    <border>
      <left style="medium">
        <color indexed="64"/>
      </left>
      <right/>
      <top style="thin">
        <color indexed="65"/>
      </top>
      <bottom/>
      <diagonal/>
    </border>
    <border>
      <left/>
      <right style="medium">
        <color indexed="64"/>
      </right>
      <top style="thin">
        <color rgb="FFABABAB"/>
      </top>
      <bottom/>
      <diagonal/>
    </border>
    <border>
      <left style="thin">
        <color rgb="FFABABAB"/>
      </left>
      <right/>
      <top/>
      <bottom style="medium">
        <color indexed="64"/>
      </bottom>
      <diagonal/>
    </border>
    <border>
      <left style="thin">
        <color rgb="FFABABAB"/>
      </left>
      <right/>
      <top style="thin">
        <color indexed="65"/>
      </top>
      <bottom style="medium">
        <color indexed="64"/>
      </bottom>
      <diagonal/>
    </border>
    <border>
      <left/>
      <right/>
      <top style="thin">
        <color indexed="65"/>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thin">
        <color indexed="65"/>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style="thin">
        <color indexed="65"/>
      </top>
      <bottom/>
      <diagonal/>
    </border>
    <border>
      <left style="medium">
        <color indexed="64"/>
      </left>
      <right style="medium">
        <color indexed="64"/>
      </right>
      <top style="thin">
        <color rgb="FFABABAB"/>
      </top>
      <bottom/>
      <diagonal/>
    </border>
    <border>
      <left style="medium">
        <color indexed="64"/>
      </left>
      <right style="medium">
        <color indexed="64"/>
      </right>
      <top style="thin">
        <color indexed="65"/>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rgb="FFABABAB"/>
      </left>
      <right style="medium">
        <color indexed="64"/>
      </right>
      <top style="medium">
        <color indexed="64"/>
      </top>
      <bottom style="medium">
        <color indexed="64"/>
      </bottom>
      <diagonal/>
    </border>
    <border>
      <left style="thin">
        <color indexed="65"/>
      </left>
      <right/>
      <top style="medium">
        <color indexed="64"/>
      </top>
      <bottom style="medium">
        <color indexed="64"/>
      </bottom>
      <diagonal/>
    </border>
    <border>
      <left style="thin">
        <color rgb="FFABABAB"/>
      </left>
      <right style="medium">
        <color indexed="64"/>
      </right>
      <top style="medium">
        <color indexed="64"/>
      </top>
      <bottom/>
      <diagonal/>
    </border>
    <border>
      <left style="thin">
        <color rgb="FFABABAB"/>
      </left>
      <right style="medium">
        <color indexed="64"/>
      </right>
      <top/>
      <bottom/>
      <diagonal/>
    </border>
    <border>
      <left style="thin">
        <color rgb="FFABABAB"/>
      </left>
      <right style="medium">
        <color indexed="64"/>
      </right>
      <top/>
      <bottom style="medium">
        <color indexed="64"/>
      </bottom>
      <diagonal/>
    </border>
    <border>
      <left style="thin">
        <color rgb="FFABABAB"/>
      </left>
      <right/>
      <top style="medium">
        <color indexed="64"/>
      </top>
      <bottom style="medium">
        <color indexed="64"/>
      </bottom>
      <diagonal/>
    </border>
    <border>
      <left/>
      <right style="medium">
        <color indexed="64"/>
      </right>
      <top style="thin">
        <color indexed="65"/>
      </top>
      <bottom/>
      <diagonal/>
    </border>
    <border>
      <left/>
      <right style="medium">
        <color indexed="64"/>
      </right>
      <top style="thin">
        <color indexed="65"/>
      </top>
      <bottom style="medium">
        <color indexed="64"/>
      </bottom>
      <diagonal/>
    </border>
    <border>
      <left style="thin">
        <color rgb="FFABABAB"/>
      </left>
      <right style="medium">
        <color indexed="64"/>
      </right>
      <top style="thin">
        <color indexed="65"/>
      </top>
      <bottom/>
      <diagonal/>
    </border>
    <border>
      <left style="thin">
        <color rgb="FFABABAB"/>
      </left>
      <right style="medium">
        <color indexed="64"/>
      </right>
      <top style="thin">
        <color indexed="65"/>
      </top>
      <bottom style="medium">
        <color indexed="64"/>
      </bottom>
      <diagonal/>
    </border>
    <border>
      <left style="medium">
        <color indexed="64"/>
      </left>
      <right/>
      <top style="thin">
        <color indexed="65"/>
      </top>
      <bottom style="medium">
        <color indexed="64"/>
      </bottom>
      <diagonal/>
    </border>
    <border>
      <left style="thin">
        <color rgb="FFABABAB"/>
      </left>
      <right/>
      <top style="thin">
        <color rgb="FFABABAB"/>
      </top>
      <bottom style="medium">
        <color indexed="64"/>
      </bottom>
      <diagonal/>
    </border>
    <border>
      <left/>
      <right/>
      <top style="thin">
        <color rgb="FFABABAB"/>
      </top>
      <bottom style="medium">
        <color indexed="64"/>
      </bottom>
      <diagonal/>
    </border>
    <border>
      <left/>
      <right style="medium">
        <color indexed="64"/>
      </right>
      <top style="thin">
        <color rgb="FFABABAB"/>
      </top>
      <bottom style="medium">
        <color indexed="64"/>
      </bottom>
      <diagonal/>
    </border>
    <border>
      <left style="thin">
        <color rgb="FFABABAB"/>
      </left>
      <right style="medium">
        <color indexed="64"/>
      </right>
      <top style="thin">
        <color rgb="FFABABAB"/>
      </top>
      <bottom/>
      <diagonal/>
    </border>
    <border>
      <left style="thin">
        <color rgb="FFABABAB"/>
      </left>
      <right/>
      <top style="thin">
        <color indexed="64"/>
      </top>
      <bottom style="double">
        <color indexed="64"/>
      </bottom>
      <diagonal/>
    </border>
    <border>
      <left style="thin">
        <color indexed="64"/>
      </left>
      <right/>
      <top style="medium">
        <color indexed="64"/>
      </top>
      <bottom/>
      <diagonal/>
    </border>
    <border>
      <left/>
      <right style="medium">
        <color indexed="64"/>
      </right>
      <top style="thin">
        <color indexed="64"/>
      </top>
      <bottom style="double">
        <color indexed="64"/>
      </bottom>
      <diagonal/>
    </border>
    <border>
      <left/>
      <right style="thin">
        <color indexed="64"/>
      </right>
      <top style="medium">
        <color indexed="64"/>
      </top>
      <bottom/>
      <diagonal/>
    </border>
    <border>
      <left style="medium">
        <color indexed="64"/>
      </left>
      <right/>
      <top style="thin">
        <color indexed="64"/>
      </top>
      <bottom style="double">
        <color indexed="64"/>
      </bottom>
      <diagonal/>
    </border>
    <border>
      <left style="medium">
        <color indexed="64"/>
      </left>
      <right/>
      <top/>
      <bottom style="double">
        <color indexed="64"/>
      </bottom>
      <diagonal/>
    </border>
    <border>
      <left/>
      <right/>
      <top/>
      <bottom style="double">
        <color indexed="64"/>
      </bottom>
      <diagonal/>
    </border>
    <border>
      <left/>
      <right style="medium">
        <color indexed="64"/>
      </right>
      <top/>
      <bottom style="double">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s>
  <cellStyleXfs count="4">
    <xf numFmtId="0" fontId="0" fillId="0" borderId="0"/>
    <xf numFmtId="43" fontId="9" fillId="0" borderId="0" applyFont="0" applyFill="0" applyBorder="0" applyAlignment="0" applyProtection="0"/>
    <xf numFmtId="9" fontId="9" fillId="0" borderId="0" applyFont="0" applyFill="0" applyBorder="0" applyAlignment="0" applyProtection="0"/>
    <xf numFmtId="44" fontId="9" fillId="0" borderId="0" applyFont="0" applyFill="0" applyBorder="0" applyAlignment="0" applyProtection="0"/>
  </cellStyleXfs>
  <cellXfs count="419">
    <xf numFmtId="0" fontId="0" fillId="0" borderId="0" xfId="0"/>
    <xf numFmtId="0" fontId="3" fillId="0" borderId="0" xfId="0" applyFont="1" applyAlignment="1">
      <alignment horizontal="left" vertical="center"/>
    </xf>
    <xf numFmtId="0" fontId="0" fillId="2" borderId="0" xfId="0" applyFill="1"/>
    <xf numFmtId="0" fontId="8" fillId="2" borderId="0" xfId="0" applyFont="1" applyFill="1"/>
    <xf numFmtId="0" fontId="10" fillId="2" borderId="0" xfId="0" applyFont="1" applyFill="1"/>
    <xf numFmtId="0" fontId="11" fillId="2" borderId="0" xfId="0" applyFont="1" applyFill="1"/>
    <xf numFmtId="0" fontId="12" fillId="2" borderId="0" xfId="0" applyFont="1" applyFill="1"/>
    <xf numFmtId="0" fontId="18" fillId="2" borderId="0" xfId="0" applyFont="1" applyFill="1"/>
    <xf numFmtId="0" fontId="2" fillId="2" borderId="0" xfId="0" applyFont="1" applyFill="1" applyProtection="1">
      <protection locked="0"/>
    </xf>
    <xf numFmtId="0" fontId="13" fillId="2" borderId="0" xfId="0" applyFont="1" applyFill="1" applyProtection="1">
      <protection locked="0"/>
    </xf>
    <xf numFmtId="0" fontId="0" fillId="2" borderId="0" xfId="0" applyFill="1" applyProtection="1">
      <protection locked="0"/>
    </xf>
    <xf numFmtId="0" fontId="19" fillId="2" borderId="0" xfId="0" applyFont="1" applyFill="1"/>
    <xf numFmtId="0" fontId="12" fillId="2" borderId="0" xfId="0" applyFont="1" applyFill="1" applyAlignment="1">
      <alignment vertical="center"/>
    </xf>
    <xf numFmtId="0" fontId="12" fillId="2" borderId="0" xfId="0" applyFont="1" applyFill="1" applyAlignment="1">
      <alignment horizontal="right" vertical="center"/>
    </xf>
    <xf numFmtId="0" fontId="12" fillId="2" borderId="0" xfId="0" applyFont="1" applyFill="1" applyAlignment="1">
      <alignment horizontal="right"/>
    </xf>
    <xf numFmtId="0" fontId="3" fillId="2" borderId="0" xfId="0" applyFont="1" applyFill="1"/>
    <xf numFmtId="0" fontId="7" fillId="2" borderId="0" xfId="0" applyFont="1" applyFill="1"/>
    <xf numFmtId="0" fontId="13" fillId="2" borderId="0" xfId="0" applyFont="1" applyFill="1" applyAlignment="1" applyProtection="1">
      <alignment horizontal="left"/>
      <protection locked="0"/>
    </xf>
    <xf numFmtId="0" fontId="17" fillId="2" borderId="0" xfId="0" applyFont="1" applyFill="1" applyAlignment="1" applyProtection="1">
      <alignment vertical="center"/>
      <protection locked="0"/>
    </xf>
    <xf numFmtId="1" fontId="5" fillId="0" borderId="0" xfId="0" applyNumberFormat="1" applyFont="1" applyAlignment="1">
      <alignment horizontal="left" vertical="center"/>
    </xf>
    <xf numFmtId="49" fontId="5" fillId="0" borderId="0" xfId="0" applyNumberFormat="1" applyFont="1" applyAlignment="1">
      <alignment horizontal="left" vertical="center"/>
    </xf>
    <xf numFmtId="4" fontId="5" fillId="0" borderId="0" xfId="0" applyNumberFormat="1" applyFont="1" applyAlignment="1">
      <alignment horizontal="left" vertical="center"/>
    </xf>
    <xf numFmtId="164" fontId="5" fillId="0" borderId="0" xfId="0" applyNumberFormat="1" applyFont="1" applyAlignment="1">
      <alignment horizontal="left" vertical="center"/>
    </xf>
    <xf numFmtId="0" fontId="5" fillId="0" borderId="0" xfId="0" applyFont="1" applyAlignment="1">
      <alignment horizontal="left" vertical="center"/>
    </xf>
    <xf numFmtId="14" fontId="5" fillId="0" borderId="0" xfId="0" applyNumberFormat="1" applyFont="1" applyAlignment="1">
      <alignment horizontal="left" vertical="center"/>
    </xf>
    <xf numFmtId="0" fontId="5" fillId="0" borderId="0" xfId="0" applyFont="1" applyAlignment="1">
      <alignment horizontal="left"/>
    </xf>
    <xf numFmtId="1" fontId="1" fillId="0" borderId="0" xfId="0" applyNumberFormat="1" applyFont="1" applyAlignment="1">
      <alignment horizontal="right" vertical="center"/>
    </xf>
    <xf numFmtId="49" fontId="1" fillId="0" borderId="0" xfId="0" applyNumberFormat="1" applyFont="1" applyAlignment="1">
      <alignment horizontal="left" vertical="center"/>
    </xf>
    <xf numFmtId="4" fontId="1" fillId="0" borderId="0" xfId="0" applyNumberFormat="1" applyFont="1" applyAlignment="1">
      <alignment horizontal="right" vertical="center"/>
    </xf>
    <xf numFmtId="164" fontId="1" fillId="0" borderId="0" xfId="0" applyNumberFormat="1" applyFont="1" applyAlignment="1">
      <alignment horizontal="right" vertical="center"/>
    </xf>
    <xf numFmtId="49" fontId="1" fillId="0" borderId="0" xfId="0" applyNumberFormat="1" applyFont="1" applyAlignment="1">
      <alignment horizontal="center" vertical="center"/>
    </xf>
    <xf numFmtId="0" fontId="1" fillId="0" borderId="0" xfId="0" applyFont="1" applyAlignment="1">
      <alignment horizontal="left" vertical="center"/>
    </xf>
    <xf numFmtId="0" fontId="1" fillId="0" borderId="0" xfId="0" applyFont="1" applyAlignment="1">
      <alignment horizontal="right" vertical="center"/>
    </xf>
    <xf numFmtId="1" fontId="1" fillId="0" borderId="0" xfId="0" applyNumberFormat="1" applyFont="1" applyAlignment="1">
      <alignment horizontal="left" vertical="center"/>
    </xf>
    <xf numFmtId="14" fontId="1" fillId="0" borderId="0" xfId="0" applyNumberFormat="1" applyFont="1" applyAlignment="1">
      <alignment horizontal="right" vertical="center"/>
    </xf>
    <xf numFmtId="0" fontId="2" fillId="0" borderId="0" xfId="0" applyFont="1"/>
    <xf numFmtId="164" fontId="3" fillId="0" borderId="0" xfId="0" applyNumberFormat="1" applyFont="1" applyAlignment="1">
      <alignment horizontal="right" vertical="center"/>
    </xf>
    <xf numFmtId="0" fontId="0" fillId="0" borderId="0" xfId="0" applyAlignment="1">
      <alignment horizontal="left" vertical="center"/>
    </xf>
    <xf numFmtId="1" fontId="2" fillId="0" borderId="0" xfId="0" applyNumberFormat="1" applyFont="1" applyAlignment="1">
      <alignment horizontal="right" vertical="center"/>
    </xf>
    <xf numFmtId="49" fontId="2" fillId="0" borderId="0" xfId="0" applyNumberFormat="1" applyFont="1" applyAlignment="1">
      <alignment horizontal="left" vertical="center"/>
    </xf>
    <xf numFmtId="4" fontId="2" fillId="0" borderId="0" xfId="0" applyNumberFormat="1" applyFont="1" applyAlignment="1">
      <alignment horizontal="right" vertical="center"/>
    </xf>
    <xf numFmtId="164" fontId="2" fillId="0" borderId="0" xfId="0" applyNumberFormat="1" applyFont="1" applyAlignment="1">
      <alignment horizontal="right" vertical="center"/>
    </xf>
    <xf numFmtId="49" fontId="2" fillId="0" borderId="0" xfId="0" applyNumberFormat="1" applyFont="1" applyAlignment="1">
      <alignment horizontal="center" vertical="center"/>
    </xf>
    <xf numFmtId="0" fontId="2" fillId="0" borderId="0" xfId="0" applyFont="1" applyAlignment="1">
      <alignment horizontal="left" vertical="center"/>
    </xf>
    <xf numFmtId="0" fontId="2" fillId="0" borderId="0" xfId="0" applyFont="1" applyAlignment="1">
      <alignment horizontal="right" vertical="center"/>
    </xf>
    <xf numFmtId="1" fontId="2" fillId="0" borderId="0" xfId="0" applyNumberFormat="1" applyFont="1" applyAlignment="1">
      <alignment horizontal="left" vertical="center"/>
    </xf>
    <xf numFmtId="0" fontId="0" fillId="0" borderId="0" xfId="0" applyAlignment="1">
      <alignment horizontal="right" vertical="center"/>
    </xf>
    <xf numFmtId="1" fontId="0" fillId="0" borderId="0" xfId="0" applyNumberFormat="1" applyAlignment="1">
      <alignment horizontal="right" vertical="center"/>
    </xf>
    <xf numFmtId="49" fontId="0" fillId="0" borderId="0" xfId="0" applyNumberFormat="1" applyAlignment="1">
      <alignment horizontal="left" vertical="center"/>
    </xf>
    <xf numFmtId="4" fontId="0" fillId="0" borderId="0" xfId="0" applyNumberFormat="1" applyAlignment="1">
      <alignment horizontal="right" vertical="center"/>
    </xf>
    <xf numFmtId="164" fontId="0" fillId="0" borderId="0" xfId="0" applyNumberFormat="1" applyAlignment="1">
      <alignment horizontal="right" vertical="center"/>
    </xf>
    <xf numFmtId="49" fontId="0" fillId="0" borderId="0" xfId="0" applyNumberFormat="1" applyAlignment="1">
      <alignment horizontal="center" vertical="center"/>
    </xf>
    <xf numFmtId="1" fontId="0" fillId="0" borderId="0" xfId="0" applyNumberFormat="1" applyAlignment="1">
      <alignment horizontal="left" vertical="center"/>
    </xf>
    <xf numFmtId="14" fontId="0" fillId="0" borderId="0" xfId="0" applyNumberFormat="1" applyAlignment="1">
      <alignment horizontal="right" vertical="center"/>
    </xf>
    <xf numFmtId="164" fontId="6" fillId="0" borderId="0" xfId="0" applyNumberFormat="1" applyFont="1" applyAlignment="1">
      <alignment horizontal="right" vertical="center"/>
    </xf>
    <xf numFmtId="0" fontId="15" fillId="0" borderId="0" xfId="0" applyFont="1"/>
    <xf numFmtId="0" fontId="15" fillId="0" borderId="0" xfId="0" applyFont="1" applyAlignment="1">
      <alignment horizontal="center"/>
    </xf>
    <xf numFmtId="0" fontId="15" fillId="0" borderId="0" xfId="0" applyFont="1" applyAlignment="1">
      <alignment horizontal="left"/>
    </xf>
    <xf numFmtId="165" fontId="15" fillId="0" borderId="0" xfId="1" applyNumberFormat="1" applyFont="1" applyProtection="1"/>
    <xf numFmtId="167" fontId="15" fillId="4" borderId="0" xfId="0" applyNumberFormat="1" applyFont="1" applyFill="1"/>
    <xf numFmtId="165" fontId="15" fillId="4" borderId="0" xfId="1" applyNumberFormat="1" applyFont="1" applyFill="1" applyProtection="1"/>
    <xf numFmtId="1" fontId="15" fillId="4" borderId="0" xfId="0" applyNumberFormat="1" applyFont="1" applyFill="1"/>
    <xf numFmtId="0" fontId="16" fillId="0" borderId="0" xfId="0" applyFont="1"/>
    <xf numFmtId="0" fontId="15" fillId="3" borderId="0" xfId="0" applyFont="1" applyFill="1"/>
    <xf numFmtId="0" fontId="15" fillId="3" borderId="0" xfId="0" applyFont="1" applyFill="1" applyAlignment="1">
      <alignment horizontal="center"/>
    </xf>
    <xf numFmtId="0" fontId="15" fillId="3" borderId="0" xfId="0" applyFont="1" applyFill="1" applyAlignment="1">
      <alignment horizontal="left"/>
    </xf>
    <xf numFmtId="0" fontId="16" fillId="4" borderId="0" xfId="0" applyFont="1" applyFill="1"/>
    <xf numFmtId="0" fontId="15" fillId="4" borderId="0" xfId="0" applyFont="1" applyFill="1" applyAlignment="1">
      <alignment horizontal="left"/>
    </xf>
    <xf numFmtId="0" fontId="15" fillId="4" borderId="0" xfId="0" applyFont="1" applyFill="1"/>
    <xf numFmtId="0" fontId="15" fillId="3" borderId="7" xfId="0" applyFont="1" applyFill="1" applyBorder="1"/>
    <xf numFmtId="0" fontId="15" fillId="3" borderId="8" xfId="0" applyFont="1" applyFill="1" applyBorder="1" applyAlignment="1">
      <alignment horizontal="center"/>
    </xf>
    <xf numFmtId="0" fontId="15" fillId="3" borderId="8" xfId="0" applyFont="1" applyFill="1" applyBorder="1"/>
    <xf numFmtId="0" fontId="15" fillId="3" borderId="9" xfId="0" applyFont="1" applyFill="1" applyBorder="1"/>
    <xf numFmtId="165" fontId="15" fillId="0" borderId="0" xfId="0" applyNumberFormat="1" applyFont="1"/>
    <xf numFmtId="0" fontId="15" fillId="3" borderId="2" xfId="0" applyFont="1" applyFill="1" applyBorder="1"/>
    <xf numFmtId="5" fontId="15" fillId="3" borderId="0" xfId="1" applyNumberFormat="1" applyFont="1" applyFill="1" applyBorder="1" applyProtection="1"/>
    <xf numFmtId="165" fontId="15" fillId="3" borderId="0" xfId="1" applyNumberFormat="1" applyFont="1" applyFill="1" applyBorder="1" applyProtection="1"/>
    <xf numFmtId="10" fontId="15" fillId="3" borderId="10" xfId="1" applyNumberFormat="1" applyFont="1" applyFill="1" applyBorder="1" applyProtection="1"/>
    <xf numFmtId="0" fontId="15" fillId="4" borderId="2" xfId="0" applyFont="1" applyFill="1" applyBorder="1"/>
    <xf numFmtId="166" fontId="17" fillId="4" borderId="13" xfId="0" applyNumberFormat="1" applyFont="1" applyFill="1" applyBorder="1"/>
    <xf numFmtId="166" fontId="17" fillId="4" borderId="4" xfId="0" applyNumberFormat="1" applyFont="1" applyFill="1" applyBorder="1"/>
    <xf numFmtId="166" fontId="17" fillId="4" borderId="6" xfId="0" applyNumberFormat="1" applyFont="1" applyFill="1" applyBorder="1"/>
    <xf numFmtId="165" fontId="17" fillId="0" borderId="0" xfId="0" applyNumberFormat="1" applyFont="1"/>
    <xf numFmtId="165" fontId="15" fillId="0" borderId="0" xfId="1" applyNumberFormat="1" applyFont="1" applyFill="1" applyProtection="1"/>
    <xf numFmtId="0" fontId="15" fillId="3" borderId="11" xfId="0" applyFont="1" applyFill="1" applyBorder="1"/>
    <xf numFmtId="0" fontId="15" fillId="3" borderId="1" xfId="0" applyFont="1" applyFill="1" applyBorder="1" applyAlignment="1">
      <alignment horizontal="center"/>
    </xf>
    <xf numFmtId="5" fontId="15" fillId="3" borderId="1" xfId="1" applyNumberFormat="1" applyFont="1" applyFill="1" applyBorder="1" applyProtection="1"/>
    <xf numFmtId="165" fontId="15" fillId="3" borderId="1" xfId="1" applyNumberFormat="1" applyFont="1" applyFill="1" applyBorder="1" applyProtection="1"/>
    <xf numFmtId="10" fontId="15" fillId="3" borderId="12" xfId="1" applyNumberFormat="1" applyFont="1" applyFill="1" applyBorder="1" applyProtection="1"/>
    <xf numFmtId="165" fontId="15" fillId="3" borderId="0" xfId="1" applyNumberFormat="1" applyFont="1" applyFill="1" applyAlignment="1" applyProtection="1">
      <alignment horizontal="left"/>
    </xf>
    <xf numFmtId="165" fontId="15" fillId="3" borderId="0" xfId="1" applyNumberFormat="1" applyFont="1" applyFill="1" applyBorder="1" applyAlignment="1" applyProtection="1">
      <alignment horizontal="left"/>
    </xf>
    <xf numFmtId="165" fontId="15" fillId="0" borderId="0" xfId="1" applyNumberFormat="1" applyFont="1" applyFill="1" applyBorder="1" applyAlignment="1" applyProtection="1">
      <alignment horizontal="left"/>
    </xf>
    <xf numFmtId="165" fontId="15" fillId="0" borderId="0" xfId="1" applyNumberFormat="1" applyFont="1" applyFill="1" applyAlignment="1" applyProtection="1">
      <alignment horizontal="left"/>
    </xf>
    <xf numFmtId="0" fontId="15" fillId="4" borderId="0" xfId="0" applyFont="1" applyFill="1" applyAlignment="1">
      <alignment horizontal="center"/>
    </xf>
    <xf numFmtId="165" fontId="15" fillId="4" borderId="0" xfId="1" applyNumberFormat="1" applyFont="1" applyFill="1" applyAlignment="1" applyProtection="1">
      <alignment horizontal="left"/>
    </xf>
    <xf numFmtId="0" fontId="20" fillId="4" borderId="0" xfId="0" applyFont="1" applyFill="1"/>
    <xf numFmtId="0" fontId="20" fillId="4" borderId="0" xfId="0" applyFont="1" applyFill="1" applyAlignment="1">
      <alignment horizontal="center"/>
    </xf>
    <xf numFmtId="0" fontId="16" fillId="5" borderId="0" xfId="0" applyFont="1" applyFill="1"/>
    <xf numFmtId="0" fontId="15" fillId="5" borderId="0" xfId="0" applyFont="1" applyFill="1"/>
    <xf numFmtId="165" fontId="15" fillId="5" borderId="0" xfId="1" applyNumberFormat="1" applyFont="1" applyFill="1" applyProtection="1"/>
    <xf numFmtId="0" fontId="15" fillId="4" borderId="11" xfId="0" applyFont="1" applyFill="1" applyBorder="1"/>
    <xf numFmtId="0" fontId="17" fillId="4" borderId="1" xfId="0" applyFont="1" applyFill="1" applyBorder="1"/>
    <xf numFmtId="6" fontId="17" fillId="4" borderId="1" xfId="0" applyNumberFormat="1" applyFont="1" applyFill="1" applyBorder="1"/>
    <xf numFmtId="0" fontId="15" fillId="0" borderId="0" xfId="0" applyFont="1" applyAlignment="1">
      <alignment horizontal="right"/>
    </xf>
    <xf numFmtId="165" fontId="15" fillId="0" borderId="0" xfId="1" applyNumberFormat="1" applyFont="1" applyAlignment="1" applyProtection="1">
      <alignment horizontal="right"/>
    </xf>
    <xf numFmtId="9" fontId="15" fillId="0" borderId="0" xfId="2" applyFont="1" applyProtection="1"/>
    <xf numFmtId="0" fontId="15" fillId="5" borderId="0" xfId="0" applyFont="1" applyFill="1" applyAlignment="1">
      <alignment horizontal="center"/>
    </xf>
    <xf numFmtId="0" fontId="15" fillId="5" borderId="0" xfId="0" applyFont="1" applyFill="1" applyAlignment="1">
      <alignment horizontal="left"/>
    </xf>
    <xf numFmtId="167" fontId="15" fillId="0" borderId="0" xfId="0" applyNumberFormat="1" applyFont="1"/>
    <xf numFmtId="1" fontId="15" fillId="0" borderId="0" xfId="0" applyNumberFormat="1" applyFont="1"/>
    <xf numFmtId="168" fontId="15" fillId="3" borderId="0" xfId="1" applyNumberFormat="1" applyFont="1" applyFill="1" applyBorder="1" applyProtection="1"/>
    <xf numFmtId="168" fontId="15" fillId="3" borderId="1" xfId="1" applyNumberFormat="1" applyFont="1" applyFill="1" applyBorder="1" applyProtection="1"/>
    <xf numFmtId="0" fontId="21" fillId="0" borderId="0" xfId="0" applyFont="1"/>
    <xf numFmtId="0" fontId="16" fillId="3" borderId="14" xfId="0" applyFont="1" applyFill="1" applyBorder="1"/>
    <xf numFmtId="0" fontId="15" fillId="3" borderId="15" xfId="0" applyFont="1" applyFill="1" applyBorder="1"/>
    <xf numFmtId="0" fontId="15" fillId="3" borderId="15" xfId="0" applyFont="1" applyFill="1" applyBorder="1" applyAlignment="1">
      <alignment horizontal="center"/>
    </xf>
    <xf numFmtId="0" fontId="15" fillId="3" borderId="15" xfId="0" applyFont="1" applyFill="1" applyBorder="1" applyAlignment="1">
      <alignment horizontal="left"/>
    </xf>
    <xf numFmtId="0" fontId="15" fillId="3" borderId="16" xfId="0" applyFont="1" applyFill="1" applyBorder="1" applyAlignment="1">
      <alignment horizontal="left"/>
    </xf>
    <xf numFmtId="0" fontId="15" fillId="3" borderId="17" xfId="0" applyFont="1" applyFill="1" applyBorder="1"/>
    <xf numFmtId="0" fontId="15" fillId="3" borderId="18" xfId="0" applyFont="1" applyFill="1" applyBorder="1" applyAlignment="1">
      <alignment horizontal="left"/>
    </xf>
    <xf numFmtId="165" fontId="15" fillId="3" borderId="0" xfId="0" applyNumberFormat="1" applyFont="1" applyFill="1"/>
    <xf numFmtId="9" fontId="15" fillId="3" borderId="0" xfId="0" applyNumberFormat="1" applyFont="1" applyFill="1" applyAlignment="1">
      <alignment horizontal="left"/>
    </xf>
    <xf numFmtId="10" fontId="15" fillId="3" borderId="18" xfId="0" applyNumberFormat="1" applyFont="1" applyFill="1" applyBorder="1" applyAlignment="1">
      <alignment horizontal="left"/>
    </xf>
    <xf numFmtId="9" fontId="15" fillId="3" borderId="0" xfId="2" applyFont="1" applyFill="1" applyBorder="1" applyProtection="1"/>
    <xf numFmtId="9" fontId="15" fillId="3" borderId="18" xfId="0" applyNumberFormat="1" applyFont="1" applyFill="1" applyBorder="1" applyAlignment="1">
      <alignment horizontal="left"/>
    </xf>
    <xf numFmtId="0" fontId="15" fillId="3" borderId="20" xfId="0" applyFont="1" applyFill="1" applyBorder="1"/>
    <xf numFmtId="0" fontId="15" fillId="3" borderId="21" xfId="0" applyFont="1" applyFill="1" applyBorder="1"/>
    <xf numFmtId="0" fontId="15" fillId="3" borderId="20" xfId="0" applyFont="1" applyFill="1" applyBorder="1" applyAlignment="1">
      <alignment horizontal="center"/>
    </xf>
    <xf numFmtId="0" fontId="15" fillId="3" borderId="20" xfId="0" applyFont="1" applyFill="1" applyBorder="1" applyAlignment="1">
      <alignment horizontal="left"/>
    </xf>
    <xf numFmtId="0" fontId="15" fillId="3" borderId="22" xfId="0" applyFont="1" applyFill="1" applyBorder="1" applyAlignment="1">
      <alignment horizontal="left"/>
    </xf>
    <xf numFmtId="10" fontId="15" fillId="3" borderId="16" xfId="0" applyNumberFormat="1" applyFont="1" applyFill="1" applyBorder="1"/>
    <xf numFmtId="0" fontId="15" fillId="3" borderId="14" xfId="0" applyFont="1" applyFill="1" applyBorder="1"/>
    <xf numFmtId="0" fontId="16" fillId="3" borderId="15" xfId="0" applyFont="1" applyFill="1" applyBorder="1"/>
    <xf numFmtId="0" fontId="15" fillId="3" borderId="16" xfId="0" applyFont="1" applyFill="1" applyBorder="1"/>
    <xf numFmtId="165" fontId="15" fillId="3" borderId="17" xfId="0" applyNumberFormat="1" applyFont="1" applyFill="1" applyBorder="1"/>
    <xf numFmtId="165" fontId="15" fillId="3" borderId="17" xfId="1" applyNumberFormat="1" applyFont="1" applyFill="1" applyBorder="1" applyProtection="1"/>
    <xf numFmtId="0" fontId="15" fillId="3" borderId="19" xfId="0" applyFont="1" applyFill="1" applyBorder="1"/>
    <xf numFmtId="0" fontId="15" fillId="3" borderId="14" xfId="0" applyFont="1" applyFill="1" applyBorder="1" applyAlignment="1">
      <alignment horizontal="center"/>
    </xf>
    <xf numFmtId="0" fontId="16" fillId="3" borderId="15" xfId="0" applyFont="1" applyFill="1" applyBorder="1" applyAlignment="1">
      <alignment horizontal="center"/>
    </xf>
    <xf numFmtId="0" fontId="16" fillId="4" borderId="14" xfId="0" applyFont="1" applyFill="1" applyBorder="1"/>
    <xf numFmtId="0" fontId="15" fillId="4" borderId="15" xfId="0" applyFont="1" applyFill="1" applyBorder="1"/>
    <xf numFmtId="165" fontId="15" fillId="4" borderId="15" xfId="1" applyNumberFormat="1" applyFont="1" applyFill="1" applyBorder="1" applyProtection="1"/>
    <xf numFmtId="0" fontId="15" fillId="4" borderId="16" xfId="0" applyFont="1" applyFill="1" applyBorder="1"/>
    <xf numFmtId="0" fontId="15" fillId="4" borderId="17" xfId="0" applyFont="1" applyFill="1" applyBorder="1"/>
    <xf numFmtId="0" fontId="15" fillId="4" borderId="18" xfId="0" applyFont="1" applyFill="1" applyBorder="1"/>
    <xf numFmtId="0" fontId="15" fillId="4" borderId="17" xfId="0" applyFont="1" applyFill="1" applyBorder="1" applyAlignment="1">
      <alignment horizontal="left"/>
    </xf>
    <xf numFmtId="165" fontId="15" fillId="4" borderId="0" xfId="0" applyNumberFormat="1" applyFont="1" applyFill="1"/>
    <xf numFmtId="165" fontId="15" fillId="4" borderId="18" xfId="0" applyNumberFormat="1" applyFont="1" applyFill="1" applyBorder="1"/>
    <xf numFmtId="0" fontId="15" fillId="4" borderId="19" xfId="0" applyFont="1" applyFill="1" applyBorder="1" applyAlignment="1">
      <alignment horizontal="left"/>
    </xf>
    <xf numFmtId="165" fontId="15" fillId="4" borderId="20" xfId="0" applyNumberFormat="1" applyFont="1" applyFill="1" applyBorder="1"/>
    <xf numFmtId="165" fontId="15" fillId="4" borderId="22" xfId="0" applyNumberFormat="1" applyFont="1" applyFill="1" applyBorder="1"/>
    <xf numFmtId="0" fontId="12" fillId="2" borderId="17" xfId="0" applyFont="1" applyFill="1" applyBorder="1" applyAlignment="1">
      <alignment horizontal="left" vertical="center" indent="2"/>
    </xf>
    <xf numFmtId="10" fontId="12" fillId="2" borderId="18" xfId="0" applyNumberFormat="1" applyFont="1" applyFill="1" applyBorder="1" applyAlignment="1">
      <alignment horizontal="left" vertical="center" indent="1"/>
    </xf>
    <xf numFmtId="0" fontId="15" fillId="0" borderId="0" xfId="0" applyFont="1" applyAlignment="1">
      <alignment horizontal="left" vertical="center" indent="2"/>
    </xf>
    <xf numFmtId="0" fontId="15" fillId="4" borderId="0" xfId="0" applyFont="1" applyFill="1" applyAlignment="1">
      <alignment horizontal="left" vertical="center" indent="2"/>
    </xf>
    <xf numFmtId="165" fontId="15" fillId="4" borderId="0" xfId="1" applyNumberFormat="1" applyFont="1" applyFill="1" applyAlignment="1" applyProtection="1">
      <alignment horizontal="left" vertical="center" indent="2"/>
    </xf>
    <xf numFmtId="0" fontId="15" fillId="4" borderId="2" xfId="0" applyFont="1" applyFill="1" applyBorder="1" applyAlignment="1">
      <alignment horizontal="left" vertical="center" indent="2"/>
    </xf>
    <xf numFmtId="0" fontId="15" fillId="4" borderId="14" xfId="0" applyFont="1" applyFill="1" applyBorder="1"/>
    <xf numFmtId="0" fontId="12" fillId="4" borderId="0" xfId="0" applyFont="1" applyFill="1"/>
    <xf numFmtId="0" fontId="17" fillId="4" borderId="17" xfId="0" applyFont="1" applyFill="1" applyBorder="1"/>
    <xf numFmtId="0" fontId="17" fillId="4" borderId="0" xfId="0" applyFont="1" applyFill="1"/>
    <xf numFmtId="0" fontId="17" fillId="4" borderId="18" xfId="0" applyFont="1" applyFill="1" applyBorder="1"/>
    <xf numFmtId="0" fontId="17" fillId="4" borderId="19" xfId="0" applyFont="1" applyFill="1" applyBorder="1"/>
    <xf numFmtId="165" fontId="17" fillId="4" borderId="20" xfId="0" applyNumberFormat="1" applyFont="1" applyFill="1" applyBorder="1"/>
    <xf numFmtId="10" fontId="17" fillId="4" borderId="22" xfId="0" applyNumberFormat="1" applyFont="1" applyFill="1" applyBorder="1"/>
    <xf numFmtId="0" fontId="22" fillId="0" borderId="0" xfId="0" applyFont="1"/>
    <xf numFmtId="0" fontId="15" fillId="4" borderId="25" xfId="0" applyFont="1" applyFill="1" applyBorder="1"/>
    <xf numFmtId="166" fontId="17" fillId="4" borderId="26" xfId="0" applyNumberFormat="1" applyFont="1" applyFill="1" applyBorder="1"/>
    <xf numFmtId="166" fontId="17" fillId="4" borderId="27" xfId="0" applyNumberFormat="1" applyFont="1" applyFill="1" applyBorder="1"/>
    <xf numFmtId="0" fontId="15" fillId="4" borderId="28" xfId="0" applyFont="1" applyFill="1" applyBorder="1"/>
    <xf numFmtId="166" fontId="17" fillId="4" borderId="0" xfId="0" applyNumberFormat="1" applyFont="1" applyFill="1"/>
    <xf numFmtId="6" fontId="17" fillId="4" borderId="0" xfId="0" applyNumberFormat="1" applyFont="1" applyFill="1"/>
    <xf numFmtId="0" fontId="17" fillId="4" borderId="0" xfId="0" applyFont="1" applyFill="1" applyAlignment="1">
      <alignment horizontal="left" vertical="center" indent="2"/>
    </xf>
    <xf numFmtId="6" fontId="17" fillId="4" borderId="0" xfId="0" applyNumberFormat="1" applyFont="1" applyFill="1" applyAlignment="1">
      <alignment horizontal="left" vertical="center" indent="2"/>
    </xf>
    <xf numFmtId="0" fontId="15" fillId="4" borderId="18" xfId="0" applyFont="1" applyFill="1" applyBorder="1" applyAlignment="1">
      <alignment horizontal="left" vertical="center" indent="2"/>
    </xf>
    <xf numFmtId="0" fontId="15" fillId="4" borderId="23" xfId="0" applyFont="1" applyFill="1" applyBorder="1"/>
    <xf numFmtId="0" fontId="15" fillId="4" borderId="19" xfId="0" applyFont="1" applyFill="1" applyBorder="1" applyAlignment="1">
      <alignment horizontal="right"/>
    </xf>
    <xf numFmtId="165" fontId="15" fillId="4" borderId="20" xfId="1" applyNumberFormat="1" applyFont="1" applyFill="1" applyBorder="1" applyAlignment="1" applyProtection="1">
      <alignment horizontal="right"/>
    </xf>
    <xf numFmtId="0" fontId="15" fillId="4" borderId="20" xfId="0" applyFont="1" applyFill="1" applyBorder="1"/>
    <xf numFmtId="0" fontId="17" fillId="4" borderId="20" xfId="0" applyFont="1" applyFill="1" applyBorder="1"/>
    <xf numFmtId="165" fontId="15" fillId="4" borderId="20" xfId="1" applyNumberFormat="1" applyFont="1" applyFill="1" applyBorder="1" applyProtection="1"/>
    <xf numFmtId="0" fontId="15" fillId="4" borderId="22" xfId="0" applyFont="1" applyFill="1" applyBorder="1"/>
    <xf numFmtId="165" fontId="15" fillId="4" borderId="17" xfId="0" applyNumberFormat="1" applyFont="1" applyFill="1" applyBorder="1" applyAlignment="1">
      <alignment horizontal="left"/>
    </xf>
    <xf numFmtId="165" fontId="15" fillId="4" borderId="0" xfId="1" applyNumberFormat="1" applyFont="1" applyFill="1" applyBorder="1" applyProtection="1"/>
    <xf numFmtId="165" fontId="15" fillId="4" borderId="18" xfId="1" applyNumberFormat="1" applyFont="1" applyFill="1" applyBorder="1" applyProtection="1"/>
    <xf numFmtId="167" fontId="15" fillId="4" borderId="15" xfId="0" applyNumberFormat="1" applyFont="1" applyFill="1" applyBorder="1"/>
    <xf numFmtId="1" fontId="15" fillId="4" borderId="15" xfId="0" applyNumberFormat="1" applyFont="1" applyFill="1" applyBorder="1"/>
    <xf numFmtId="1" fontId="15" fillId="4" borderId="16" xfId="0" applyNumberFormat="1" applyFont="1" applyFill="1" applyBorder="1"/>
    <xf numFmtId="1" fontId="15" fillId="4" borderId="18" xfId="0" applyNumberFormat="1" applyFont="1" applyFill="1" applyBorder="1"/>
    <xf numFmtId="165" fontId="17" fillId="4" borderId="0" xfId="1" applyNumberFormat="1" applyFont="1" applyFill="1" applyBorder="1" applyProtection="1"/>
    <xf numFmtId="167" fontId="15" fillId="4" borderId="0" xfId="0" applyNumberFormat="1" applyFont="1" applyFill="1" applyAlignment="1">
      <alignment horizontal="left" vertical="center" indent="2"/>
    </xf>
    <xf numFmtId="165" fontId="15" fillId="4" borderId="0" xfId="1" applyNumberFormat="1" applyFont="1" applyFill="1" applyBorder="1" applyAlignment="1" applyProtection="1">
      <alignment horizontal="left" vertical="center" indent="2"/>
    </xf>
    <xf numFmtId="1" fontId="15" fillId="4" borderId="0" xfId="0" applyNumberFormat="1" applyFont="1" applyFill="1" applyAlignment="1">
      <alignment horizontal="left" vertical="center" indent="2"/>
    </xf>
    <xf numFmtId="1" fontId="15" fillId="4" borderId="18" xfId="0" applyNumberFormat="1" applyFont="1" applyFill="1" applyBorder="1" applyAlignment="1">
      <alignment horizontal="left" vertical="center" indent="2"/>
    </xf>
    <xf numFmtId="167" fontId="15" fillId="4" borderId="20" xfId="0" applyNumberFormat="1" applyFont="1" applyFill="1" applyBorder="1"/>
    <xf numFmtId="1" fontId="15" fillId="4" borderId="20" xfId="0" applyNumberFormat="1" applyFont="1" applyFill="1" applyBorder="1"/>
    <xf numFmtId="1" fontId="15" fillId="4" borderId="22" xfId="0" applyNumberFormat="1" applyFont="1" applyFill="1" applyBorder="1"/>
    <xf numFmtId="168" fontId="15" fillId="4" borderId="18" xfId="0" applyNumberFormat="1" applyFont="1" applyFill="1" applyBorder="1"/>
    <xf numFmtId="165" fontId="15" fillId="4" borderId="22" xfId="1" applyNumberFormat="1" applyFont="1" applyFill="1" applyBorder="1" applyProtection="1"/>
    <xf numFmtId="165" fontId="17" fillId="4" borderId="17" xfId="1" applyNumberFormat="1" applyFont="1" applyFill="1" applyBorder="1" applyProtection="1"/>
    <xf numFmtId="169" fontId="15" fillId="4" borderId="0" xfId="0" applyNumberFormat="1" applyFont="1" applyFill="1" applyAlignment="1">
      <alignment horizontal="left"/>
    </xf>
    <xf numFmtId="165" fontId="15" fillId="4" borderId="17" xfId="1" applyNumberFormat="1" applyFont="1" applyFill="1" applyBorder="1" applyProtection="1"/>
    <xf numFmtId="165" fontId="17" fillId="4" borderId="18" xfId="1" applyNumberFormat="1" applyFont="1" applyFill="1" applyBorder="1" applyProtection="1"/>
    <xf numFmtId="168" fontId="12" fillId="2" borderId="0" xfId="1" applyNumberFormat="1" applyFont="1" applyFill="1" applyBorder="1" applyAlignment="1" applyProtection="1">
      <alignment vertical="center"/>
    </xf>
    <xf numFmtId="1" fontId="23" fillId="0" borderId="0" xfId="0" applyNumberFormat="1" applyFont="1" applyAlignment="1">
      <alignment horizontal="right" vertical="center"/>
    </xf>
    <xf numFmtId="49" fontId="23" fillId="0" borderId="0" xfId="0" applyNumberFormat="1" applyFont="1" applyAlignment="1">
      <alignment horizontal="left" vertical="center"/>
    </xf>
    <xf numFmtId="4" fontId="23" fillId="0" borderId="0" xfId="0" applyNumberFormat="1" applyFont="1" applyAlignment="1">
      <alignment horizontal="right" vertical="center"/>
    </xf>
    <xf numFmtId="164" fontId="23" fillId="0" borderId="0" xfId="0" applyNumberFormat="1" applyFont="1" applyAlignment="1">
      <alignment horizontal="right" vertical="center"/>
    </xf>
    <xf numFmtId="49" fontId="23" fillId="0" borderId="0" xfId="0" applyNumberFormat="1" applyFont="1" applyAlignment="1">
      <alignment horizontal="center" vertical="center"/>
    </xf>
    <xf numFmtId="0" fontId="23" fillId="0" borderId="0" xfId="0" applyFont="1" applyAlignment="1">
      <alignment horizontal="left" vertical="center"/>
    </xf>
    <xf numFmtId="0" fontId="23" fillId="0" borderId="0" xfId="0" applyFont="1" applyAlignment="1">
      <alignment horizontal="right" vertical="center"/>
    </xf>
    <xf numFmtId="1" fontId="23" fillId="0" borderId="0" xfId="0" applyNumberFormat="1" applyFont="1" applyAlignment="1">
      <alignment horizontal="left" vertical="center"/>
    </xf>
    <xf numFmtId="14" fontId="23" fillId="0" borderId="0" xfId="0" applyNumberFormat="1" applyFont="1" applyAlignment="1">
      <alignment horizontal="right" vertical="center"/>
    </xf>
    <xf numFmtId="0" fontId="5" fillId="0" borderId="0" xfId="0" applyFont="1"/>
    <xf numFmtId="0" fontId="24" fillId="0" borderId="0" xfId="0" applyFont="1" applyAlignment="1">
      <alignment horizontal="left" vertical="center"/>
    </xf>
    <xf numFmtId="164" fontId="24" fillId="0" borderId="0" xfId="0" applyNumberFormat="1" applyFont="1" applyAlignment="1">
      <alignment horizontal="right" vertical="center"/>
    </xf>
    <xf numFmtId="164" fontId="25" fillId="0" borderId="0" xfId="0" applyNumberFormat="1" applyFont="1" applyAlignment="1">
      <alignment horizontal="right" vertical="center"/>
    </xf>
    <xf numFmtId="0" fontId="10" fillId="0" borderId="0" xfId="0" applyFont="1" applyAlignment="1">
      <alignment horizontal="left" vertical="center"/>
    </xf>
    <xf numFmtId="0" fontId="26" fillId="4" borderId="0" xfId="0" applyFont="1" applyFill="1" applyAlignment="1">
      <alignment horizontal="left" vertical="center" indent="2"/>
    </xf>
    <xf numFmtId="0" fontId="19" fillId="2" borderId="0" xfId="0" applyFont="1" applyFill="1" applyProtection="1">
      <protection locked="0"/>
    </xf>
    <xf numFmtId="0" fontId="15" fillId="4" borderId="35" xfId="0" applyFont="1" applyFill="1" applyBorder="1"/>
    <xf numFmtId="0" fontId="15" fillId="4" borderId="36" xfId="0" applyFont="1" applyFill="1" applyBorder="1"/>
    <xf numFmtId="0" fontId="15" fillId="4" borderId="44" xfId="0" applyFont="1" applyFill="1" applyBorder="1"/>
    <xf numFmtId="0" fontId="15" fillId="4" borderId="45" xfId="0" applyFont="1" applyFill="1" applyBorder="1"/>
    <xf numFmtId="0" fontId="15" fillId="4" borderId="38" xfId="0" applyFont="1" applyFill="1" applyBorder="1"/>
    <xf numFmtId="0" fontId="15" fillId="4" borderId="39" xfId="0" applyFont="1" applyFill="1" applyBorder="1"/>
    <xf numFmtId="0" fontId="15" fillId="4" borderId="41" xfId="0" applyFont="1" applyFill="1" applyBorder="1"/>
    <xf numFmtId="0" fontId="15" fillId="4" borderId="37" xfId="0" applyFont="1" applyFill="1" applyBorder="1"/>
    <xf numFmtId="0" fontId="15" fillId="4" borderId="40" xfId="0" applyFont="1" applyFill="1" applyBorder="1"/>
    <xf numFmtId="1" fontId="15" fillId="4" borderId="62" xfId="0" applyNumberFormat="1" applyFont="1" applyFill="1" applyBorder="1"/>
    <xf numFmtId="0" fontId="15" fillId="4" borderId="64" xfId="0" applyFont="1" applyFill="1" applyBorder="1"/>
    <xf numFmtId="0" fontId="15" fillId="4" borderId="61" xfId="0" applyFont="1" applyFill="1" applyBorder="1" applyAlignment="1">
      <alignment horizontal="center"/>
    </xf>
    <xf numFmtId="0" fontId="15" fillId="4" borderId="8" xfId="0" applyFont="1" applyFill="1" applyBorder="1"/>
    <xf numFmtId="0" fontId="15" fillId="4" borderId="7" xfId="0" applyFont="1" applyFill="1" applyBorder="1"/>
    <xf numFmtId="0" fontId="15" fillId="4" borderId="63" xfId="0" applyFont="1" applyFill="1" applyBorder="1"/>
    <xf numFmtId="0" fontId="15" fillId="4" borderId="9" xfId="0" applyFont="1" applyFill="1" applyBorder="1"/>
    <xf numFmtId="14" fontId="15" fillId="4" borderId="0" xfId="0" applyNumberFormat="1" applyFont="1" applyFill="1"/>
    <xf numFmtId="5" fontId="15" fillId="4" borderId="0" xfId="1" applyNumberFormat="1" applyFont="1" applyFill="1" applyBorder="1"/>
    <xf numFmtId="165" fontId="15" fillId="4" borderId="0" xfId="1" applyNumberFormat="1" applyFont="1" applyFill="1" applyBorder="1"/>
    <xf numFmtId="167" fontId="15" fillId="4" borderId="18" xfId="0" applyNumberFormat="1" applyFont="1" applyFill="1" applyBorder="1"/>
    <xf numFmtId="1" fontId="15" fillId="4" borderId="10" xfId="0" applyNumberFormat="1" applyFont="1" applyFill="1" applyBorder="1"/>
    <xf numFmtId="164" fontId="20" fillId="4" borderId="18" xfId="0" applyNumberFormat="1" applyFont="1" applyFill="1" applyBorder="1"/>
    <xf numFmtId="5" fontId="15" fillId="4" borderId="0" xfId="0" applyNumberFormat="1" applyFont="1" applyFill="1"/>
    <xf numFmtId="1" fontId="15" fillId="4" borderId="0" xfId="1" applyNumberFormat="1" applyFont="1" applyFill="1" applyBorder="1"/>
    <xf numFmtId="1" fontId="20" fillId="4" borderId="18" xfId="0" applyNumberFormat="1" applyFont="1" applyFill="1" applyBorder="1"/>
    <xf numFmtId="5" fontId="20" fillId="4" borderId="0" xfId="0" applyNumberFormat="1" applyFont="1" applyFill="1"/>
    <xf numFmtId="1" fontId="20" fillId="4" borderId="0" xfId="0" applyNumberFormat="1" applyFont="1" applyFill="1"/>
    <xf numFmtId="0" fontId="15" fillId="4" borderId="19" xfId="0" applyFont="1" applyFill="1" applyBorder="1"/>
    <xf numFmtId="165" fontId="20" fillId="4" borderId="20" xfId="1" applyNumberFormat="1" applyFont="1" applyFill="1" applyBorder="1"/>
    <xf numFmtId="9" fontId="15" fillId="4" borderId="0" xfId="2" applyFont="1" applyFill="1"/>
    <xf numFmtId="0" fontId="15" fillId="4" borderId="35" xfId="0" applyFont="1" applyFill="1" applyBorder="1" applyAlignment="1">
      <alignment horizontal="right"/>
    </xf>
    <xf numFmtId="0" fontId="15" fillId="4" borderId="36" xfId="0" applyFont="1" applyFill="1" applyBorder="1" applyAlignment="1">
      <alignment horizontal="right"/>
    </xf>
    <xf numFmtId="0" fontId="15" fillId="4" borderId="47" xfId="0" applyFont="1" applyFill="1" applyBorder="1" applyAlignment="1">
      <alignment horizontal="right"/>
    </xf>
    <xf numFmtId="0" fontId="15" fillId="4" borderId="37" xfId="0" applyFont="1" applyFill="1" applyBorder="1" applyAlignment="1">
      <alignment horizontal="right"/>
    </xf>
    <xf numFmtId="0" fontId="15" fillId="4" borderId="36" xfId="0" applyFont="1" applyFill="1" applyBorder="1" applyAlignment="1">
      <alignment horizontal="center"/>
    </xf>
    <xf numFmtId="0" fontId="15" fillId="4" borderId="44" xfId="0" applyFont="1" applyFill="1" applyBorder="1" applyAlignment="1">
      <alignment horizontal="center"/>
    </xf>
    <xf numFmtId="2" fontId="15" fillId="4" borderId="38" xfId="0" applyNumberFormat="1" applyFont="1" applyFill="1" applyBorder="1"/>
    <xf numFmtId="165" fontId="15" fillId="4" borderId="14" xfId="0" applyNumberFormat="1" applyFont="1" applyFill="1" applyBorder="1" applyAlignment="1">
      <alignment horizontal="right"/>
    </xf>
    <xf numFmtId="165" fontId="15" fillId="4" borderId="15" xfId="0" applyNumberFormat="1" applyFont="1" applyFill="1" applyBorder="1" applyAlignment="1">
      <alignment horizontal="right"/>
    </xf>
    <xf numFmtId="14" fontId="15" fillId="4" borderId="16" xfId="0" applyNumberFormat="1" applyFont="1" applyFill="1" applyBorder="1" applyAlignment="1">
      <alignment horizontal="right"/>
    </xf>
    <xf numFmtId="2" fontId="15" fillId="4" borderId="42" xfId="0" applyNumberFormat="1" applyFont="1" applyFill="1" applyBorder="1"/>
    <xf numFmtId="165" fontId="15" fillId="4" borderId="17" xfId="0" applyNumberFormat="1" applyFont="1" applyFill="1" applyBorder="1" applyAlignment="1">
      <alignment horizontal="right"/>
    </xf>
    <xf numFmtId="14" fontId="15" fillId="4" borderId="18" xfId="0" applyNumberFormat="1" applyFont="1" applyFill="1" applyBorder="1" applyAlignment="1">
      <alignment horizontal="right"/>
    </xf>
    <xf numFmtId="2" fontId="15" fillId="4" borderId="43" xfId="0" applyNumberFormat="1" applyFont="1" applyFill="1" applyBorder="1"/>
    <xf numFmtId="165" fontId="15" fillId="4" borderId="29" xfId="0" applyNumberFormat="1" applyFont="1" applyFill="1" applyBorder="1" applyAlignment="1">
      <alignment horizontal="right"/>
    </xf>
    <xf numFmtId="165" fontId="15" fillId="4" borderId="5" xfId="0" applyNumberFormat="1" applyFont="1" applyFill="1" applyBorder="1" applyAlignment="1">
      <alignment horizontal="right"/>
    </xf>
    <xf numFmtId="14" fontId="15" fillId="4" borderId="31" xfId="0" applyNumberFormat="1" applyFont="1" applyFill="1" applyBorder="1" applyAlignment="1">
      <alignment horizontal="right"/>
    </xf>
    <xf numFmtId="165" fontId="15" fillId="4" borderId="19" xfId="0" applyNumberFormat="1" applyFont="1" applyFill="1" applyBorder="1" applyAlignment="1">
      <alignment horizontal="right"/>
    </xf>
    <xf numFmtId="165" fontId="15" fillId="4" borderId="20" xfId="0" applyNumberFormat="1" applyFont="1" applyFill="1" applyBorder="1" applyAlignment="1">
      <alignment horizontal="right"/>
    </xf>
    <xf numFmtId="14" fontId="15" fillId="4" borderId="22" xfId="0" applyNumberFormat="1" applyFont="1" applyFill="1" applyBorder="1" applyAlignment="1">
      <alignment horizontal="right"/>
    </xf>
    <xf numFmtId="0" fontId="15" fillId="4" borderId="42" xfId="0" applyFont="1" applyFill="1" applyBorder="1"/>
    <xf numFmtId="0" fontId="15" fillId="4" borderId="43" xfId="0" applyFont="1" applyFill="1" applyBorder="1"/>
    <xf numFmtId="0" fontId="12" fillId="6" borderId="17" xfId="0" applyFont="1" applyFill="1" applyBorder="1" applyAlignment="1">
      <alignment horizontal="left" vertical="center" indent="2"/>
    </xf>
    <xf numFmtId="0" fontId="12" fillId="6" borderId="0" xfId="0" applyFont="1" applyFill="1" applyAlignment="1">
      <alignment horizontal="left" vertical="center" indent="2"/>
    </xf>
    <xf numFmtId="0" fontId="12" fillId="6" borderId="18" xfId="0" applyFont="1" applyFill="1" applyBorder="1" applyAlignment="1">
      <alignment horizontal="left" vertical="center" indent="2"/>
    </xf>
    <xf numFmtId="0" fontId="15" fillId="0" borderId="0" xfId="0" applyFont="1" applyAlignment="1">
      <alignment horizontal="right" vertical="center" indent="2"/>
    </xf>
    <xf numFmtId="168" fontId="15" fillId="0" borderId="0" xfId="0" applyNumberFormat="1" applyFont="1"/>
    <xf numFmtId="0" fontId="27" fillId="0" borderId="0" xfId="0" applyFont="1"/>
    <xf numFmtId="0" fontId="27" fillId="4" borderId="19" xfId="0" applyFont="1" applyFill="1" applyBorder="1"/>
    <xf numFmtId="0" fontId="27" fillId="4" borderId="20" xfId="0" applyFont="1" applyFill="1" applyBorder="1"/>
    <xf numFmtId="0" fontId="15" fillId="0" borderId="8" xfId="0" applyFont="1" applyBorder="1"/>
    <xf numFmtId="0" fontId="15" fillId="0" borderId="8" xfId="0" applyFont="1" applyBorder="1" applyAlignment="1">
      <alignment horizontal="center"/>
    </xf>
    <xf numFmtId="0" fontId="15" fillId="0" borderId="14" xfId="0" applyFont="1" applyBorder="1"/>
    <xf numFmtId="168" fontId="15" fillId="0" borderId="15" xfId="0" applyNumberFormat="1" applyFont="1" applyBorder="1"/>
    <xf numFmtId="0" fontId="15" fillId="0" borderId="15" xfId="0" applyFont="1" applyBorder="1"/>
    <xf numFmtId="0" fontId="20" fillId="0" borderId="15" xfId="0" applyFont="1" applyBorder="1" applyAlignment="1">
      <alignment horizontal="center"/>
    </xf>
    <xf numFmtId="0" fontId="15" fillId="0" borderId="16" xfId="0" applyFont="1" applyBorder="1" applyAlignment="1">
      <alignment horizontal="center"/>
    </xf>
    <xf numFmtId="168" fontId="27" fillId="0" borderId="0" xfId="0" applyNumberFormat="1" applyFont="1"/>
    <xf numFmtId="0" fontId="15" fillId="0" borderId="63" xfId="0" applyFont="1" applyBorder="1" applyAlignment="1">
      <alignment horizontal="center"/>
    </xf>
    <xf numFmtId="0" fontId="27" fillId="0" borderId="17" xfId="0" applyFont="1" applyBorder="1" applyAlignment="1">
      <alignment horizontal="left"/>
    </xf>
    <xf numFmtId="168" fontId="15" fillId="0" borderId="0" xfId="3" applyNumberFormat="1" applyFont="1" applyBorder="1"/>
    <xf numFmtId="1" fontId="15" fillId="0" borderId="18" xfId="3" applyNumberFormat="1" applyFont="1" applyBorder="1"/>
    <xf numFmtId="0" fontId="27" fillId="0" borderId="17" xfId="0" applyFont="1" applyBorder="1"/>
    <xf numFmtId="0" fontId="15" fillId="0" borderId="18" xfId="0" applyFont="1" applyBorder="1"/>
    <xf numFmtId="0" fontId="15" fillId="0" borderId="17" xfId="0" applyFont="1" applyBorder="1"/>
    <xf numFmtId="0" fontId="27" fillId="0" borderId="19" xfId="0" applyFont="1" applyBorder="1" applyAlignment="1">
      <alignment horizontal="left"/>
    </xf>
    <xf numFmtId="0" fontId="15" fillId="0" borderId="20" xfId="0" applyFont="1" applyBorder="1"/>
    <xf numFmtId="0" fontId="15" fillId="0" borderId="20" xfId="0" applyFont="1" applyBorder="1" applyAlignment="1">
      <alignment horizontal="center"/>
    </xf>
    <xf numFmtId="0" fontId="15" fillId="0" borderId="22" xfId="0" applyFont="1" applyBorder="1"/>
    <xf numFmtId="168" fontId="27" fillId="0" borderId="15" xfId="0" applyNumberFormat="1" applyFont="1" applyBorder="1"/>
    <xf numFmtId="0" fontId="27" fillId="0" borderId="15" xfId="0" applyFont="1" applyBorder="1"/>
    <xf numFmtId="0" fontId="15" fillId="0" borderId="16" xfId="0" applyFont="1" applyBorder="1"/>
    <xf numFmtId="0" fontId="27" fillId="0" borderId="18" xfId="0" applyFont="1" applyBorder="1"/>
    <xf numFmtId="0" fontId="27" fillId="0" borderId="16" xfId="0" applyFont="1" applyBorder="1"/>
    <xf numFmtId="0" fontId="27" fillId="0" borderId="14" xfId="0" applyFont="1" applyBorder="1" applyAlignment="1">
      <alignment horizontal="left"/>
    </xf>
    <xf numFmtId="0" fontId="15" fillId="0" borderId="65" xfId="0" applyFont="1" applyBorder="1"/>
    <xf numFmtId="1" fontId="15" fillId="0" borderId="18" xfId="0" applyNumberFormat="1" applyFont="1" applyBorder="1"/>
    <xf numFmtId="0" fontId="15" fillId="0" borderId="19" xfId="0" applyFont="1" applyBorder="1"/>
    <xf numFmtId="0" fontId="15" fillId="0" borderId="66" xfId="0" applyFont="1" applyBorder="1"/>
    <xf numFmtId="0" fontId="15" fillId="0" borderId="67" xfId="0" applyFont="1" applyBorder="1" applyAlignment="1">
      <alignment horizontal="center"/>
    </xf>
    <xf numFmtId="0" fontId="15" fillId="0" borderId="68" xfId="0" applyFont="1" applyBorder="1" applyAlignment="1">
      <alignment horizontal="center"/>
    </xf>
    <xf numFmtId="0" fontId="15" fillId="0" borderId="69" xfId="0" applyFont="1" applyBorder="1"/>
    <xf numFmtId="0" fontId="20" fillId="0" borderId="70" xfId="0" applyFont="1" applyBorder="1" applyAlignment="1">
      <alignment horizontal="center"/>
    </xf>
    <xf numFmtId="0" fontId="15" fillId="0" borderId="71" xfId="0" applyFont="1" applyBorder="1" applyAlignment="1">
      <alignment horizontal="center"/>
    </xf>
    <xf numFmtId="168" fontId="27" fillId="0" borderId="14" xfId="0" applyNumberFormat="1" applyFont="1" applyBorder="1"/>
    <xf numFmtId="168" fontId="27" fillId="0" borderId="17" xfId="0" applyNumberFormat="1" applyFont="1" applyBorder="1"/>
    <xf numFmtId="168" fontId="27" fillId="0" borderId="19" xfId="0" applyNumberFormat="1" applyFont="1" applyBorder="1"/>
    <xf numFmtId="0" fontId="27" fillId="0" borderId="36" xfId="0" pivotButton="1" applyFont="1" applyBorder="1"/>
    <xf numFmtId="168" fontId="27" fillId="0" borderId="36" xfId="0" applyNumberFormat="1" applyFont="1" applyBorder="1"/>
    <xf numFmtId="0" fontId="27" fillId="0" borderId="44" xfId="0" applyFont="1" applyBorder="1"/>
    <xf numFmtId="0" fontId="27" fillId="0" borderId="35" xfId="0" pivotButton="1" applyFont="1" applyBorder="1"/>
    <xf numFmtId="0" fontId="27" fillId="0" borderId="38" xfId="0" applyFont="1" applyBorder="1" applyAlignment="1">
      <alignment horizontal="left"/>
    </xf>
    <xf numFmtId="0" fontId="27" fillId="0" borderId="42" xfId="0" applyFont="1" applyBorder="1" applyAlignment="1">
      <alignment horizontal="left"/>
    </xf>
    <xf numFmtId="0" fontId="27" fillId="0" borderId="43" xfId="0" applyFont="1" applyBorder="1" applyAlignment="1">
      <alignment horizontal="left"/>
    </xf>
    <xf numFmtId="0" fontId="27" fillId="0" borderId="45" xfId="0" applyFont="1" applyBorder="1"/>
    <xf numFmtId="0" fontId="15" fillId="4" borderId="15" xfId="0" applyFont="1" applyFill="1" applyBorder="1" applyAlignment="1">
      <alignment horizontal="right"/>
    </xf>
    <xf numFmtId="165" fontId="15" fillId="4" borderId="0" xfId="0" applyNumberFormat="1" applyFont="1" applyFill="1" applyAlignment="1">
      <alignment horizontal="right"/>
    </xf>
    <xf numFmtId="0" fontId="15" fillId="4" borderId="0" xfId="0" applyFont="1" applyFill="1" applyAlignment="1">
      <alignment horizontal="right"/>
    </xf>
    <xf numFmtId="0" fontId="15" fillId="4" borderId="5" xfId="0" applyFont="1" applyFill="1" applyBorder="1" applyAlignment="1">
      <alignment horizontal="right"/>
    </xf>
    <xf numFmtId="0" fontId="15" fillId="4" borderId="20" xfId="0" applyFont="1" applyFill="1" applyBorder="1" applyAlignment="1">
      <alignment horizontal="right"/>
    </xf>
    <xf numFmtId="165" fontId="15" fillId="3" borderId="19" xfId="0" applyNumberFormat="1" applyFont="1" applyFill="1" applyBorder="1"/>
    <xf numFmtId="165" fontId="15" fillId="3" borderId="22" xfId="0" applyNumberFormat="1" applyFont="1" applyFill="1" applyBorder="1"/>
    <xf numFmtId="165" fontId="15" fillId="3" borderId="36" xfId="0" applyNumberFormat="1" applyFont="1" applyFill="1" applyBorder="1"/>
    <xf numFmtId="165" fontId="15" fillId="3" borderId="45" xfId="0" applyNumberFormat="1" applyFont="1" applyFill="1" applyBorder="1"/>
    <xf numFmtId="0" fontId="15" fillId="3" borderId="36" xfId="0" applyFont="1" applyFill="1" applyBorder="1"/>
    <xf numFmtId="0" fontId="15" fillId="3" borderId="45" xfId="0" applyFont="1" applyFill="1" applyBorder="1"/>
    <xf numFmtId="165" fontId="15" fillId="3" borderId="18" xfId="0" applyNumberFormat="1" applyFont="1" applyFill="1" applyBorder="1"/>
    <xf numFmtId="165" fontId="15" fillId="3" borderId="16" xfId="0" applyNumberFormat="1" applyFont="1" applyFill="1" applyBorder="1"/>
    <xf numFmtId="0" fontId="15" fillId="3" borderId="45" xfId="0" applyFont="1" applyFill="1" applyBorder="1" applyAlignment="1">
      <alignment horizontal="left"/>
    </xf>
    <xf numFmtId="10" fontId="15" fillId="3" borderId="0" xfId="0" applyNumberFormat="1" applyFont="1" applyFill="1"/>
    <xf numFmtId="10" fontId="15" fillId="3" borderId="18" xfId="0" applyNumberFormat="1" applyFont="1" applyFill="1" applyBorder="1"/>
    <xf numFmtId="10" fontId="15" fillId="3" borderId="20" xfId="0" applyNumberFormat="1" applyFont="1" applyFill="1" applyBorder="1"/>
    <xf numFmtId="10" fontId="15" fillId="3" borderId="22" xfId="0" applyNumberFormat="1" applyFont="1" applyFill="1" applyBorder="1"/>
    <xf numFmtId="10" fontId="15" fillId="3" borderId="15" xfId="0" applyNumberFormat="1" applyFont="1" applyFill="1" applyBorder="1"/>
    <xf numFmtId="0" fontId="15" fillId="3" borderId="35" xfId="0" applyFont="1" applyFill="1" applyBorder="1"/>
    <xf numFmtId="0" fontId="15" fillId="3" borderId="38" xfId="0" applyFont="1" applyFill="1" applyBorder="1" applyAlignment="1">
      <alignment horizontal="left"/>
    </xf>
    <xf numFmtId="0" fontId="15" fillId="3" borderId="42" xfId="0" applyFont="1" applyFill="1" applyBorder="1" applyAlignment="1">
      <alignment horizontal="left"/>
    </xf>
    <xf numFmtId="0" fontId="15" fillId="3" borderId="43" xfId="0" applyFont="1" applyFill="1" applyBorder="1" applyAlignment="1">
      <alignment horizontal="left"/>
    </xf>
    <xf numFmtId="0" fontId="15" fillId="3" borderId="35" xfId="0" applyFont="1" applyFill="1" applyBorder="1" applyAlignment="1">
      <alignment horizontal="left"/>
    </xf>
    <xf numFmtId="0" fontId="15" fillId="3" borderId="44" xfId="0" applyFont="1" applyFill="1" applyBorder="1"/>
    <xf numFmtId="165" fontId="15" fillId="3" borderId="14" xfId="0" applyNumberFormat="1" applyFont="1" applyFill="1" applyBorder="1"/>
    <xf numFmtId="165" fontId="15" fillId="4" borderId="14" xfId="0" applyNumberFormat="1" applyFont="1" applyFill="1" applyBorder="1"/>
    <xf numFmtId="165" fontId="15" fillId="4" borderId="15" xfId="0" applyNumberFormat="1" applyFont="1" applyFill="1" applyBorder="1"/>
    <xf numFmtId="165" fontId="15" fillId="4" borderId="16" xfId="0" applyNumberFormat="1" applyFont="1" applyFill="1" applyBorder="1"/>
    <xf numFmtId="165" fontId="15" fillId="4" borderId="17" xfId="0" applyNumberFormat="1" applyFont="1" applyFill="1" applyBorder="1"/>
    <xf numFmtId="165" fontId="15" fillId="4" borderId="19" xfId="0" applyNumberFormat="1" applyFont="1" applyFill="1" applyBorder="1"/>
    <xf numFmtId="0" fontId="15" fillId="4" borderId="38" xfId="0" applyFont="1" applyFill="1" applyBorder="1" applyAlignment="1">
      <alignment horizontal="left"/>
    </xf>
    <xf numFmtId="0" fontId="15" fillId="4" borderId="42" xfId="0" applyFont="1" applyFill="1" applyBorder="1" applyAlignment="1">
      <alignment horizontal="left"/>
    </xf>
    <xf numFmtId="0" fontId="15" fillId="4" borderId="43" xfId="0" applyFont="1" applyFill="1" applyBorder="1" applyAlignment="1">
      <alignment horizontal="left"/>
    </xf>
    <xf numFmtId="1" fontId="15" fillId="4" borderId="6" xfId="0" applyNumberFormat="1" applyFont="1" applyFill="1" applyBorder="1"/>
    <xf numFmtId="1" fontId="15" fillId="4" borderId="6" xfId="0" applyNumberFormat="1" applyFont="1" applyFill="1" applyBorder="1" applyAlignment="1">
      <alignment horizontal="left" vertical="center" indent="2"/>
    </xf>
    <xf numFmtId="1" fontId="15" fillId="4" borderId="52" xfId="0" applyNumberFormat="1" applyFont="1" applyFill="1" applyBorder="1"/>
    <xf numFmtId="1" fontId="15" fillId="4" borderId="52" xfId="0" applyNumberFormat="1" applyFont="1" applyFill="1" applyBorder="1" applyAlignment="1">
      <alignment horizontal="left" vertical="center" indent="2"/>
    </xf>
    <xf numFmtId="1" fontId="15" fillId="4" borderId="34" xfId="0" applyNumberFormat="1" applyFont="1" applyFill="1" applyBorder="1"/>
    <xf numFmtId="1" fontId="15" fillId="4" borderId="53" xfId="0" applyNumberFormat="1" applyFont="1" applyFill="1" applyBorder="1"/>
    <xf numFmtId="1" fontId="15" fillId="4" borderId="14" xfId="0" applyNumberFormat="1" applyFont="1" applyFill="1" applyBorder="1"/>
    <xf numFmtId="1" fontId="15" fillId="4" borderId="30" xfId="0" applyNumberFormat="1" applyFont="1" applyFill="1" applyBorder="1"/>
    <xf numFmtId="1" fontId="15" fillId="4" borderId="30" xfId="0" applyNumberFormat="1" applyFont="1" applyFill="1" applyBorder="1" applyAlignment="1">
      <alignment horizontal="left" vertical="center" indent="2"/>
    </xf>
    <xf numFmtId="1" fontId="15" fillId="4" borderId="56" xfId="0" applyNumberFormat="1" applyFont="1" applyFill="1" applyBorder="1"/>
    <xf numFmtId="0" fontId="15" fillId="4" borderId="39" xfId="0" applyFont="1" applyFill="1" applyBorder="1" applyAlignment="1">
      <alignment horizontal="left" vertical="center" indent="2"/>
    </xf>
    <xf numFmtId="165" fontId="15" fillId="4" borderId="3" xfId="0" applyNumberFormat="1" applyFont="1" applyFill="1" applyBorder="1"/>
    <xf numFmtId="165" fontId="15" fillId="4" borderId="5" xfId="0" applyNumberFormat="1" applyFont="1" applyFill="1" applyBorder="1"/>
    <xf numFmtId="165" fontId="15" fillId="4" borderId="24" xfId="0" applyNumberFormat="1" applyFont="1" applyFill="1" applyBorder="1"/>
    <xf numFmtId="165" fontId="15" fillId="4" borderId="31" xfId="0" applyNumberFormat="1" applyFont="1" applyFill="1" applyBorder="1"/>
    <xf numFmtId="165" fontId="15" fillId="4" borderId="57" xfId="0" applyNumberFormat="1" applyFont="1" applyFill="1" applyBorder="1"/>
    <xf numFmtId="165" fontId="15" fillId="4" borderId="58" xfId="0" applyNumberFormat="1" applyFont="1" applyFill="1" applyBorder="1"/>
    <xf numFmtId="165" fontId="15" fillId="4" borderId="59" xfId="0" applyNumberFormat="1" applyFont="1" applyFill="1" applyBorder="1"/>
    <xf numFmtId="165" fontId="15" fillId="4" borderId="51" xfId="0" applyNumberFormat="1" applyFont="1" applyFill="1" applyBorder="1" applyAlignment="1">
      <alignment horizontal="left"/>
    </xf>
    <xf numFmtId="165" fontId="15" fillId="4" borderId="37" xfId="0" applyNumberFormat="1" applyFont="1" applyFill="1" applyBorder="1" applyAlignment="1">
      <alignment horizontal="left"/>
    </xf>
    <xf numFmtId="165" fontId="15" fillId="4" borderId="46" xfId="0" applyNumberFormat="1" applyFont="1" applyFill="1" applyBorder="1"/>
    <xf numFmtId="165" fontId="15" fillId="4" borderId="47" xfId="0" applyNumberFormat="1" applyFont="1" applyFill="1" applyBorder="1"/>
    <xf numFmtId="165" fontId="15" fillId="4" borderId="37" xfId="0" applyNumberFormat="1" applyFont="1" applyFill="1" applyBorder="1"/>
    <xf numFmtId="165" fontId="15" fillId="4" borderId="46" xfId="0" applyNumberFormat="1" applyFont="1" applyFill="1" applyBorder="1" applyAlignment="1">
      <alignment horizontal="left"/>
    </xf>
    <xf numFmtId="165" fontId="15" fillId="4" borderId="48" xfId="0" applyNumberFormat="1" applyFont="1" applyFill="1" applyBorder="1" applyAlignment="1">
      <alignment horizontal="left"/>
    </xf>
    <xf numFmtId="165" fontId="15" fillId="4" borderId="60" xfId="0" applyNumberFormat="1" applyFont="1" applyFill="1" applyBorder="1" applyAlignment="1">
      <alignment horizontal="left"/>
    </xf>
    <xf numFmtId="165" fontId="15" fillId="4" borderId="51" xfId="0" applyNumberFormat="1" applyFont="1" applyFill="1" applyBorder="1"/>
    <xf numFmtId="165" fontId="15" fillId="4" borderId="44" xfId="0" applyNumberFormat="1" applyFont="1" applyFill="1" applyBorder="1"/>
    <xf numFmtId="165" fontId="15" fillId="4" borderId="45" xfId="0" applyNumberFormat="1" applyFont="1" applyFill="1" applyBorder="1"/>
    <xf numFmtId="165" fontId="15" fillId="4" borderId="13" xfId="0" applyNumberFormat="1" applyFont="1" applyFill="1" applyBorder="1"/>
    <xf numFmtId="165" fontId="15" fillId="4" borderId="54" xfId="0" applyNumberFormat="1" applyFont="1" applyFill="1" applyBorder="1" applyAlignment="1">
      <alignment horizontal="left"/>
    </xf>
    <xf numFmtId="165" fontId="15" fillId="4" borderId="55" xfId="0" applyNumberFormat="1" applyFont="1" applyFill="1" applyBorder="1" applyAlignment="1">
      <alignment horizontal="left"/>
    </xf>
    <xf numFmtId="165" fontId="15" fillId="4" borderId="48" xfId="0" applyNumberFormat="1" applyFont="1" applyFill="1" applyBorder="1"/>
    <xf numFmtId="165" fontId="15" fillId="4" borderId="49" xfId="0" applyNumberFormat="1" applyFont="1" applyFill="1" applyBorder="1"/>
    <xf numFmtId="165" fontId="15" fillId="4" borderId="50" xfId="0" applyNumberFormat="1" applyFont="1" applyFill="1" applyBorder="1"/>
    <xf numFmtId="165" fontId="15" fillId="4" borderId="32" xfId="0" applyNumberFormat="1" applyFont="1" applyFill="1" applyBorder="1"/>
    <xf numFmtId="165" fontId="15" fillId="4" borderId="35" xfId="0" applyNumberFormat="1" applyFont="1" applyFill="1" applyBorder="1"/>
    <xf numFmtId="165" fontId="15" fillId="4" borderId="36" xfId="0" applyNumberFormat="1" applyFont="1" applyFill="1" applyBorder="1"/>
    <xf numFmtId="14" fontId="15" fillId="4" borderId="38" xfId="0" applyNumberFormat="1" applyFont="1" applyFill="1" applyBorder="1"/>
    <xf numFmtId="14" fontId="15" fillId="4" borderId="42" xfId="0" applyNumberFormat="1" applyFont="1" applyFill="1" applyBorder="1"/>
    <xf numFmtId="14" fontId="15" fillId="4" borderId="43" xfId="0" applyNumberFormat="1" applyFont="1" applyFill="1" applyBorder="1"/>
    <xf numFmtId="0" fontId="15" fillId="4" borderId="46" xfId="0" applyFont="1" applyFill="1" applyBorder="1"/>
    <xf numFmtId="0" fontId="15" fillId="4" borderId="48" xfId="0" applyFont="1" applyFill="1" applyBorder="1"/>
    <xf numFmtId="0" fontId="15" fillId="4" borderId="49" xfId="0" applyFont="1" applyFill="1" applyBorder="1"/>
    <xf numFmtId="0" fontId="15" fillId="4" borderId="50" xfId="0" applyFont="1" applyFill="1" applyBorder="1"/>
    <xf numFmtId="165" fontId="15" fillId="4" borderId="4" xfId="0" applyNumberFormat="1" applyFont="1" applyFill="1" applyBorder="1"/>
    <xf numFmtId="165" fontId="15" fillId="4" borderId="6" xfId="0" applyNumberFormat="1" applyFont="1" applyFill="1" applyBorder="1"/>
    <xf numFmtId="165" fontId="15" fillId="4" borderId="52" xfId="0" applyNumberFormat="1" applyFont="1" applyFill="1" applyBorder="1"/>
    <xf numFmtId="165" fontId="15" fillId="4" borderId="33" xfId="0" applyNumberFormat="1" applyFont="1" applyFill="1" applyBorder="1"/>
    <xf numFmtId="165" fontId="15" fillId="4" borderId="34" xfId="0" applyNumberFormat="1" applyFont="1" applyFill="1" applyBorder="1"/>
    <xf numFmtId="165" fontId="15" fillId="4" borderId="53" xfId="0" applyNumberFormat="1" applyFont="1" applyFill="1" applyBorder="1"/>
    <xf numFmtId="0" fontId="15" fillId="4" borderId="48" xfId="0" applyFont="1" applyFill="1" applyBorder="1" applyAlignment="1">
      <alignment horizontal="left"/>
    </xf>
    <xf numFmtId="0" fontId="15" fillId="4" borderId="54" xfId="0" applyFont="1" applyFill="1" applyBorder="1" applyAlignment="1">
      <alignment horizontal="left"/>
    </xf>
    <xf numFmtId="0" fontId="15" fillId="4" borderId="55" xfId="0" applyFont="1" applyFill="1" applyBorder="1" applyAlignment="1">
      <alignment horizontal="left"/>
    </xf>
    <xf numFmtId="165" fontId="15" fillId="4" borderId="0" xfId="0" applyNumberFormat="1" applyFont="1" applyFill="1" applyAlignment="1">
      <alignment horizontal="left" vertical="center" indent="2"/>
    </xf>
    <xf numFmtId="165" fontId="15" fillId="4" borderId="18" xfId="0" applyNumberFormat="1" applyFont="1" applyFill="1" applyBorder="1" applyAlignment="1">
      <alignment horizontal="left" vertical="center" indent="2"/>
    </xf>
    <xf numFmtId="165" fontId="15" fillId="4" borderId="29" xfId="0" applyNumberFormat="1" applyFont="1" applyFill="1" applyBorder="1"/>
    <xf numFmtId="165" fontId="15" fillId="4" borderId="17" xfId="0" applyNumberFormat="1" applyFont="1" applyFill="1" applyBorder="1" applyAlignment="1">
      <alignment horizontal="left" vertical="center" indent="2"/>
    </xf>
    <xf numFmtId="0" fontId="27" fillId="0" borderId="20" xfId="0" applyFont="1" applyBorder="1"/>
    <xf numFmtId="0" fontId="27" fillId="0" borderId="22" xfId="0" applyFont="1" applyBorder="1"/>
  </cellXfs>
  <cellStyles count="4">
    <cellStyle name="Comma" xfId="1" builtinId="3"/>
    <cellStyle name="Currency" xfId="3" builtinId="4"/>
    <cellStyle name="Normal" xfId="0" builtinId="0"/>
    <cellStyle name="Percent" xfId="2" builtinId="5"/>
  </cellStyles>
  <dxfs count="1141">
    <dxf>
      <fill>
        <patternFill patternType="none">
          <fgColor indexed="64"/>
          <bgColor indexed="65"/>
        </patternFill>
      </fill>
      <alignment horizontal="right" vertical="center" textRotation="0" wrapText="0" indent="0" justifyLastLine="0" shrinkToFit="0" readingOrder="0"/>
    </dxf>
    <dxf>
      <font>
        <strike val="0"/>
        <outline val="0"/>
        <shadow val="0"/>
        <u val="none"/>
        <vertAlign val="baseline"/>
        <sz val="11"/>
        <name val="Calibri"/>
        <family val="2"/>
        <scheme val="none"/>
      </font>
      <numFmt numFmtId="164" formatCode="&quot;$&quot;#,##0.00"/>
      <fill>
        <patternFill patternType="none">
          <fgColor indexed="64"/>
          <bgColor auto="1"/>
        </patternFill>
      </fill>
      <alignment horizontal="right" vertical="center" textRotation="0" wrapText="0" indent="0" justifyLastLine="0" shrinkToFit="0" readingOrder="0"/>
    </dxf>
    <dxf>
      <fill>
        <patternFill patternType="none">
          <fgColor indexed="64"/>
          <bgColor auto="1"/>
        </patternFill>
      </fill>
      <alignment horizontal="right" vertical="center" textRotation="0" wrapText="0" indent="0" justifyLastLine="0" shrinkToFit="0" readingOrder="0"/>
    </dxf>
    <dxf>
      <font>
        <strike val="0"/>
        <outline val="0"/>
        <shadow val="0"/>
        <u val="none"/>
        <vertAlign val="baseline"/>
        <sz val="11"/>
        <color rgb="FFFF0000"/>
        <name val="Calibri"/>
        <family val="2"/>
        <scheme val="none"/>
      </font>
      <numFmt numFmtId="164" formatCode="&quot;$&quot;#,##0.00"/>
      <fill>
        <patternFill patternType="none">
          <fgColor indexed="64"/>
          <bgColor auto="1"/>
        </patternFill>
      </fill>
      <alignment horizontal="right" vertical="center" textRotation="0" wrapText="0" indent="0" justifyLastLine="0" shrinkToFit="0" readingOrder="0"/>
    </dxf>
    <dxf>
      <fill>
        <patternFill patternType="none">
          <fgColor indexed="64"/>
          <bgColor auto="1"/>
        </patternFill>
      </fill>
      <alignment horizontal="right" vertical="center" textRotation="0" wrapText="0" indent="0" justifyLastLine="0" shrinkToFit="0" readingOrder="0"/>
    </dxf>
    <dxf>
      <font>
        <strike val="0"/>
        <outline val="0"/>
        <shadow val="0"/>
        <u val="none"/>
        <vertAlign val="baseline"/>
        <sz val="11"/>
        <color rgb="FFFF0000"/>
        <name val="Calibri"/>
        <family val="2"/>
        <scheme val="none"/>
      </font>
      <numFmt numFmtId="164" formatCode="&quot;$&quot;#,##0.00"/>
      <fill>
        <patternFill patternType="none">
          <fgColor indexed="64"/>
          <bgColor auto="1"/>
        </patternFill>
      </fill>
      <alignment horizontal="right" vertical="center" textRotation="0" wrapText="0" indent="0" justifyLastLine="0" shrinkToFit="0" readingOrder="0"/>
    </dxf>
    <dxf>
      <fill>
        <patternFill patternType="none">
          <fgColor indexed="64"/>
          <bgColor auto="1"/>
        </patternFill>
      </fill>
      <alignment horizontal="right" vertical="center" textRotation="0" wrapText="0" indent="0" justifyLastLine="0" shrinkToFit="0" readingOrder="0"/>
    </dxf>
    <dxf>
      <font>
        <strike val="0"/>
        <outline val="0"/>
        <shadow val="0"/>
        <u val="none"/>
        <vertAlign val="baseline"/>
        <sz val="11"/>
        <name val="Calibri"/>
        <family val="2"/>
        <scheme val="none"/>
      </font>
      <numFmt numFmtId="164" formatCode="&quot;$&quot;#,##0.00"/>
      <fill>
        <patternFill patternType="none">
          <fgColor indexed="64"/>
          <bgColor auto="1"/>
        </patternFill>
      </fill>
      <alignment horizontal="right" vertical="center" textRotation="0" wrapText="0" indent="0" justifyLastLine="0" shrinkToFit="0" readingOrder="0"/>
    </dxf>
    <dxf>
      <font>
        <b val="0"/>
        <i val="0"/>
        <strike val="0"/>
        <condense val="0"/>
        <extend val="0"/>
        <outline val="0"/>
        <shadow val="0"/>
        <u val="none"/>
        <vertAlign val="baseline"/>
        <sz val="10"/>
        <color theme="1"/>
        <name val="Arial"/>
        <family val="2"/>
        <scheme val="minor"/>
      </font>
      <numFmt numFmtId="30" formatCode="@"/>
      <fill>
        <patternFill patternType="none">
          <fgColor indexed="64"/>
          <bgColor auto="1"/>
        </patternFill>
      </fill>
      <alignment horizontal="left" vertical="center" textRotation="0" wrapText="0" indent="0" justifyLastLine="0" shrinkToFit="0" readingOrder="0"/>
    </dxf>
    <dxf>
      <font>
        <strike val="0"/>
        <outline val="0"/>
        <shadow val="0"/>
        <u val="none"/>
        <vertAlign val="baseline"/>
        <sz val="11"/>
        <name val="Calibri"/>
        <family val="2"/>
        <scheme val="none"/>
      </font>
      <numFmt numFmtId="30" formatCode="@"/>
      <fill>
        <patternFill patternType="none">
          <fgColor indexed="64"/>
          <bgColor auto="1"/>
        </patternFill>
      </fill>
      <alignment horizontal="left" vertical="center" textRotation="0" wrapText="0" indent="0" justifyLastLine="0" shrinkToFit="0" readingOrder="0"/>
    </dxf>
    <dxf>
      <font>
        <b val="0"/>
        <i val="0"/>
        <strike val="0"/>
        <condense val="0"/>
        <extend val="0"/>
        <outline val="0"/>
        <shadow val="0"/>
        <u val="none"/>
        <vertAlign val="baseline"/>
        <sz val="10"/>
        <color theme="1"/>
        <name val="Arial"/>
        <family val="2"/>
        <scheme val="minor"/>
      </font>
      <numFmt numFmtId="164" formatCode="&quot;$&quot;#,##0.00"/>
      <fill>
        <patternFill patternType="none">
          <fgColor indexed="64"/>
          <bgColor auto="1"/>
        </patternFill>
      </fill>
      <alignment horizontal="right" vertical="center" textRotation="0" wrapText="0" indent="0" justifyLastLine="0" shrinkToFit="0" readingOrder="0"/>
    </dxf>
    <dxf>
      <font>
        <strike val="0"/>
        <outline val="0"/>
        <shadow val="0"/>
        <u val="none"/>
        <vertAlign val="baseline"/>
        <sz val="11"/>
        <color theme="1"/>
        <name val="Calibri"/>
        <family val="2"/>
        <scheme val="none"/>
      </font>
      <numFmt numFmtId="164" formatCode="&quot;$&quot;#,##0.00"/>
      <fill>
        <patternFill patternType="none">
          <fgColor indexed="64"/>
          <bgColor auto="1"/>
        </patternFill>
      </fill>
      <alignment horizontal="right" vertical="center" textRotation="0" wrapText="0" indent="0" justifyLastLine="0" shrinkToFit="0" readingOrder="0"/>
    </dxf>
    <dxf>
      <font>
        <strike val="0"/>
        <outline val="0"/>
        <shadow val="0"/>
        <u val="none"/>
        <vertAlign val="baseline"/>
        <sz val="11"/>
        <name val="Calibri"/>
        <family val="2"/>
        <scheme val="none"/>
      </font>
      <numFmt numFmtId="1" formatCode="0"/>
      <fill>
        <patternFill patternType="none">
          <fgColor indexed="64"/>
          <bgColor auto="1"/>
        </patternFill>
      </fill>
      <alignment horizontal="right" vertical="center" textRotation="0" wrapText="0" indent="0" justifyLastLine="0" shrinkToFit="0" readingOrder="0"/>
    </dxf>
    <dxf>
      <font>
        <b val="0"/>
        <i val="0"/>
        <strike val="0"/>
        <condense val="0"/>
        <extend val="0"/>
        <outline val="0"/>
        <shadow val="0"/>
        <u val="none"/>
        <vertAlign val="baseline"/>
        <sz val="10"/>
        <color theme="1"/>
        <name val="Arial"/>
        <family val="2"/>
        <scheme val="minor"/>
      </font>
      <numFmt numFmtId="164" formatCode="&quot;$&quot;#,##0.00"/>
      <fill>
        <patternFill patternType="none">
          <fgColor indexed="64"/>
          <bgColor auto="1"/>
        </patternFill>
      </fill>
      <alignment horizontal="right" vertical="center" textRotation="0" wrapText="0" indent="0" justifyLastLine="0" shrinkToFit="0" readingOrder="0"/>
    </dxf>
    <dxf>
      <font>
        <strike val="0"/>
        <outline val="0"/>
        <shadow val="0"/>
        <u val="none"/>
        <vertAlign val="baseline"/>
        <sz val="11"/>
        <name val="Calibri"/>
        <family val="2"/>
        <scheme val="none"/>
      </font>
      <numFmt numFmtId="164" formatCode="&quot;$&quot;#,##0.00"/>
      <fill>
        <patternFill patternType="none">
          <fgColor indexed="64"/>
          <bgColor auto="1"/>
        </patternFill>
      </fill>
      <alignment horizontal="right" vertical="center" textRotation="0" wrapText="0" indent="0" justifyLastLine="0" shrinkToFit="0" readingOrder="0"/>
    </dxf>
    <dxf>
      <font>
        <b val="0"/>
        <i val="0"/>
        <strike val="0"/>
        <condense val="0"/>
        <extend val="0"/>
        <outline val="0"/>
        <shadow val="0"/>
        <u val="none"/>
        <vertAlign val="baseline"/>
        <sz val="10"/>
        <color theme="1"/>
        <name val="Arial"/>
        <family val="2"/>
        <scheme val="minor"/>
      </font>
      <numFmt numFmtId="1" formatCode="0"/>
      <fill>
        <patternFill patternType="none">
          <fgColor indexed="64"/>
          <bgColor auto="1"/>
        </patternFill>
      </fill>
      <alignment horizontal="right" vertical="center" textRotation="0" wrapText="0" indent="0" justifyLastLine="0" shrinkToFit="0" readingOrder="0"/>
    </dxf>
    <dxf>
      <font>
        <strike val="0"/>
        <outline val="0"/>
        <shadow val="0"/>
        <u val="none"/>
        <vertAlign val="baseline"/>
        <sz val="11"/>
        <name val="Calibri"/>
        <family val="2"/>
        <scheme val="none"/>
      </font>
      <numFmt numFmtId="1" formatCode="0"/>
      <fill>
        <patternFill patternType="none">
          <fgColor indexed="64"/>
          <bgColor auto="1"/>
        </patternFill>
      </fill>
      <alignment horizontal="right" vertical="center" textRotation="0" wrapText="0" indent="0" justifyLastLine="0" shrinkToFit="0" readingOrder="0"/>
    </dxf>
    <dxf>
      <font>
        <b val="0"/>
        <i val="0"/>
        <strike val="0"/>
        <condense val="0"/>
        <extend val="0"/>
        <outline val="0"/>
        <shadow val="0"/>
        <u val="none"/>
        <vertAlign val="baseline"/>
        <sz val="10"/>
        <color theme="1"/>
        <name val="Arial"/>
        <family val="2"/>
        <scheme val="minor"/>
      </font>
      <numFmt numFmtId="164" formatCode="&quot;$&quot;#,##0.00"/>
      <fill>
        <patternFill patternType="none">
          <fgColor indexed="64"/>
          <bgColor indexed="65"/>
        </patternFill>
      </fill>
      <alignment horizontal="right" vertical="center" textRotation="0" wrapText="0" indent="0" justifyLastLine="0" shrinkToFit="0" readingOrder="0"/>
    </dxf>
    <dxf>
      <font>
        <strike val="0"/>
        <outline val="0"/>
        <shadow val="0"/>
        <u val="none"/>
        <vertAlign val="baseline"/>
        <sz val="11"/>
        <name val="Calibri"/>
        <family val="2"/>
        <scheme val="none"/>
      </font>
      <numFmt numFmtId="164" formatCode="&quot;$&quot;#,##0.00"/>
      <fill>
        <patternFill patternType="none">
          <fgColor indexed="64"/>
          <bgColor auto="1"/>
        </patternFill>
      </fill>
      <alignment horizontal="right" vertical="center" textRotation="0" wrapText="0" indent="0" justifyLastLine="0" shrinkToFit="0" readingOrder="0"/>
    </dxf>
    <dxf>
      <font>
        <b val="0"/>
        <i val="0"/>
        <strike val="0"/>
        <condense val="0"/>
        <extend val="0"/>
        <outline val="0"/>
        <shadow val="0"/>
        <u val="none"/>
        <vertAlign val="baseline"/>
        <sz val="11"/>
        <color theme="1"/>
        <name val="Calibri"/>
        <family val="2"/>
        <scheme val="none"/>
      </font>
      <numFmt numFmtId="19" formatCode="yyyy/mm/dd"/>
      <fill>
        <patternFill patternType="none">
          <fgColor indexed="64"/>
          <bgColor auto="1"/>
        </patternFill>
      </fill>
      <alignment horizontal="right" vertical="center" textRotation="0" wrapText="0" indent="0" justifyLastLine="0" shrinkToFit="0" readingOrder="0"/>
    </dxf>
    <dxf>
      <font>
        <strike val="0"/>
        <outline val="0"/>
        <shadow val="0"/>
        <u val="none"/>
        <vertAlign val="baseline"/>
        <sz val="11"/>
        <name val="Calibri"/>
        <family val="2"/>
        <scheme val="none"/>
      </font>
      <numFmt numFmtId="19" formatCode="yyyy/mm/dd"/>
      <fill>
        <patternFill patternType="none">
          <fgColor indexed="64"/>
          <bgColor auto="1"/>
        </patternFill>
      </fill>
      <alignment horizontal="right" vertical="center" textRotation="0" wrapText="0" indent="0" justifyLastLine="0" shrinkToFit="0" readingOrder="0"/>
    </dxf>
    <dxf>
      <font>
        <b val="0"/>
        <i val="0"/>
        <strike val="0"/>
        <condense val="0"/>
        <extend val="0"/>
        <outline val="0"/>
        <shadow val="0"/>
        <u val="none"/>
        <vertAlign val="baseline"/>
        <sz val="11"/>
        <color theme="1"/>
        <name val="Calibri"/>
        <family val="2"/>
        <scheme val="none"/>
      </font>
      <numFmt numFmtId="19" formatCode="yyyy/mm/dd"/>
      <fill>
        <patternFill patternType="none">
          <fgColor indexed="64"/>
          <bgColor auto="1"/>
        </patternFill>
      </fill>
      <alignment horizontal="right" vertical="center" textRotation="0" wrapText="0" indent="0" justifyLastLine="0" shrinkToFit="0" readingOrder="0"/>
    </dxf>
    <dxf>
      <font>
        <strike val="0"/>
        <outline val="0"/>
        <shadow val="0"/>
        <u val="none"/>
        <vertAlign val="baseline"/>
        <sz val="11"/>
        <name val="Calibri"/>
        <family val="2"/>
        <scheme val="none"/>
      </font>
      <numFmt numFmtId="19" formatCode="yyyy/mm/dd"/>
      <fill>
        <patternFill patternType="none">
          <fgColor indexed="64"/>
          <bgColor auto="1"/>
        </patternFill>
      </fill>
      <alignment horizontal="right" vertical="center" textRotation="0" wrapText="0" indent="0" justifyLastLine="0" shrinkToFit="0" readingOrder="0"/>
    </dxf>
    <dxf>
      <font>
        <b val="0"/>
        <i val="0"/>
        <strike val="0"/>
        <condense val="0"/>
        <extend val="0"/>
        <outline val="0"/>
        <shadow val="0"/>
        <u val="none"/>
        <vertAlign val="baseline"/>
        <sz val="10"/>
        <color theme="1"/>
        <name val="Arial"/>
        <family val="2"/>
        <scheme val="minor"/>
      </font>
      <numFmt numFmtId="1" formatCode="0"/>
      <fill>
        <patternFill patternType="none">
          <fgColor indexed="64"/>
          <bgColor auto="1"/>
        </patternFill>
      </fill>
      <alignment horizontal="left" vertical="center" textRotation="0" wrapText="0" indent="0" justifyLastLine="0" shrinkToFit="0" readingOrder="0"/>
    </dxf>
    <dxf>
      <font>
        <strike val="0"/>
        <outline val="0"/>
        <shadow val="0"/>
        <u val="none"/>
        <vertAlign val="baseline"/>
        <sz val="11"/>
        <name val="Calibri"/>
        <family val="2"/>
        <scheme val="none"/>
      </font>
      <numFmt numFmtId="1" formatCode="0"/>
      <fill>
        <patternFill patternType="none">
          <fgColor indexed="64"/>
          <bgColor auto="1"/>
        </patternFill>
      </fill>
      <alignment horizontal="left" vertical="center" textRotation="0" wrapText="0" indent="0" justifyLastLine="0" shrinkToFit="0" readingOrder="0"/>
    </dxf>
    <dxf>
      <font>
        <b val="0"/>
        <i val="0"/>
        <strike val="0"/>
        <condense val="0"/>
        <extend val="0"/>
        <outline val="0"/>
        <shadow val="0"/>
        <u val="none"/>
        <vertAlign val="baseline"/>
        <sz val="10"/>
        <color theme="1"/>
        <name val="Arial"/>
        <family val="2"/>
        <scheme val="minor"/>
      </font>
      <numFmt numFmtId="30" formatCode="@"/>
      <fill>
        <patternFill patternType="none">
          <fgColor indexed="64"/>
          <bgColor auto="1"/>
        </patternFill>
      </fill>
      <alignment horizontal="left" vertical="center" textRotation="0" wrapText="0" indent="0" justifyLastLine="0" shrinkToFit="0" readingOrder="0"/>
    </dxf>
    <dxf>
      <font>
        <strike val="0"/>
        <outline val="0"/>
        <shadow val="0"/>
        <u val="none"/>
        <vertAlign val="baseline"/>
        <sz val="11"/>
        <name val="Calibri"/>
        <family val="2"/>
        <scheme val="none"/>
      </font>
      <numFmt numFmtId="30" formatCode="@"/>
      <fill>
        <patternFill patternType="none">
          <fgColor indexed="64"/>
          <bgColor auto="1"/>
        </patternFill>
      </fill>
      <alignment horizontal="left" vertical="center" textRotation="0" wrapText="0" indent="0" justifyLastLine="0" shrinkToFit="0" readingOrder="0"/>
    </dxf>
    <dxf>
      <font>
        <b val="0"/>
        <i val="0"/>
        <strike val="0"/>
        <condense val="0"/>
        <extend val="0"/>
        <outline val="0"/>
        <shadow val="0"/>
        <u val="none"/>
        <vertAlign val="baseline"/>
        <sz val="10"/>
        <color theme="1"/>
        <name val="Arial"/>
        <family val="2"/>
        <scheme val="minor"/>
      </font>
      <numFmt numFmtId="30" formatCode="@"/>
      <fill>
        <patternFill patternType="none">
          <fgColor indexed="64"/>
          <bgColor auto="1"/>
        </patternFill>
      </fill>
      <alignment horizontal="left" vertical="center" textRotation="0" wrapText="0" indent="0" justifyLastLine="0" shrinkToFit="0" readingOrder="0"/>
    </dxf>
    <dxf>
      <font>
        <strike val="0"/>
        <outline val="0"/>
        <shadow val="0"/>
        <u val="none"/>
        <vertAlign val="baseline"/>
        <sz val="11"/>
        <name val="Calibri"/>
        <family val="2"/>
        <scheme val="none"/>
      </font>
      <numFmt numFmtId="30" formatCode="@"/>
      <fill>
        <patternFill patternType="none">
          <fgColor indexed="64"/>
          <bgColor auto="1"/>
        </patternFill>
      </fill>
      <alignment horizontal="left" vertical="center" textRotation="0" wrapText="0" indent="0" justifyLastLine="0" shrinkToFit="0" readingOrder="0"/>
    </dxf>
    <dxf>
      <font>
        <b val="0"/>
        <i val="0"/>
        <strike val="0"/>
        <condense val="0"/>
        <extend val="0"/>
        <outline val="0"/>
        <shadow val="0"/>
        <u val="none"/>
        <vertAlign val="baseline"/>
        <sz val="10"/>
        <color theme="1"/>
        <name val="Arial"/>
        <family val="2"/>
        <scheme val="minor"/>
      </font>
      <numFmt numFmtId="30" formatCode="@"/>
      <fill>
        <patternFill patternType="none">
          <fgColor indexed="64"/>
          <bgColor auto="1"/>
        </patternFill>
      </fill>
      <alignment horizontal="left" vertical="center" textRotation="0" wrapText="0" indent="0" justifyLastLine="0" shrinkToFit="0" readingOrder="0"/>
    </dxf>
    <dxf>
      <font>
        <strike val="0"/>
        <outline val="0"/>
        <shadow val="0"/>
        <u val="none"/>
        <vertAlign val="baseline"/>
        <sz val="11"/>
        <name val="Calibri"/>
        <family val="2"/>
        <scheme val="none"/>
      </font>
      <numFmt numFmtId="30" formatCode="@"/>
      <fill>
        <patternFill patternType="none">
          <fgColor indexed="64"/>
          <bgColor auto="1"/>
        </patternFill>
      </fill>
      <alignment horizontal="left" vertical="center" textRotation="0" wrapText="0" indent="0" justifyLastLine="0" shrinkToFit="0" readingOrder="0"/>
    </dxf>
    <dxf>
      <font>
        <b val="0"/>
        <i val="0"/>
        <strike val="0"/>
        <condense val="0"/>
        <extend val="0"/>
        <outline val="0"/>
        <shadow val="0"/>
        <u val="none"/>
        <vertAlign val="baseline"/>
        <sz val="10"/>
        <color theme="1"/>
        <name val="Arial"/>
        <family val="2"/>
        <scheme val="minor"/>
      </font>
      <numFmt numFmtId="30" formatCode="@"/>
      <fill>
        <patternFill patternType="none">
          <fgColor indexed="64"/>
          <bgColor auto="1"/>
        </patternFill>
      </fill>
      <alignment horizontal="left" vertical="center" textRotation="0" wrapText="0" indent="0" justifyLastLine="0" shrinkToFit="0" readingOrder="0"/>
    </dxf>
    <dxf>
      <font>
        <strike val="0"/>
        <outline val="0"/>
        <shadow val="0"/>
        <u val="none"/>
        <vertAlign val="baseline"/>
        <sz val="11"/>
        <name val="Calibri"/>
        <family val="2"/>
        <scheme val="none"/>
      </font>
      <numFmt numFmtId="30" formatCode="@"/>
      <fill>
        <patternFill patternType="none">
          <fgColor indexed="64"/>
          <bgColor auto="1"/>
        </patternFill>
      </fill>
      <alignment horizontal="left" vertical="center" textRotation="0" wrapText="0" indent="0" justifyLastLine="0" shrinkToFit="0" readingOrder="0"/>
    </dxf>
    <dxf>
      <font>
        <b val="0"/>
        <i val="0"/>
        <strike val="0"/>
        <condense val="0"/>
        <extend val="0"/>
        <outline val="0"/>
        <shadow val="0"/>
        <u val="none"/>
        <vertAlign val="baseline"/>
        <sz val="10"/>
        <color theme="1"/>
        <name val="Arial"/>
        <family val="2"/>
        <scheme val="minor"/>
      </font>
      <fill>
        <patternFill patternType="none">
          <fgColor indexed="64"/>
          <bgColor auto="1"/>
        </patternFill>
      </fill>
      <alignment horizontal="right" vertical="center" textRotation="0" wrapText="0" indent="0" justifyLastLine="0" shrinkToFit="0" readingOrder="0"/>
    </dxf>
    <dxf>
      <font>
        <strike val="0"/>
        <outline val="0"/>
        <shadow val="0"/>
        <u val="none"/>
        <vertAlign val="baseline"/>
        <sz val="11"/>
        <name val="Calibri"/>
        <family val="2"/>
        <scheme val="none"/>
      </font>
      <fill>
        <patternFill patternType="none">
          <fgColor indexed="64"/>
          <bgColor auto="1"/>
        </patternFill>
      </fill>
      <alignment horizontal="right" vertical="center" textRotation="0" wrapText="0" indent="0" justifyLastLine="0" shrinkToFit="0" readingOrder="0"/>
    </dxf>
    <dxf>
      <font>
        <b val="0"/>
        <i val="0"/>
        <strike val="0"/>
        <condense val="0"/>
        <extend val="0"/>
        <outline val="0"/>
        <shadow val="0"/>
        <u val="none"/>
        <vertAlign val="baseline"/>
        <sz val="10"/>
        <color theme="1"/>
        <name val="Arial"/>
        <family val="2"/>
        <scheme val="minor"/>
      </font>
      <fill>
        <patternFill patternType="none">
          <fgColor indexed="64"/>
          <bgColor auto="1"/>
        </patternFill>
      </fill>
      <alignment horizontal="left" vertical="center" textRotation="0" wrapText="0" indent="0" justifyLastLine="0" shrinkToFit="0" readingOrder="0"/>
    </dxf>
    <dxf>
      <font>
        <strike val="0"/>
        <outline val="0"/>
        <shadow val="0"/>
        <u val="none"/>
        <vertAlign val="baseline"/>
        <sz val="11"/>
        <name val="Calibri"/>
        <family val="2"/>
        <scheme val="none"/>
      </font>
      <fill>
        <patternFill patternType="none">
          <fgColor indexed="64"/>
          <bgColor auto="1"/>
        </patternFill>
      </fill>
      <alignment horizontal="left" vertical="center" textRotation="0" wrapText="0" indent="0" justifyLastLine="0" shrinkToFit="0" readingOrder="0"/>
    </dxf>
    <dxf>
      <font>
        <b val="0"/>
        <i val="0"/>
        <strike val="0"/>
        <condense val="0"/>
        <extend val="0"/>
        <outline val="0"/>
        <shadow val="0"/>
        <u val="none"/>
        <vertAlign val="baseline"/>
        <sz val="10"/>
        <color theme="1"/>
        <name val="Arial"/>
        <family val="2"/>
        <scheme val="minor"/>
      </font>
      <numFmt numFmtId="30" formatCode="@"/>
      <fill>
        <patternFill patternType="none">
          <fgColor indexed="64"/>
          <bgColor auto="1"/>
        </patternFill>
      </fill>
      <alignment horizontal="left" vertical="center" textRotation="0" wrapText="0" indent="0" justifyLastLine="0" shrinkToFit="0" readingOrder="0"/>
    </dxf>
    <dxf>
      <font>
        <strike val="0"/>
        <outline val="0"/>
        <shadow val="0"/>
        <u val="none"/>
        <vertAlign val="baseline"/>
        <sz val="11"/>
        <name val="Calibri"/>
        <family val="2"/>
        <scheme val="none"/>
      </font>
      <numFmt numFmtId="30" formatCode="@"/>
      <fill>
        <patternFill patternType="none">
          <fgColor indexed="64"/>
          <bgColor auto="1"/>
        </patternFill>
      </fill>
      <alignment horizontal="left" vertical="center" textRotation="0" wrapText="0" indent="0" justifyLastLine="0" shrinkToFit="0" readingOrder="0"/>
    </dxf>
    <dxf>
      <font>
        <b val="0"/>
        <i val="0"/>
        <strike val="0"/>
        <condense val="0"/>
        <extend val="0"/>
        <outline val="0"/>
        <shadow val="0"/>
        <u val="none"/>
        <vertAlign val="baseline"/>
        <sz val="10"/>
        <color theme="1"/>
        <name val="Arial"/>
        <family val="2"/>
        <scheme val="minor"/>
      </font>
      <numFmt numFmtId="30" formatCode="@"/>
      <fill>
        <patternFill patternType="none">
          <fgColor indexed="64"/>
          <bgColor auto="1"/>
        </patternFill>
      </fill>
      <alignment horizontal="left" vertical="center" textRotation="0" wrapText="0" indent="0" justifyLastLine="0" shrinkToFit="0" readingOrder="0"/>
    </dxf>
    <dxf>
      <font>
        <strike val="0"/>
        <outline val="0"/>
        <shadow val="0"/>
        <u val="none"/>
        <vertAlign val="baseline"/>
        <sz val="11"/>
        <name val="Calibri"/>
        <family val="2"/>
        <scheme val="none"/>
      </font>
      <numFmt numFmtId="30" formatCode="@"/>
      <fill>
        <patternFill patternType="none">
          <fgColor indexed="64"/>
          <bgColor auto="1"/>
        </patternFill>
      </fill>
      <alignment horizontal="left" vertical="center" textRotation="0" wrapText="0" indent="0" justifyLastLine="0" shrinkToFit="0" readingOrder="0"/>
    </dxf>
    <dxf>
      <font>
        <b val="0"/>
        <i val="0"/>
        <strike val="0"/>
        <condense val="0"/>
        <extend val="0"/>
        <outline val="0"/>
        <shadow val="0"/>
        <u val="none"/>
        <vertAlign val="baseline"/>
        <sz val="10"/>
        <color theme="1"/>
        <name val="Arial"/>
        <family val="2"/>
        <scheme val="minor"/>
      </font>
      <numFmt numFmtId="30" formatCode="@"/>
      <fill>
        <patternFill patternType="none">
          <fgColor indexed="64"/>
          <bgColor auto="1"/>
        </patternFill>
      </fill>
      <alignment horizontal="left" vertical="center" textRotation="0" wrapText="0" indent="0" justifyLastLine="0" shrinkToFit="0" readingOrder="0"/>
    </dxf>
    <dxf>
      <font>
        <strike val="0"/>
        <outline val="0"/>
        <shadow val="0"/>
        <u val="none"/>
        <vertAlign val="baseline"/>
        <sz val="11"/>
        <name val="Calibri"/>
        <family val="2"/>
        <scheme val="none"/>
      </font>
      <numFmt numFmtId="30" formatCode="@"/>
      <fill>
        <patternFill patternType="none">
          <fgColor indexed="64"/>
          <bgColor auto="1"/>
        </patternFill>
      </fill>
      <alignment horizontal="left" vertical="center" textRotation="0" wrapText="0" indent="0" justifyLastLine="0" shrinkToFit="0" readingOrder="0"/>
    </dxf>
    <dxf>
      <font>
        <b val="0"/>
        <i val="0"/>
        <strike val="0"/>
        <condense val="0"/>
        <extend val="0"/>
        <outline val="0"/>
        <shadow val="0"/>
        <u val="none"/>
        <vertAlign val="baseline"/>
        <sz val="10"/>
        <color theme="1"/>
        <name val="Arial"/>
        <family val="2"/>
        <scheme val="minor"/>
      </font>
      <numFmt numFmtId="30" formatCode="@"/>
      <fill>
        <patternFill patternType="none">
          <fgColor indexed="64"/>
          <bgColor auto="1"/>
        </patternFill>
      </fill>
      <alignment horizontal="left" vertical="center" textRotation="0" wrapText="0" indent="0" justifyLastLine="0" shrinkToFit="0" readingOrder="0"/>
    </dxf>
    <dxf>
      <font>
        <strike val="0"/>
        <outline val="0"/>
        <shadow val="0"/>
        <u val="none"/>
        <vertAlign val="baseline"/>
        <sz val="11"/>
        <name val="Calibri"/>
        <family val="2"/>
        <scheme val="none"/>
      </font>
      <numFmt numFmtId="30" formatCode="@"/>
      <fill>
        <patternFill patternType="none">
          <fgColor indexed="64"/>
          <bgColor auto="1"/>
        </patternFill>
      </fill>
      <alignment horizontal="left" vertical="center" textRotation="0" wrapText="0" indent="0" justifyLastLine="0" shrinkToFit="0" readingOrder="0"/>
    </dxf>
    <dxf>
      <font>
        <b val="0"/>
        <i val="0"/>
        <strike val="0"/>
        <condense val="0"/>
        <extend val="0"/>
        <outline val="0"/>
        <shadow val="0"/>
        <u val="none"/>
        <vertAlign val="baseline"/>
        <sz val="10"/>
        <color theme="1"/>
        <name val="Arial"/>
        <family val="2"/>
        <scheme val="minor"/>
      </font>
      <numFmt numFmtId="30" formatCode="@"/>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11"/>
        <name val="Calibri"/>
        <family val="2"/>
        <scheme val="none"/>
      </font>
      <numFmt numFmtId="30" formatCode="@"/>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0"/>
        <color theme="1"/>
        <name val="Arial"/>
        <family val="2"/>
        <scheme val="minor"/>
      </font>
      <numFmt numFmtId="164" formatCode="&quot;$&quot;#,##0.00"/>
      <fill>
        <patternFill patternType="none">
          <fgColor indexed="64"/>
          <bgColor indexed="65"/>
        </patternFill>
      </fill>
      <alignment horizontal="right" vertical="center" textRotation="0" wrapText="0" indent="0" justifyLastLine="0" shrinkToFit="0" readingOrder="0"/>
    </dxf>
    <dxf>
      <font>
        <strike val="0"/>
        <outline val="0"/>
        <shadow val="0"/>
        <u val="none"/>
        <vertAlign val="baseline"/>
        <sz val="11"/>
        <name val="Calibri"/>
        <family val="2"/>
        <scheme val="none"/>
      </font>
      <numFmt numFmtId="164" formatCode="&quot;$&quot;#,##0.00"/>
      <fill>
        <patternFill patternType="none">
          <fgColor indexed="64"/>
          <bgColor auto="1"/>
        </patternFill>
      </fill>
      <alignment horizontal="right" vertical="center" textRotation="0" wrapText="0" indent="0" justifyLastLine="0" shrinkToFit="0" readingOrder="0"/>
    </dxf>
    <dxf>
      <font>
        <b val="0"/>
        <i val="0"/>
        <strike val="0"/>
        <condense val="0"/>
        <extend val="0"/>
        <outline val="0"/>
        <shadow val="0"/>
        <u val="none"/>
        <vertAlign val="baseline"/>
        <sz val="10"/>
        <color theme="1"/>
        <name val="Arial"/>
        <family val="2"/>
        <scheme val="minor"/>
      </font>
      <numFmt numFmtId="164" formatCode="&quot;$&quot;#,##0.00"/>
      <fill>
        <patternFill patternType="none">
          <fgColor indexed="64"/>
          <bgColor auto="1"/>
        </patternFill>
      </fill>
      <alignment horizontal="right" vertical="center" textRotation="0" wrapText="0" indent="0" justifyLastLine="0" shrinkToFit="0" readingOrder="0"/>
    </dxf>
    <dxf>
      <font>
        <strike val="0"/>
        <outline val="0"/>
        <shadow val="0"/>
        <u val="none"/>
        <vertAlign val="baseline"/>
        <sz val="11"/>
        <name val="Calibri"/>
        <family val="2"/>
        <scheme val="none"/>
      </font>
      <numFmt numFmtId="164" formatCode="&quot;$&quot;#,##0.00"/>
      <fill>
        <patternFill patternType="none">
          <fgColor indexed="64"/>
          <bgColor auto="1"/>
        </patternFill>
      </fill>
      <alignment horizontal="right" vertical="center" textRotation="0" wrapText="0" indent="0" justifyLastLine="0" shrinkToFit="0" readingOrder="0"/>
    </dxf>
    <dxf>
      <font>
        <b val="0"/>
        <i val="0"/>
        <strike val="0"/>
        <condense val="0"/>
        <extend val="0"/>
        <outline val="0"/>
        <shadow val="0"/>
        <u val="none"/>
        <vertAlign val="baseline"/>
        <sz val="10"/>
        <color theme="1"/>
        <name val="Arial"/>
        <family val="2"/>
        <scheme val="minor"/>
      </font>
      <numFmt numFmtId="4" formatCode="#,##0.00"/>
      <fill>
        <patternFill patternType="none">
          <fgColor indexed="64"/>
          <bgColor auto="1"/>
        </patternFill>
      </fill>
      <alignment horizontal="right" vertical="center" textRotation="0" wrapText="0" indent="0" justifyLastLine="0" shrinkToFit="0" readingOrder="0"/>
    </dxf>
    <dxf>
      <font>
        <strike val="0"/>
        <outline val="0"/>
        <shadow val="0"/>
        <u val="none"/>
        <vertAlign val="baseline"/>
        <sz val="11"/>
        <name val="Calibri"/>
        <family val="2"/>
        <scheme val="none"/>
      </font>
      <numFmt numFmtId="4" formatCode="#,##0.00"/>
      <fill>
        <patternFill patternType="none">
          <fgColor indexed="64"/>
          <bgColor auto="1"/>
        </patternFill>
      </fill>
      <alignment horizontal="right" vertical="center" textRotation="0" wrapText="0" indent="0" justifyLastLine="0" shrinkToFit="0" readingOrder="0"/>
    </dxf>
    <dxf>
      <font>
        <b val="0"/>
        <i val="0"/>
        <strike val="0"/>
        <condense val="0"/>
        <extend val="0"/>
        <outline val="0"/>
        <shadow val="0"/>
        <u val="none"/>
        <vertAlign val="baseline"/>
        <sz val="10"/>
        <color theme="1"/>
        <name val="Arial"/>
        <family val="2"/>
        <scheme val="minor"/>
      </font>
      <numFmt numFmtId="30" formatCode="@"/>
      <fill>
        <patternFill patternType="none">
          <fgColor indexed="64"/>
          <bgColor auto="1"/>
        </patternFill>
      </fill>
      <alignment horizontal="left" vertical="center" textRotation="0" wrapText="0" indent="0" justifyLastLine="0" shrinkToFit="0" readingOrder="0"/>
    </dxf>
    <dxf>
      <font>
        <strike val="0"/>
        <outline val="0"/>
        <shadow val="0"/>
        <u val="none"/>
        <vertAlign val="baseline"/>
        <sz val="11"/>
        <name val="Calibri"/>
        <family val="2"/>
        <scheme val="none"/>
      </font>
      <numFmt numFmtId="30" formatCode="@"/>
      <fill>
        <patternFill patternType="none">
          <fgColor indexed="64"/>
          <bgColor auto="1"/>
        </patternFill>
      </fill>
      <alignment horizontal="left" vertical="center" textRotation="0" wrapText="0" indent="0" justifyLastLine="0" shrinkToFit="0" readingOrder="0"/>
    </dxf>
    <dxf>
      <font>
        <b val="0"/>
        <i val="0"/>
        <strike val="0"/>
        <condense val="0"/>
        <extend val="0"/>
        <outline val="0"/>
        <shadow val="0"/>
        <u val="none"/>
        <vertAlign val="baseline"/>
        <sz val="10"/>
        <color theme="1"/>
        <name val="Arial"/>
        <family val="2"/>
        <scheme val="minor"/>
      </font>
      <numFmt numFmtId="30" formatCode="@"/>
      <fill>
        <patternFill patternType="none">
          <fgColor indexed="64"/>
          <bgColor auto="1"/>
        </patternFill>
      </fill>
      <alignment horizontal="left" vertical="center" textRotation="0" wrapText="0" indent="0" justifyLastLine="0" shrinkToFit="0" readingOrder="0"/>
    </dxf>
    <dxf>
      <font>
        <strike val="0"/>
        <outline val="0"/>
        <shadow val="0"/>
        <u val="none"/>
        <vertAlign val="baseline"/>
        <sz val="11"/>
        <name val="Calibri"/>
        <family val="2"/>
        <scheme val="none"/>
      </font>
      <numFmt numFmtId="30" formatCode="@"/>
      <fill>
        <patternFill patternType="none">
          <fgColor indexed="64"/>
          <bgColor auto="1"/>
        </patternFill>
      </fill>
      <alignment horizontal="left" vertical="center" textRotation="0" wrapText="0" indent="0" justifyLastLine="0" shrinkToFit="0" readingOrder="0"/>
    </dxf>
    <dxf>
      <font>
        <b val="0"/>
        <i val="0"/>
        <strike val="0"/>
        <condense val="0"/>
        <extend val="0"/>
        <outline val="0"/>
        <shadow val="0"/>
        <u val="none"/>
        <vertAlign val="baseline"/>
        <sz val="10"/>
        <color theme="1"/>
        <name val="Arial"/>
        <family val="2"/>
        <scheme val="minor"/>
      </font>
      <numFmt numFmtId="1" formatCode="0"/>
      <fill>
        <patternFill patternType="none">
          <fgColor indexed="64"/>
          <bgColor auto="1"/>
        </patternFill>
      </fill>
      <alignment horizontal="right" vertical="center" textRotation="0" wrapText="0" indent="0" justifyLastLine="0" shrinkToFit="0" readingOrder="0"/>
    </dxf>
    <dxf>
      <font>
        <strike val="0"/>
        <outline val="0"/>
        <shadow val="0"/>
        <u val="none"/>
        <vertAlign val="baseline"/>
        <sz val="11"/>
        <name val="Calibri"/>
        <family val="2"/>
        <scheme val="none"/>
      </font>
      <numFmt numFmtId="1" formatCode="0"/>
      <fill>
        <patternFill patternType="none">
          <fgColor indexed="64"/>
          <bgColor auto="1"/>
        </patternFill>
      </fill>
      <alignment horizontal="right"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11"/>
        <name val="Calibri"/>
        <family val="2"/>
        <scheme val="none"/>
      </font>
      <fill>
        <patternFill patternType="none">
          <fgColor indexed="64"/>
          <bgColor auto="1"/>
        </patternFill>
      </fill>
      <alignment horizontal="center" vertical="center" textRotation="0" wrapText="0" indent="0" justifyLastLine="0" shrinkToFit="0" readingOrder="0"/>
    </dxf>
    <dxf>
      <font>
        <b/>
        <strike val="0"/>
        <outline val="0"/>
        <shadow val="0"/>
        <u val="none"/>
        <vertAlign val="baseline"/>
        <sz val="10"/>
        <color theme="1"/>
        <name val="Arial"/>
        <family val="2"/>
        <scheme val="minor"/>
      </font>
      <fill>
        <patternFill patternType="none">
          <fgColor indexed="64"/>
          <bgColor auto="1"/>
        </patternFill>
      </fill>
      <alignment horizontal="left" vertical="center" textRotation="0" wrapText="0" indent="0" justifyLastLine="0" shrinkToFit="0" readingOrder="0"/>
    </dxf>
    <dxf>
      <font>
        <color rgb="FF9C0006"/>
      </font>
      <fill>
        <patternFill>
          <bgColor rgb="FFFFC7CE"/>
        </patternFill>
      </fill>
    </dxf>
    <dxf>
      <border>
        <right style="medium">
          <color indexed="64"/>
        </right>
      </border>
    </dxf>
    <dxf>
      <border>
        <right style="medium">
          <color indexed="64"/>
        </right>
      </border>
    </dxf>
    <dxf>
      <border>
        <right style="medium">
          <color indexed="64"/>
        </right>
      </border>
    </dxf>
    <dxf>
      <border>
        <right style="medium">
          <color indexed="64"/>
        </right>
      </border>
    </dxf>
    <dxf>
      <border>
        <right style="medium">
          <color indexed="64"/>
        </right>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font>
        <sz val="11"/>
      </font>
    </dxf>
    <dxf>
      <font>
        <sz val="11"/>
      </font>
    </dxf>
    <dxf>
      <font>
        <sz val="11"/>
      </font>
    </dxf>
    <dxf>
      <font>
        <sz val="11"/>
      </font>
    </dxf>
    <dxf>
      <font>
        <sz val="11"/>
      </font>
    </dxf>
    <dxf>
      <numFmt numFmtId="168" formatCode="&quot;$&quot;#,##0"/>
    </dxf>
    <dxf>
      <numFmt numFmtId="168" formatCode="&quot;$&quot;#,##0"/>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ill>
        <patternFill patternType="solid">
          <bgColor theme="2" tint="-4.9989318521683403E-2"/>
        </patternFill>
      </fill>
    </dxf>
    <dxf>
      <fill>
        <patternFill patternType="solid">
          <bgColor theme="2" tint="-4.9989318521683403E-2"/>
        </patternFill>
      </fill>
    </dxf>
    <dxf>
      <fill>
        <patternFill patternType="solid">
          <bgColor theme="2" tint="-4.9989318521683403E-2"/>
        </patternFill>
      </fill>
    </dxf>
    <dxf>
      <fill>
        <patternFill patternType="solid">
          <bgColor theme="2" tint="-4.9989318521683403E-2"/>
        </patternFill>
      </fill>
    </dxf>
    <dxf>
      <fill>
        <patternFill patternType="solid">
          <bgColor theme="2" tint="-4.9989318521683403E-2"/>
        </patternFill>
      </fill>
    </dxf>
    <dxf>
      <fill>
        <patternFill patternType="solid">
          <bgColor theme="2" tint="-4.9989318521683403E-2"/>
        </patternFill>
      </fill>
    </dxf>
    <dxf>
      <fill>
        <patternFill patternType="solid">
          <bgColor theme="2" tint="-4.9989318521683403E-2"/>
        </patternFill>
      </fill>
    </dxf>
    <dxf>
      <fill>
        <patternFill patternType="solid">
          <bgColor theme="2" tint="-4.9989318521683403E-2"/>
        </patternFill>
      </fill>
    </dxf>
    <dxf>
      <fill>
        <patternFill patternType="solid">
          <bgColor theme="2" tint="-4.9989318521683403E-2"/>
        </patternFill>
      </fill>
    </dxf>
    <dxf>
      <fill>
        <patternFill patternType="solid">
          <bgColor theme="2" tint="-4.9989318521683403E-2"/>
        </patternFill>
      </fill>
    </dxf>
    <dxf>
      <fill>
        <patternFill patternType="solid">
          <bgColor theme="2" tint="-4.9989318521683403E-2"/>
        </patternFill>
      </fill>
    </dxf>
    <dxf>
      <fill>
        <patternFill patternType="solid">
          <bgColor theme="2" tint="-4.9989318521683403E-2"/>
        </patternFill>
      </fill>
    </dxf>
    <dxf>
      <fill>
        <patternFill patternType="solid">
          <bgColor theme="2" tint="-4.9989318521683403E-2"/>
        </patternFill>
      </fill>
    </dxf>
    <dxf>
      <fill>
        <patternFill patternType="solid">
          <bgColor theme="2" tint="-4.9989318521683403E-2"/>
        </patternFill>
      </fill>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font>
        <sz val="11"/>
      </font>
    </dxf>
    <dxf>
      <font>
        <sz val="11"/>
      </font>
    </dxf>
    <dxf>
      <font>
        <sz val="11"/>
      </font>
    </dxf>
    <dxf>
      <font>
        <sz val="11"/>
      </font>
    </dxf>
    <dxf>
      <font>
        <sz val="11"/>
      </font>
    </dxf>
    <dxf>
      <font>
        <sz val="11"/>
      </font>
    </dxf>
    <dxf>
      <font>
        <sz val="11"/>
      </font>
    </dxf>
    <dxf>
      <font>
        <sz val="11"/>
      </font>
    </dxf>
    <dxf>
      <font>
        <sz val="11"/>
      </font>
    </dxf>
    <dxf>
      <font>
        <name val="Avenir Next LT Pro"/>
        <scheme val="none"/>
      </font>
    </dxf>
    <dxf>
      <font>
        <name val="Avenir Next LT Pro"/>
        <scheme val="none"/>
      </font>
    </dxf>
    <dxf>
      <font>
        <name val="Avenir Next LT Pro"/>
        <scheme val="none"/>
      </font>
    </dxf>
    <dxf>
      <font>
        <name val="Avenir Next LT Pro"/>
        <scheme val="none"/>
      </font>
    </dxf>
    <dxf>
      <font>
        <name val="Avenir Next LT Pro"/>
        <scheme val="none"/>
      </font>
    </dxf>
    <dxf>
      <font>
        <name val="Avenir Next LT Pro"/>
        <scheme val="none"/>
      </font>
    </dxf>
    <dxf>
      <font>
        <name val="Avenir Next LT Pro"/>
        <scheme val="none"/>
      </font>
    </dxf>
    <dxf>
      <font>
        <name val="Avenir Next LT Pro"/>
        <scheme val="none"/>
      </font>
    </dxf>
    <dxf>
      <font>
        <name val="Avenir Next LT Pro"/>
        <scheme val="none"/>
      </font>
    </dxf>
    <dxf>
      <numFmt numFmtId="19" formatCode="yyyy/mm/dd"/>
    </dxf>
    <dxf>
      <numFmt numFmtId="165" formatCode="_-* #,##0_-;\-* #,##0_-;_-* &quot;-&quot;??_-;_-@_-"/>
    </dxf>
    <dxf>
      <numFmt numFmtId="165" formatCode="_-* #,##0_-;\-* #,##0_-;_-* &quot;-&quot;??_-;_-@_-"/>
    </dxf>
    <dxf>
      <alignment horizontal="center"/>
    </dxf>
    <dxf>
      <alignment horizontal="center"/>
    </dxf>
    <dxf>
      <alignment horizontal="right"/>
    </dxf>
    <dxf>
      <alignment horizontal="right"/>
    </dxf>
    <dxf>
      <alignment horizontal="right"/>
    </dxf>
    <dxf>
      <alignment horizontal="right"/>
    </dxf>
    <dxf>
      <font>
        <sz val="11"/>
      </font>
    </dxf>
    <dxf>
      <font>
        <sz val="11"/>
      </font>
    </dxf>
    <dxf>
      <font>
        <sz val="11"/>
      </font>
    </dxf>
    <dxf>
      <font>
        <sz val="11"/>
      </font>
    </dxf>
    <dxf>
      <font>
        <sz val="11"/>
      </fon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alignment relativeIndent="1"/>
    </dxf>
    <dxf>
      <alignment relativeIndent="1"/>
    </dxf>
    <dxf>
      <alignment horizontal="left" relativeIndent="1"/>
    </dxf>
    <dxf>
      <alignment horizontal="left" relativeIndent="1"/>
    </dxf>
    <dxf>
      <alignment vertical="center" indent="0"/>
    </dxf>
    <dxf>
      <alignment vertical="center" indent="0"/>
    </dxf>
    <dxf>
      <font>
        <name val="Avenir Next LT Pro"/>
        <scheme val="none"/>
      </font>
    </dxf>
    <dxf>
      <font>
        <name val="Avenir Next LT Pro"/>
        <scheme val="none"/>
      </font>
    </dxf>
    <dxf>
      <font>
        <name val="Avenir Next LT Pro"/>
        <scheme val="none"/>
      </font>
    </dxf>
    <dxf>
      <font>
        <name val="Avenir Next LT Pro"/>
        <scheme val="none"/>
      </font>
    </dxf>
    <dxf>
      <font>
        <name val="Avenir Next LT Pro"/>
        <scheme val="none"/>
      </font>
    </dxf>
    <dxf>
      <font>
        <sz val="11"/>
      </font>
    </dxf>
    <dxf>
      <font>
        <sz val="11"/>
      </font>
    </dxf>
    <dxf>
      <font>
        <sz val="11"/>
      </font>
    </dxf>
    <dxf>
      <font>
        <sz val="11"/>
      </font>
    </dxf>
    <dxf>
      <font>
        <sz val="11"/>
      </font>
    </dxf>
    <dxf>
      <protection locked="1"/>
    </dxf>
    <dxf>
      <protection locked="1"/>
    </dxf>
    <dxf>
      <protection locked="1"/>
    </dxf>
    <dxf>
      <protection locked="1"/>
    </dxf>
    <dxf>
      <protection locked="1"/>
    </dxf>
    <dxf>
      <font>
        <sz val="11"/>
      </font>
    </dxf>
    <dxf>
      <font>
        <sz val="11"/>
      </font>
    </dxf>
    <dxf>
      <font>
        <sz val="11"/>
      </font>
    </dxf>
    <dxf>
      <font>
        <sz val="11"/>
      </font>
    </dxf>
    <dxf>
      <font>
        <sz val="11"/>
      </font>
    </dxf>
    <dxf>
      <font>
        <name val="Avenir Next LT Pro"/>
        <family val="2"/>
        <scheme val="none"/>
      </font>
    </dxf>
    <dxf>
      <font>
        <name val="Avenir Next LT Pro"/>
        <family val="2"/>
        <scheme val="none"/>
      </font>
    </dxf>
    <dxf>
      <font>
        <name val="Avenir Next LT Pro"/>
        <family val="2"/>
        <scheme val="none"/>
      </font>
    </dxf>
    <dxf>
      <font>
        <name val="Avenir Next LT Pro"/>
        <family val="2"/>
        <scheme val="none"/>
      </font>
    </dxf>
    <dxf>
      <font>
        <name val="Avenir Next LT Pro"/>
        <family val="2"/>
        <scheme val="none"/>
      </font>
    </dxf>
    <dxf>
      <numFmt numFmtId="1" formatCode="0"/>
    </dxf>
    <dxf>
      <fill>
        <patternFill>
          <bgColor theme="2" tint="-4.9989318521683403E-2"/>
        </patternFill>
      </fill>
    </dxf>
    <dxf>
      <fill>
        <patternFill>
          <bgColor theme="2" tint="-4.9989318521683403E-2"/>
        </patternFill>
      </fill>
    </dxf>
    <dxf>
      <fill>
        <patternFill>
          <bgColor theme="2" tint="-4.9989318521683403E-2"/>
        </patternFill>
      </fill>
    </dxf>
    <dxf>
      <fill>
        <patternFill>
          <bgColor theme="2" tint="-4.9989318521683403E-2"/>
        </patternFill>
      </fill>
    </dxf>
    <dxf>
      <fill>
        <patternFill>
          <bgColor theme="2" tint="-4.9989318521683403E-2"/>
        </patternFill>
      </fill>
    </dxf>
    <dxf>
      <font>
        <sz val="11"/>
      </font>
    </dxf>
    <dxf>
      <font>
        <sz val="11"/>
      </font>
    </dxf>
    <dxf>
      <font>
        <sz val="11"/>
      </font>
    </dxf>
    <dxf>
      <font>
        <sz val="11"/>
      </font>
    </dxf>
    <dxf>
      <font>
        <sz val="11"/>
      </font>
    </dxf>
    <dxf>
      <font>
        <name val="Avenir Next LT Pro"/>
        <family val="2"/>
        <scheme val="none"/>
      </font>
    </dxf>
    <dxf>
      <font>
        <name val="Avenir Next LT Pro"/>
        <family val="2"/>
        <scheme val="none"/>
      </font>
    </dxf>
    <dxf>
      <font>
        <name val="Avenir Next LT Pro"/>
        <family val="2"/>
        <scheme val="none"/>
      </font>
    </dxf>
    <dxf>
      <font>
        <name val="Avenir Next LT Pro"/>
        <family val="2"/>
        <scheme val="none"/>
      </font>
    </dxf>
    <dxf>
      <font>
        <name val="Avenir Next LT Pro"/>
        <family val="2"/>
        <scheme val="none"/>
      </font>
    </dxf>
    <dxf>
      <font>
        <sz val="11"/>
      </font>
    </dxf>
    <dxf>
      <font>
        <sz val="11"/>
      </font>
    </dxf>
    <dxf>
      <font>
        <sz val="11"/>
      </fon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font>
        <name val="Avenir Next LT Pro"/>
        <scheme val="none"/>
      </font>
    </dxf>
    <dxf>
      <font>
        <name val="Avenir Next LT Pro"/>
        <scheme val="none"/>
      </font>
    </dxf>
    <dxf>
      <font>
        <name val="Avenir Next LT Pro"/>
        <scheme val="none"/>
      </font>
    </dxf>
    <dxf>
      <font>
        <sz val="11"/>
      </font>
    </dxf>
    <dxf>
      <font>
        <sz val="11"/>
      </font>
    </dxf>
    <dxf>
      <font>
        <sz val="11"/>
      </font>
    </dxf>
    <dxf>
      <protection locked="1"/>
    </dxf>
    <dxf>
      <protection locked="1"/>
    </dxf>
    <dxf>
      <protection locked="1"/>
    </dxf>
    <dxf>
      <font>
        <sz val="11"/>
      </font>
    </dxf>
    <dxf>
      <font>
        <sz val="11"/>
      </font>
    </dxf>
    <dxf>
      <font>
        <sz val="11"/>
      </font>
    </dxf>
    <dxf>
      <font>
        <name val="Avenir Next LT Pro"/>
        <family val="2"/>
        <scheme val="none"/>
      </font>
    </dxf>
    <dxf>
      <font>
        <name val="Avenir Next LT Pro"/>
        <family val="2"/>
        <scheme val="none"/>
      </font>
    </dxf>
    <dxf>
      <font>
        <name val="Avenir Next LT Pro"/>
        <family val="2"/>
        <scheme val="none"/>
      </font>
    </dxf>
    <dxf>
      <fill>
        <patternFill>
          <bgColor theme="0" tint="-4.9989318521683403E-2"/>
        </patternFill>
      </fill>
    </dxf>
    <dxf>
      <fill>
        <patternFill>
          <bgColor theme="0" tint="-4.9989318521683403E-2"/>
        </patternFill>
      </fill>
    </dxf>
    <dxf>
      <fill>
        <patternFill>
          <bgColor theme="0" tint="-4.9989318521683403E-2"/>
        </patternFill>
      </fill>
    </dxf>
    <dxf>
      <numFmt numFmtId="165" formatCode="_-* #,##0_-;\-* #,##0_-;_-* &quot;-&quot;??_-;_-@_-"/>
    </dxf>
    <dxf>
      <numFmt numFmtId="0" formatCode="General"/>
    </dxf>
    <dxf>
      <numFmt numFmtId="165" formatCode="_-* #,##0_-;\-* #,##0_-;_-* &quot;-&quot;??_-;_-@_-"/>
    </dxf>
    <dxf>
      <border>
        <right style="medium">
          <color indexed="64"/>
        </right>
      </border>
    </dxf>
    <dxf>
      <border>
        <right style="medium">
          <color indexed="64"/>
        </right>
      </border>
    </dxf>
    <dxf>
      <border>
        <right style="medium">
          <color indexed="64"/>
        </right>
      </border>
    </dxf>
    <dxf>
      <border>
        <right style="medium">
          <color indexed="64"/>
        </right>
      </border>
    </dxf>
    <dxf>
      <border>
        <right style="medium">
          <color indexed="64"/>
        </right>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font>
        <sz val="11"/>
      </font>
    </dxf>
    <dxf>
      <font>
        <sz val="11"/>
      </font>
    </dxf>
    <dxf>
      <font>
        <sz val="11"/>
      </font>
    </dxf>
    <dxf>
      <font>
        <sz val="11"/>
      </font>
    </dxf>
    <dxf>
      <font>
        <sz val="11"/>
      </font>
    </dxf>
    <dxf>
      <numFmt numFmtId="168" formatCode="&quot;$&quot;#,##0"/>
    </dxf>
    <dxf>
      <numFmt numFmtId="168" formatCode="&quot;$&quot;#,##0"/>
    </dxf>
    <dxf>
      <border>
        <left style="medium">
          <color indexed="64"/>
        </left>
        <top style="medium">
          <color indexed="64"/>
        </top>
        <bottom style="medium">
          <color indexed="64"/>
        </bottom>
      </border>
    </dxf>
    <dxf>
      <border>
        <left style="medium">
          <color indexed="64"/>
        </left>
        <top style="medium">
          <color indexed="64"/>
        </top>
        <bottom style="medium">
          <color indexed="64"/>
        </bottom>
      </border>
    </dxf>
    <dxf>
      <border>
        <left style="medium">
          <color indexed="64"/>
        </left>
        <top style="medium">
          <color indexed="64"/>
        </top>
        <bottom style="medium">
          <color indexed="64"/>
        </bottom>
      </border>
    </dxf>
    <dxf>
      <border>
        <left style="medium">
          <color indexed="64"/>
        </left>
        <top style="medium">
          <color indexed="64"/>
        </top>
        <bottom style="medium">
          <color indexed="64"/>
        </bottom>
      </border>
    </dxf>
    <dxf>
      <border>
        <left style="medium">
          <color indexed="64"/>
        </left>
        <top style="medium">
          <color indexed="64"/>
        </top>
        <bottom style="medium">
          <color indexed="64"/>
        </bottom>
      </border>
    </dxf>
    <dxf>
      <font>
        <sz val="11"/>
      </font>
    </dxf>
    <dxf>
      <font>
        <sz val="11"/>
      </font>
    </dxf>
    <dxf>
      <font>
        <sz val="11"/>
      </font>
    </dxf>
    <dxf>
      <font>
        <sz val="11"/>
      </font>
    </dxf>
    <dxf>
      <font>
        <sz val="11"/>
      </font>
    </dxf>
    <dxf>
      <numFmt numFmtId="168" formatCode="&quot;$&quot;#,##0"/>
    </dxf>
    <dxf>
      <numFmt numFmtId="168" formatCode="&quot;$&quot;#,##0"/>
    </dxf>
    <dxf>
      <font>
        <sz val="11"/>
      </font>
    </dxf>
    <dxf>
      <font>
        <sz val="11"/>
      </font>
    </dxf>
    <dxf>
      <font>
        <sz val="11"/>
      </font>
    </dxf>
    <dxf>
      <font>
        <sz val="11"/>
      </font>
    </dxf>
    <dxf>
      <font>
        <sz val="11"/>
      </font>
    </dxf>
    <dxf>
      <font>
        <sz val="11"/>
      </font>
    </dxf>
    <dxf>
      <border>
        <right style="medium">
          <color indexed="64"/>
        </right>
        <top style="medium">
          <color indexed="64"/>
        </top>
        <bottom style="medium">
          <color indexed="64"/>
        </bottom>
      </border>
    </dxf>
    <dxf>
      <border>
        <right style="medium">
          <color indexed="64"/>
        </right>
        <top style="medium">
          <color indexed="64"/>
        </top>
        <bottom style="medium">
          <color indexed="64"/>
        </bottom>
      </border>
    </dxf>
    <dxf>
      <border>
        <right style="medium">
          <color indexed="64"/>
        </right>
        <top style="medium">
          <color indexed="64"/>
        </top>
        <bottom style="medium">
          <color indexed="64"/>
        </bottom>
      </border>
    </dxf>
    <dxf>
      <border>
        <right style="medium">
          <color indexed="64"/>
        </right>
        <top style="medium">
          <color indexed="64"/>
        </top>
        <bottom style="medium">
          <color indexed="64"/>
        </bottom>
      </border>
    </dxf>
    <dxf>
      <border>
        <right style="medium">
          <color indexed="64"/>
        </right>
        <top style="medium">
          <color indexed="64"/>
        </top>
        <bottom style="medium">
          <color indexed="64"/>
        </bottom>
      </border>
    </dxf>
    <dxf>
      <border>
        <right style="medium">
          <color indexed="64"/>
        </right>
        <top style="medium">
          <color indexed="64"/>
        </top>
        <bottom style="medium">
          <color indexed="64"/>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font>
        <name val="Avenir Next LT Pro"/>
        <scheme val="none"/>
      </font>
    </dxf>
    <dxf>
      <font>
        <name val="Avenir Next LT Pro"/>
        <scheme val="none"/>
      </font>
    </dxf>
    <dxf>
      <font>
        <name val="Avenir Next LT Pro"/>
        <scheme val="none"/>
      </font>
    </dxf>
    <dxf>
      <font>
        <name val="Avenir Next LT Pro"/>
        <scheme val="none"/>
      </font>
    </dxf>
    <dxf>
      <font>
        <name val="Avenir Next LT Pro"/>
        <scheme val="none"/>
      </font>
    </dxf>
    <dxf>
      <font>
        <name val="Avenir Next LT Pro"/>
        <scheme val="none"/>
      </font>
    </dxf>
    <dxf>
      <font>
        <sz val="11"/>
      </font>
    </dxf>
    <dxf>
      <font>
        <sz val="11"/>
      </font>
    </dxf>
    <dxf>
      <font>
        <sz val="11"/>
      </font>
    </dxf>
    <dxf>
      <font>
        <sz val="11"/>
      </font>
    </dxf>
    <dxf>
      <font>
        <sz val="11"/>
      </font>
    </dxf>
    <dxf>
      <font>
        <sz val="11"/>
      </font>
    </dxf>
    <dxf>
      <protection locked="1"/>
    </dxf>
    <dxf>
      <protection locked="1"/>
    </dxf>
    <dxf>
      <protection locked="1"/>
    </dxf>
    <dxf>
      <protection locked="1"/>
    </dxf>
    <dxf>
      <protection locked="1"/>
    </dxf>
    <dxf>
      <protection locked="1"/>
    </dxf>
    <dxf>
      <font>
        <sz val="11"/>
      </font>
    </dxf>
    <dxf>
      <font>
        <sz val="11"/>
      </font>
    </dxf>
    <dxf>
      <font>
        <sz val="11"/>
      </font>
    </dxf>
    <dxf>
      <font>
        <sz val="11"/>
      </font>
    </dxf>
    <dxf>
      <font>
        <sz val="11"/>
      </font>
    </dxf>
    <dxf>
      <font>
        <sz val="11"/>
      </font>
    </dxf>
    <dxf>
      <font>
        <name val="Avenir Next LT Pro"/>
        <family val="2"/>
        <scheme val="none"/>
      </font>
    </dxf>
    <dxf>
      <font>
        <name val="Avenir Next LT Pro"/>
        <family val="2"/>
        <scheme val="none"/>
      </font>
    </dxf>
    <dxf>
      <font>
        <name val="Avenir Next LT Pro"/>
        <family val="2"/>
        <scheme val="none"/>
      </font>
    </dxf>
    <dxf>
      <font>
        <name val="Avenir Next LT Pro"/>
        <family val="2"/>
        <scheme val="none"/>
      </font>
    </dxf>
    <dxf>
      <font>
        <name val="Avenir Next LT Pro"/>
        <family val="2"/>
        <scheme val="none"/>
      </font>
    </dxf>
    <dxf>
      <font>
        <name val="Avenir Next LT Pro"/>
        <family val="2"/>
        <scheme val="none"/>
      </font>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numFmt numFmtId="165" formatCode="_-* #,##0_-;\-* #,##0_-;_-* &quot;-&quot;??_-;_-@_-"/>
    </dxf>
    <dxf>
      <border>
        <right style="medium">
          <color indexed="64"/>
        </right>
      </border>
    </dxf>
    <dxf>
      <border>
        <right style="medium">
          <color indexed="64"/>
        </right>
      </border>
    </dxf>
    <dxf>
      <border>
        <right style="medium">
          <color indexed="64"/>
        </right>
      </border>
    </dxf>
    <dxf>
      <border>
        <right style="medium">
          <color indexed="64"/>
        </right>
      </border>
    </dxf>
    <dxf>
      <border>
        <right style="medium">
          <color indexed="64"/>
        </right>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font>
        <sz val="11"/>
      </font>
    </dxf>
    <dxf>
      <font>
        <sz val="11"/>
      </font>
    </dxf>
    <dxf>
      <font>
        <sz val="11"/>
      </font>
    </dxf>
    <dxf>
      <font>
        <sz val="11"/>
      </font>
    </dxf>
    <dxf>
      <font>
        <sz val="11"/>
      </font>
    </dxf>
    <dxf>
      <numFmt numFmtId="168" formatCode="&quot;$&quot;#,##0"/>
    </dxf>
    <dxf>
      <numFmt numFmtId="168" formatCode="&quot;$&quot;#,##0"/>
    </dxf>
    <dxf>
      <font>
        <sz val="11"/>
      </font>
    </dxf>
    <dxf>
      <font>
        <sz val="11"/>
      </font>
    </dxf>
    <dxf>
      <font>
        <sz val="11"/>
      </font>
    </dxf>
    <dxf>
      <font>
        <sz val="11"/>
      </font>
    </dxf>
    <dxf>
      <font>
        <sz val="11"/>
      </font>
    </dxf>
    <dxf>
      <font>
        <sz val="11"/>
      </font>
    </dxf>
    <dxf>
      <border>
        <right style="medium">
          <color indexed="64"/>
        </right>
        <top style="medium">
          <color indexed="64"/>
        </top>
        <bottom style="medium">
          <color indexed="64"/>
        </bottom>
      </border>
    </dxf>
    <dxf>
      <border>
        <right style="medium">
          <color indexed="64"/>
        </right>
        <top style="medium">
          <color indexed="64"/>
        </top>
        <bottom style="medium">
          <color indexed="64"/>
        </bottom>
      </border>
    </dxf>
    <dxf>
      <border>
        <right style="medium">
          <color indexed="64"/>
        </right>
        <top style="medium">
          <color indexed="64"/>
        </top>
        <bottom style="medium">
          <color indexed="64"/>
        </bottom>
      </border>
    </dxf>
    <dxf>
      <border>
        <right style="medium">
          <color indexed="64"/>
        </right>
        <top style="medium">
          <color indexed="64"/>
        </top>
        <bottom style="medium">
          <color indexed="64"/>
        </bottom>
      </border>
    </dxf>
    <dxf>
      <border>
        <right style="medium">
          <color indexed="64"/>
        </right>
        <top style="medium">
          <color indexed="64"/>
        </top>
        <bottom style="medium">
          <color indexed="64"/>
        </bottom>
      </border>
    </dxf>
    <dxf>
      <border>
        <right style="medium">
          <color indexed="64"/>
        </right>
        <top style="medium">
          <color indexed="64"/>
        </top>
        <bottom style="medium">
          <color indexed="64"/>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font>
        <name val="Avenir Next LT Pro"/>
        <scheme val="none"/>
      </font>
    </dxf>
    <dxf>
      <font>
        <name val="Avenir Next LT Pro"/>
        <scheme val="none"/>
      </font>
    </dxf>
    <dxf>
      <font>
        <name val="Avenir Next LT Pro"/>
        <scheme val="none"/>
      </font>
    </dxf>
    <dxf>
      <font>
        <name val="Avenir Next LT Pro"/>
        <scheme val="none"/>
      </font>
    </dxf>
    <dxf>
      <font>
        <name val="Avenir Next LT Pro"/>
        <scheme val="none"/>
      </font>
    </dxf>
    <dxf>
      <font>
        <name val="Avenir Next LT Pro"/>
        <scheme val="none"/>
      </font>
    </dxf>
    <dxf>
      <font>
        <sz val="11"/>
      </font>
    </dxf>
    <dxf>
      <font>
        <sz val="11"/>
      </font>
    </dxf>
    <dxf>
      <font>
        <sz val="11"/>
      </font>
    </dxf>
    <dxf>
      <font>
        <sz val="11"/>
      </font>
    </dxf>
    <dxf>
      <font>
        <sz val="11"/>
      </font>
    </dxf>
    <dxf>
      <font>
        <sz val="11"/>
      </font>
    </dxf>
    <dxf>
      <protection locked="1"/>
    </dxf>
    <dxf>
      <protection locked="1"/>
    </dxf>
    <dxf>
      <protection locked="1"/>
    </dxf>
    <dxf>
      <protection locked="1"/>
    </dxf>
    <dxf>
      <protection locked="1"/>
    </dxf>
    <dxf>
      <protection locked="1"/>
    </dxf>
    <dxf>
      <font>
        <sz val="11"/>
      </font>
    </dxf>
    <dxf>
      <font>
        <sz val="11"/>
      </font>
    </dxf>
    <dxf>
      <font>
        <sz val="11"/>
      </font>
    </dxf>
    <dxf>
      <font>
        <sz val="11"/>
      </font>
    </dxf>
    <dxf>
      <font>
        <sz val="11"/>
      </font>
    </dxf>
    <dxf>
      <font>
        <sz val="11"/>
      </font>
    </dxf>
    <dxf>
      <font>
        <name val="Avenir Next LT Pro"/>
        <family val="2"/>
        <scheme val="none"/>
      </font>
    </dxf>
    <dxf>
      <font>
        <name val="Avenir Next LT Pro"/>
        <family val="2"/>
        <scheme val="none"/>
      </font>
    </dxf>
    <dxf>
      <font>
        <name val="Avenir Next LT Pro"/>
        <family val="2"/>
        <scheme val="none"/>
      </font>
    </dxf>
    <dxf>
      <font>
        <name val="Avenir Next LT Pro"/>
        <family val="2"/>
        <scheme val="none"/>
      </font>
    </dxf>
    <dxf>
      <font>
        <name val="Avenir Next LT Pro"/>
        <family val="2"/>
        <scheme val="none"/>
      </font>
    </dxf>
    <dxf>
      <font>
        <name val="Avenir Next LT Pro"/>
        <family val="2"/>
        <scheme val="none"/>
      </font>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numFmt numFmtId="165" formatCode="_-* #,##0_-;\-* #,##0_-;_-* &quot;-&quot;??_-;_-@_-"/>
    </dxf>
    <dxf>
      <numFmt numFmtId="165" formatCode="_-* #,##0_-;\-* #,##0_-;_-* &quot;-&quot;??_-;_-@_-"/>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alignment relativeIndent="1"/>
    </dxf>
    <dxf>
      <alignment horizontal="left" relativeIndent="1"/>
    </dxf>
    <dxf>
      <alignment vertical="center" indent="0"/>
    </dxf>
    <dxf>
      <font>
        <name val="Avenir Next LT Pro"/>
        <scheme val="none"/>
      </font>
    </dxf>
    <dxf>
      <font>
        <name val="Avenir Next LT Pro"/>
        <scheme val="none"/>
      </font>
    </dxf>
    <dxf>
      <font>
        <name val="Avenir Next LT Pro"/>
        <scheme val="none"/>
      </font>
    </dxf>
    <dxf>
      <font>
        <name val="Avenir Next LT Pro"/>
        <scheme val="none"/>
      </font>
    </dxf>
    <dxf>
      <font>
        <name val="Avenir Next LT Pro"/>
        <scheme val="none"/>
      </font>
    </dxf>
    <dxf>
      <font>
        <name val="Avenir Next LT Pro"/>
        <scheme val="none"/>
      </font>
    </dxf>
    <dxf>
      <font>
        <name val="Avenir Next LT Pro"/>
        <scheme val="none"/>
      </font>
    </dxf>
    <dxf>
      <font>
        <name val="Avenir Next LT Pro"/>
        <scheme val="none"/>
      </font>
    </dxf>
    <dxf>
      <font>
        <name val="Avenir Next LT Pro"/>
        <scheme val="none"/>
      </font>
    </dxf>
    <dxf>
      <font>
        <name val="Avenir Next LT Pro"/>
        <scheme val="none"/>
      </font>
    </dxf>
    <dxf>
      <font>
        <name val="Avenir Next LT Pro"/>
        <scheme val="none"/>
      </font>
    </dxf>
    <dxf>
      <font>
        <name val="Avenir Next LT Pro"/>
        <scheme val="none"/>
      </font>
    </dxf>
    <dxf>
      <font>
        <name val="Avenir Next LT Pro"/>
        <scheme val="none"/>
      </font>
    </dxf>
    <dxf>
      <font>
        <name val="Avenir Next LT Pro"/>
        <scheme val="none"/>
      </font>
    </dxf>
    <dxf>
      <font>
        <name val="Avenir Next LT Pro"/>
        <scheme val="none"/>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protection locked="1"/>
    </dxf>
    <dxf>
      <protection locked="1"/>
    </dxf>
    <dxf>
      <protection locked="1"/>
    </dxf>
    <dxf>
      <protection locked="1"/>
    </dxf>
    <dxf>
      <protection locked="1"/>
    </dxf>
    <dxf>
      <protection locked="1"/>
    </dxf>
    <dxf>
      <protection locked="1"/>
    </dxf>
    <dxf>
      <protection locked="1"/>
    </dxf>
    <dxf>
      <protection locked="1"/>
    </dxf>
    <dxf>
      <protection locked="1"/>
    </dxf>
    <dxf>
      <protection locked="1"/>
    </dxf>
    <dxf>
      <protection locked="1"/>
    </dxf>
    <dxf>
      <protection locked="1"/>
    </dxf>
    <dxf>
      <protection locked="1"/>
    </dxf>
    <dxf>
      <protection locked="1"/>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name val="Avenir Next LT Pro"/>
        <family val="2"/>
        <scheme val="none"/>
      </font>
    </dxf>
    <dxf>
      <font>
        <name val="Avenir Next LT Pro"/>
        <family val="2"/>
        <scheme val="none"/>
      </font>
    </dxf>
    <dxf>
      <font>
        <name val="Avenir Next LT Pro"/>
        <family val="2"/>
        <scheme val="none"/>
      </font>
    </dxf>
    <dxf>
      <font>
        <name val="Avenir Next LT Pro"/>
        <family val="2"/>
        <scheme val="none"/>
      </font>
    </dxf>
    <dxf>
      <font>
        <name val="Avenir Next LT Pro"/>
        <family val="2"/>
        <scheme val="none"/>
      </font>
    </dxf>
    <dxf>
      <font>
        <name val="Avenir Next LT Pro"/>
        <family val="2"/>
        <scheme val="none"/>
      </font>
    </dxf>
    <dxf>
      <font>
        <name val="Avenir Next LT Pro"/>
        <family val="2"/>
        <scheme val="none"/>
      </font>
    </dxf>
    <dxf>
      <font>
        <name val="Avenir Next LT Pro"/>
        <family val="2"/>
        <scheme val="none"/>
      </font>
    </dxf>
    <dxf>
      <font>
        <name val="Avenir Next LT Pro"/>
        <family val="2"/>
        <scheme val="none"/>
      </font>
    </dxf>
    <dxf>
      <font>
        <name val="Avenir Next LT Pro"/>
        <family val="2"/>
        <scheme val="none"/>
      </font>
    </dxf>
    <dxf>
      <fill>
        <patternFill patternType="solid">
          <bgColor theme="2" tint="-4.9989318521683403E-2"/>
        </patternFill>
      </fill>
    </dxf>
    <dxf>
      <fill>
        <patternFill patternType="solid">
          <bgColor theme="2" tint="-4.9989318521683403E-2"/>
        </patternFill>
      </fill>
    </dxf>
    <dxf>
      <fill>
        <patternFill patternType="solid">
          <bgColor theme="2" tint="-4.9989318521683403E-2"/>
        </patternFill>
      </fill>
    </dxf>
    <dxf>
      <fill>
        <patternFill patternType="solid">
          <bgColor theme="2" tint="-4.9989318521683403E-2"/>
        </patternFill>
      </fill>
    </dxf>
    <dxf>
      <fill>
        <patternFill patternType="solid">
          <bgColor theme="2" tint="-4.9989318521683403E-2"/>
        </patternFill>
      </fill>
    </dxf>
    <dxf>
      <fill>
        <patternFill patternType="solid">
          <bgColor theme="2" tint="-4.9989318521683403E-2"/>
        </patternFill>
      </fill>
    </dxf>
    <dxf>
      <fill>
        <patternFill patternType="solid">
          <bgColor theme="2" tint="-4.9989318521683403E-2"/>
        </patternFill>
      </fill>
    </dxf>
    <dxf>
      <fill>
        <patternFill patternType="solid">
          <bgColor theme="2" tint="-4.9989318521683403E-2"/>
        </patternFill>
      </fill>
    </dxf>
    <dxf>
      <fill>
        <patternFill patternType="solid">
          <bgColor theme="2" tint="-4.9989318521683403E-2"/>
        </patternFill>
      </fill>
    </dxf>
    <dxf>
      <fill>
        <patternFill patternType="solid">
          <bgColor theme="2" tint="-4.9989318521683403E-2"/>
        </patternFill>
      </fill>
    </dxf>
    <dxf>
      <numFmt numFmtId="165" formatCode="_-* #,##0_-;\-* #,##0_-;_-* &quot;-&quot;??_-;_-@_-"/>
    </dxf>
    <dxf>
      <numFmt numFmtId="165" formatCode="_-* #,##0_-;\-* #,##0_-;_-* &quot;-&quot;??_-;_-@_-"/>
    </dxf>
    <dxf>
      <numFmt numFmtId="165" formatCode="_-* #,##0_-;\-* #,##0_-;_-* &quot;-&quot;??_-;_-@_-"/>
    </dxf>
    <dxf>
      <numFmt numFmtId="165" formatCode="_-* #,##0_-;\-* #,##0_-;_-* &quot;-&quot;??_-;_-@_-"/>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name val="Avenir Next LT Pro"/>
        <family val="2"/>
        <scheme val="none"/>
      </font>
    </dxf>
    <dxf>
      <font>
        <name val="Avenir Next LT Pro"/>
        <family val="2"/>
        <scheme val="none"/>
      </font>
    </dxf>
    <dxf>
      <font>
        <name val="Avenir Next LT Pro"/>
        <family val="2"/>
        <scheme val="none"/>
      </font>
    </dxf>
    <dxf>
      <font>
        <name val="Avenir Next LT Pro"/>
        <family val="2"/>
        <scheme val="none"/>
      </font>
    </dxf>
    <dxf>
      <font>
        <name val="Avenir Next LT Pro"/>
        <family val="2"/>
        <scheme val="none"/>
      </font>
    </dxf>
    <dxf>
      <font>
        <name val="Avenir Next LT Pro"/>
        <family val="2"/>
        <scheme val="none"/>
      </font>
    </dxf>
    <dxf>
      <font>
        <name val="Avenir Next LT Pro"/>
        <family val="2"/>
        <scheme val="none"/>
      </font>
    </dxf>
    <dxf>
      <font>
        <name val="Avenir Next LT Pro"/>
        <family val="2"/>
        <scheme val="none"/>
      </font>
    </dxf>
    <dxf>
      <font>
        <name val="Avenir Next LT Pro"/>
        <family val="2"/>
        <scheme val="none"/>
      </font>
    </dxf>
    <dxf>
      <font>
        <name val="Avenir Next LT Pro"/>
        <family val="2"/>
        <scheme val="none"/>
      </font>
    </dxf>
    <dxf>
      <font>
        <name val="Avenir Next LT Pro"/>
        <family val="2"/>
        <scheme val="none"/>
      </font>
    </dxf>
    <dxf>
      <font>
        <name val="Avenir Next LT Pro"/>
        <family val="2"/>
        <scheme val="none"/>
      </font>
    </dxf>
    <dxf>
      <font>
        <name val="Avenir Next LT Pro"/>
        <family val="2"/>
        <scheme val="none"/>
      </font>
    </dxf>
    <dxf>
      <font>
        <name val="Avenir Next LT Pro"/>
        <family val="2"/>
        <scheme val="none"/>
      </font>
    </dxf>
    <dxf>
      <font>
        <name val="Avenir Next LT Pro"/>
        <family val="2"/>
        <scheme val="none"/>
      </font>
    </dxf>
    <dxf>
      <font>
        <name val="Avenir Next LT Pro"/>
        <family val="2"/>
        <scheme val="none"/>
      </font>
    </dxf>
    <dxf>
      <font>
        <sz val="11"/>
      </font>
    </dxf>
    <dxf>
      <font>
        <sz val="11"/>
      </font>
    </dxf>
    <dxf>
      <font>
        <sz val="11"/>
      </font>
    </dxf>
    <dxf>
      <font>
        <sz val="11"/>
      </font>
    </dxf>
    <dxf>
      <font>
        <sz val="11"/>
      </font>
    </dxf>
    <dxf>
      <font>
        <sz val="11"/>
      </font>
    </dxf>
    <dxf>
      <font>
        <sz val="11"/>
      </font>
    </dxf>
    <dxf>
      <font>
        <sz val="11"/>
      </font>
    </dxf>
    <dxf>
      <border>
        <right style="medium">
          <color indexed="64"/>
        </right>
        <top style="medium">
          <color indexed="64"/>
        </top>
        <bottom style="medium">
          <color indexed="64"/>
        </bottom>
      </border>
    </dxf>
    <dxf>
      <border>
        <right style="medium">
          <color indexed="64"/>
        </right>
        <top style="medium">
          <color indexed="64"/>
        </top>
        <bottom style="medium">
          <color indexed="64"/>
        </bottom>
      </border>
    </dxf>
    <dxf>
      <border>
        <right style="medium">
          <color indexed="64"/>
        </right>
        <top style="medium">
          <color indexed="64"/>
        </top>
        <bottom style="medium">
          <color indexed="64"/>
        </bottom>
      </border>
    </dxf>
    <dxf>
      <border>
        <right style="medium">
          <color indexed="64"/>
        </right>
        <top style="medium">
          <color indexed="64"/>
        </top>
        <bottom style="medium">
          <color indexed="64"/>
        </bottom>
      </border>
    </dxf>
    <dxf>
      <border>
        <right style="medium">
          <color indexed="64"/>
        </right>
        <top style="medium">
          <color indexed="64"/>
        </top>
        <bottom style="medium">
          <color indexed="64"/>
        </bottom>
      </border>
    </dxf>
    <dxf>
      <border>
        <right style="medium">
          <color indexed="64"/>
        </right>
        <top style="medium">
          <color indexed="64"/>
        </top>
        <bottom style="medium">
          <color indexed="64"/>
        </bottom>
      </border>
    </dxf>
    <dxf>
      <border>
        <right style="medium">
          <color indexed="64"/>
        </right>
        <top style="medium">
          <color indexed="64"/>
        </top>
        <bottom style="medium">
          <color indexed="64"/>
        </bottom>
      </border>
    </dxf>
    <dxf>
      <border>
        <right style="medium">
          <color indexed="64"/>
        </right>
        <top style="medium">
          <color indexed="64"/>
        </top>
        <bottom style="medium">
          <color indexed="64"/>
        </bottom>
      </border>
    </dxf>
    <dxf>
      <font>
        <name val="Avenir Next LT Pro"/>
        <scheme val="none"/>
      </font>
    </dxf>
    <dxf>
      <font>
        <name val="Avenir Next LT Pro"/>
        <scheme val="none"/>
      </font>
    </dxf>
    <dxf>
      <font>
        <name val="Avenir Next LT Pro"/>
        <scheme val="none"/>
      </font>
    </dxf>
    <dxf>
      <font>
        <name val="Avenir Next LT Pro"/>
        <scheme val="none"/>
      </font>
    </dxf>
    <dxf>
      <font>
        <name val="Avenir Next LT Pro"/>
        <scheme val="none"/>
      </font>
    </dxf>
    <dxf>
      <font>
        <name val="Avenir Next LT Pro"/>
        <scheme val="none"/>
      </font>
    </dxf>
    <dxf>
      <font>
        <name val="Avenir Next LT Pro"/>
        <scheme val="none"/>
      </font>
    </dxf>
    <dxf>
      <font>
        <name val="Avenir Next LT Pro"/>
        <scheme val="none"/>
      </font>
    </dxf>
    <dxf>
      <font>
        <sz val="11"/>
      </font>
    </dxf>
    <dxf>
      <font>
        <sz val="11"/>
      </font>
    </dxf>
    <dxf>
      <font>
        <sz val="11"/>
      </font>
    </dxf>
    <dxf>
      <font>
        <sz val="11"/>
      </font>
    </dxf>
    <dxf>
      <font>
        <sz val="11"/>
      </font>
    </dxf>
    <dxf>
      <font>
        <sz val="11"/>
      </font>
    </dxf>
    <dxf>
      <font>
        <sz val="11"/>
      </font>
    </dxf>
    <dxf>
      <font>
        <sz val="11"/>
      </font>
    </dxf>
    <dxf>
      <protection locked="1"/>
    </dxf>
    <dxf>
      <protection locked="1"/>
    </dxf>
    <dxf>
      <protection locked="1"/>
    </dxf>
    <dxf>
      <protection locked="1"/>
    </dxf>
    <dxf>
      <protection locked="1"/>
    </dxf>
    <dxf>
      <protection locked="1"/>
    </dxf>
    <dxf>
      <protection locked="1"/>
    </dxf>
    <dxf>
      <protection locked="1"/>
    </dxf>
    <dxf>
      <font>
        <sz val="11"/>
      </font>
    </dxf>
    <dxf>
      <font>
        <sz val="11"/>
      </font>
    </dxf>
    <dxf>
      <font>
        <sz val="11"/>
      </font>
    </dxf>
    <dxf>
      <font>
        <sz val="11"/>
      </font>
    </dxf>
    <dxf>
      <font>
        <sz val="11"/>
      </font>
    </dxf>
    <dxf>
      <font>
        <sz val="11"/>
      </font>
    </dxf>
    <dxf>
      <font>
        <sz val="11"/>
      </font>
    </dxf>
    <dxf>
      <font>
        <sz val="11"/>
      </font>
    </dxf>
    <dxf>
      <font>
        <name val="Avenir Next LT Pro"/>
        <family val="2"/>
        <scheme val="none"/>
      </font>
    </dxf>
    <dxf>
      <font>
        <name val="Avenir Next LT Pro"/>
        <family val="2"/>
        <scheme val="none"/>
      </font>
    </dxf>
    <dxf>
      <font>
        <name val="Avenir Next LT Pro"/>
        <family val="2"/>
        <scheme val="none"/>
      </font>
    </dxf>
    <dxf>
      <font>
        <name val="Avenir Next LT Pro"/>
        <family val="2"/>
        <scheme val="none"/>
      </font>
    </dxf>
    <dxf>
      <font>
        <name val="Avenir Next LT Pro"/>
        <family val="2"/>
        <scheme val="none"/>
      </font>
    </dxf>
    <dxf>
      <font>
        <name val="Avenir Next LT Pro"/>
        <family val="2"/>
        <scheme val="none"/>
      </font>
    </dxf>
    <dxf>
      <font>
        <name val="Avenir Next LT Pro"/>
        <family val="2"/>
        <scheme val="none"/>
      </font>
    </dxf>
    <dxf>
      <font>
        <name val="Avenir Next LT Pro"/>
        <family val="2"/>
        <scheme val="none"/>
      </font>
    </dxf>
    <dxf>
      <fill>
        <patternFill>
          <bgColor theme="2" tint="-4.9989318521683403E-2"/>
        </patternFill>
      </fill>
    </dxf>
    <dxf>
      <fill>
        <patternFill>
          <bgColor theme="2" tint="-4.9989318521683403E-2"/>
        </patternFill>
      </fill>
    </dxf>
    <dxf>
      <fill>
        <patternFill>
          <bgColor theme="2" tint="-4.9989318521683403E-2"/>
        </patternFill>
      </fill>
    </dxf>
    <dxf>
      <fill>
        <patternFill>
          <bgColor theme="2" tint="-4.9989318521683403E-2"/>
        </patternFill>
      </fill>
    </dxf>
    <dxf>
      <fill>
        <patternFill>
          <bgColor theme="2" tint="-4.9989318521683403E-2"/>
        </patternFill>
      </fill>
    </dxf>
    <dxf>
      <fill>
        <patternFill>
          <bgColor theme="2" tint="-4.9989318521683403E-2"/>
        </patternFill>
      </fill>
    </dxf>
    <dxf>
      <fill>
        <patternFill>
          <bgColor theme="2" tint="-4.9989318521683403E-2"/>
        </patternFill>
      </fill>
    </dxf>
    <dxf>
      <fill>
        <patternFill>
          <bgColor theme="2" tint="-4.9989318521683403E-2"/>
        </patternFill>
      </fill>
    </dxf>
    <dxf>
      <fill>
        <patternFill patternType="solid">
          <bgColor theme="2" tint="-4.9989318521683403E-2"/>
        </patternFill>
      </fill>
    </dxf>
    <dxf>
      <fill>
        <patternFill patternType="solid">
          <bgColor theme="2" tint="-4.9989318521683403E-2"/>
        </patternFill>
      </fill>
    </dxf>
    <dxf>
      <fill>
        <patternFill patternType="solid">
          <bgColor theme="2" tint="-4.9989318521683403E-2"/>
        </patternFill>
      </fill>
    </dxf>
    <dxf>
      <fill>
        <patternFill patternType="solid">
          <bgColor theme="2" tint="-4.9989318521683403E-2"/>
        </patternFill>
      </fill>
    </dxf>
    <dxf>
      <fill>
        <patternFill patternType="solid">
          <bgColor theme="2" tint="-4.9989318521683403E-2"/>
        </patternFill>
      </fill>
    </dxf>
    <dxf>
      <fill>
        <patternFill patternType="solid">
          <bgColor theme="2" tint="-4.9989318521683403E-2"/>
        </patternFill>
      </fill>
    </dxf>
    <dxf>
      <numFmt numFmtId="165" formatCode="_-* #,##0_-;\-* #,##0_-;_-* &quot;-&quot;??_-;_-@_-"/>
    </dxf>
    <dxf>
      <numFmt numFmtId="165" formatCode="_-* #,##0_-;\-* #,##0_-;_-* &quot;-&quot;??_-;_-@_-"/>
    </dxf>
    <dxf>
      <numFmt numFmtId="165" formatCode="_-* #,##0_-;\-* #,##0_-;_-* &quot;-&quot;??_-;_-@_-"/>
    </dxf>
    <dxf>
      <numFmt numFmtId="165" formatCode="_-* #,##0_-;\-* #,##0_-;_-* &quot;-&quot;??_-;_-@_-"/>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ont>
        <sz val="11"/>
      </font>
    </dxf>
    <dxf>
      <font>
        <sz val="11"/>
      </font>
    </dxf>
    <dxf>
      <font>
        <sz val="11"/>
      </font>
    </dxf>
    <dxf>
      <font>
        <sz val="11"/>
      </font>
    </dxf>
    <dxf>
      <font>
        <sz val="11"/>
      </font>
    </dxf>
    <dxf>
      <font>
        <sz val="11"/>
      </font>
    </dxf>
    <dxf>
      <font>
        <sz val="11"/>
      </font>
    </dxf>
    <dxf>
      <font>
        <name val="Avenir Next LT Pro"/>
        <family val="2"/>
        <scheme val="none"/>
      </font>
    </dxf>
    <dxf>
      <font>
        <name val="Avenir Next LT Pro"/>
        <family val="2"/>
        <scheme val="none"/>
      </font>
    </dxf>
    <dxf>
      <font>
        <name val="Avenir Next LT Pro"/>
        <family val="2"/>
        <scheme val="none"/>
      </font>
    </dxf>
    <dxf>
      <font>
        <name val="Avenir Next LT Pro"/>
        <family val="2"/>
        <scheme val="none"/>
      </font>
    </dxf>
    <dxf>
      <font>
        <name val="Avenir Next LT Pro"/>
        <family val="2"/>
        <scheme val="none"/>
      </font>
    </dxf>
    <dxf>
      <font>
        <name val="Avenir Next LT Pro"/>
        <family val="2"/>
        <scheme val="none"/>
      </font>
    </dxf>
    <dxf>
      <font>
        <name val="Avenir Next LT Pro"/>
        <family val="2"/>
        <scheme val="none"/>
      </fon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font>
        <sz val="11"/>
      </font>
    </dxf>
    <dxf>
      <font>
        <sz val="11"/>
      </font>
    </dxf>
    <dxf>
      <font>
        <sz val="11"/>
      </font>
    </dxf>
    <dxf>
      <font>
        <sz val="11"/>
      </font>
    </dxf>
    <dxf>
      <font>
        <sz val="11"/>
      </font>
    </dxf>
    <dxf>
      <numFmt numFmtId="168" formatCode="&quot;$&quot;#,##0"/>
    </dxf>
    <dxf>
      <numFmt numFmtId="168" formatCode="&quot;$&quot;#,##0"/>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ill>
        <patternFill patternType="solid">
          <bgColor theme="2" tint="-4.9989318521683403E-2"/>
        </patternFill>
      </fill>
    </dxf>
    <dxf>
      <fill>
        <patternFill patternType="solid">
          <bgColor theme="2" tint="-4.9989318521683403E-2"/>
        </patternFill>
      </fill>
    </dxf>
    <dxf>
      <fill>
        <patternFill patternType="solid">
          <bgColor theme="2" tint="-4.9989318521683403E-2"/>
        </patternFill>
      </fill>
    </dxf>
    <dxf>
      <fill>
        <patternFill patternType="solid">
          <bgColor theme="2" tint="-4.9989318521683403E-2"/>
        </patternFill>
      </fill>
    </dxf>
    <dxf>
      <fill>
        <patternFill patternType="solid">
          <bgColor theme="2" tint="-4.9989318521683403E-2"/>
        </patternFill>
      </fill>
    </dxf>
    <dxf>
      <fill>
        <patternFill patternType="solid">
          <bgColor theme="2" tint="-4.9989318521683403E-2"/>
        </patternFill>
      </fill>
    </dxf>
    <dxf>
      <fill>
        <patternFill patternType="solid">
          <bgColor theme="2" tint="-4.9989318521683403E-2"/>
        </patternFill>
      </fill>
    </dxf>
    <dxf>
      <fill>
        <patternFill patternType="solid">
          <bgColor theme="2" tint="-4.9989318521683403E-2"/>
        </patternFill>
      </fill>
    </dxf>
    <dxf>
      <fill>
        <patternFill patternType="solid">
          <bgColor theme="2" tint="-4.9989318521683403E-2"/>
        </patternFill>
      </fill>
    </dxf>
    <dxf>
      <fill>
        <patternFill patternType="solid">
          <bgColor theme="2" tint="-4.9989318521683403E-2"/>
        </patternFill>
      </fill>
    </dxf>
    <dxf>
      <fill>
        <patternFill patternType="solid">
          <bgColor theme="2" tint="-4.9989318521683403E-2"/>
        </patternFill>
      </fill>
    </dxf>
    <dxf>
      <fill>
        <patternFill patternType="solid">
          <bgColor theme="2" tint="-4.9989318521683403E-2"/>
        </patternFill>
      </fill>
    </dxf>
    <dxf>
      <fill>
        <patternFill patternType="solid">
          <bgColor theme="2" tint="-4.9989318521683403E-2"/>
        </patternFill>
      </fill>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2" formatCode="0.00"/>
    </dxf>
    <dxf>
      <numFmt numFmtId="2" formatCode="0.00"/>
    </dxf>
    <dxf>
      <numFmt numFmtId="2" formatCode="0.00"/>
    </dxf>
    <dxf>
      <numFmt numFmtId="2" formatCode="0.00"/>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name val="Avenir Next LT Pro"/>
        <scheme val="none"/>
      </font>
    </dxf>
    <dxf>
      <font>
        <name val="Avenir Next LT Pro"/>
        <scheme val="none"/>
      </font>
    </dxf>
    <dxf>
      <font>
        <name val="Avenir Next LT Pro"/>
        <scheme val="none"/>
      </font>
    </dxf>
    <dxf>
      <font>
        <name val="Avenir Next LT Pro"/>
        <scheme val="none"/>
      </font>
    </dxf>
    <dxf>
      <font>
        <name val="Avenir Next LT Pro"/>
        <scheme val="none"/>
      </font>
    </dxf>
    <dxf>
      <font>
        <name val="Avenir Next LT Pro"/>
        <scheme val="none"/>
      </font>
    </dxf>
    <dxf>
      <font>
        <name val="Avenir Next LT Pro"/>
        <scheme val="none"/>
      </font>
    </dxf>
    <dxf>
      <font>
        <name val="Avenir Next LT Pro"/>
        <scheme val="none"/>
      </font>
    </dxf>
    <dxf>
      <font>
        <name val="Avenir Next LT Pro"/>
        <scheme val="none"/>
      </font>
    </dxf>
    <dxf>
      <font>
        <name val="Avenir Next LT Pro"/>
        <scheme val="none"/>
      </font>
    </dxf>
    <dxf>
      <font>
        <name val="Avenir Next LT Pro"/>
        <scheme val="none"/>
      </font>
    </dxf>
    <dxf>
      <font>
        <name val="Avenir Next LT Pro"/>
        <scheme val="none"/>
      </font>
    </dxf>
    <dxf>
      <font>
        <name val="Avenir Next LT Pro"/>
        <scheme val="none"/>
      </font>
    </dxf>
    <dxf>
      <numFmt numFmtId="19" formatCode="yyyy/mm/dd"/>
    </dxf>
    <dxf>
      <numFmt numFmtId="165" formatCode="_-* #,##0_-;\-* #,##0_-;_-* &quot;-&quot;??_-;_-@_-"/>
    </dxf>
    <dxf>
      <numFmt numFmtId="165" formatCode="_-* #,##0_-;\-* #,##0_-;_-* &quot;-&quot;??_-;_-@_-"/>
    </dxf>
    <dxf>
      <alignment horizontal="center"/>
    </dxf>
    <dxf>
      <alignment horizontal="center"/>
    </dxf>
    <dxf>
      <alignment horizontal="right"/>
    </dxf>
    <dxf>
      <alignment horizontal="right"/>
    </dxf>
    <dxf>
      <alignment horizontal="right"/>
    </dxf>
    <dxf>
      <alignment horizontal="right"/>
    </dxf>
    <dxf>
      <border>
        <left style="medium">
          <color indexed="64"/>
        </left>
        <top style="medium">
          <color indexed="64"/>
        </top>
        <bottom style="medium">
          <color indexed="64"/>
        </bottom>
      </border>
    </dxf>
    <dxf>
      <border>
        <left style="medium">
          <color indexed="64"/>
        </left>
        <top style="medium">
          <color indexed="64"/>
        </top>
        <bottom style="medium">
          <color indexed="64"/>
        </bottom>
      </border>
    </dxf>
    <dxf>
      <border>
        <left style="medium">
          <color indexed="64"/>
        </left>
        <top style="medium">
          <color indexed="64"/>
        </top>
        <bottom style="medium">
          <color indexed="64"/>
        </bottom>
      </border>
    </dxf>
    <dxf>
      <border>
        <left style="medium">
          <color indexed="64"/>
        </left>
        <top style="medium">
          <color indexed="64"/>
        </top>
        <bottom style="medium">
          <color indexed="64"/>
        </bottom>
      </border>
    </dxf>
    <dxf>
      <border>
        <left style="medium">
          <color indexed="64"/>
        </left>
        <top style="medium">
          <color indexed="64"/>
        </top>
        <bottom style="medium">
          <color indexed="64"/>
        </bottom>
      </border>
    </dxf>
    <dxf>
      <font>
        <sz val="11"/>
      </font>
    </dxf>
    <dxf>
      <font>
        <sz val="11"/>
      </font>
    </dxf>
    <dxf>
      <font>
        <sz val="11"/>
      </font>
    </dxf>
    <dxf>
      <font>
        <sz val="11"/>
      </font>
    </dxf>
    <dxf>
      <font>
        <sz val="11"/>
      </font>
    </dxf>
    <dxf>
      <numFmt numFmtId="168" formatCode="&quot;$&quot;#,##0"/>
    </dxf>
    <dxf>
      <numFmt numFmtId="168" formatCode="&quot;$&quot;#,##0"/>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border>
        <right style="medium">
          <color indexed="64"/>
        </right>
        <top style="medium">
          <color indexed="64"/>
        </top>
        <bottom style="medium">
          <color indexed="64"/>
        </bottom>
      </border>
    </dxf>
    <dxf>
      <border>
        <right style="medium">
          <color indexed="64"/>
        </right>
        <top style="medium">
          <color indexed="64"/>
        </top>
        <bottom style="medium">
          <color indexed="64"/>
        </bottom>
      </border>
    </dxf>
    <dxf>
      <border>
        <right style="medium">
          <color indexed="64"/>
        </right>
        <top style="medium">
          <color indexed="64"/>
        </top>
        <bottom style="medium">
          <color indexed="64"/>
        </bottom>
      </border>
    </dxf>
    <dxf>
      <border>
        <right style="medium">
          <color indexed="64"/>
        </right>
        <top style="medium">
          <color indexed="64"/>
        </top>
        <bottom style="medium">
          <color indexed="64"/>
        </bottom>
      </border>
    </dxf>
    <dxf>
      <border>
        <right style="medium">
          <color indexed="64"/>
        </right>
        <top style="medium">
          <color indexed="64"/>
        </top>
        <bottom style="medium">
          <color indexed="64"/>
        </bottom>
      </border>
    </dxf>
    <dxf>
      <border>
        <right style="medium">
          <color indexed="64"/>
        </right>
        <top style="medium">
          <color indexed="64"/>
        </top>
        <bottom style="medium">
          <color indexed="64"/>
        </bottom>
      </border>
    </dxf>
    <dxf>
      <border>
        <right style="medium">
          <color indexed="64"/>
        </right>
        <top style="medium">
          <color indexed="64"/>
        </top>
        <bottom style="medium">
          <color indexed="64"/>
        </bottom>
      </border>
    </dxf>
    <dxf>
      <border>
        <right style="medium">
          <color indexed="64"/>
        </right>
        <top style="medium">
          <color indexed="64"/>
        </top>
        <bottom style="medium">
          <color indexed="64"/>
        </bottom>
      </border>
    </dxf>
    <dxf>
      <border>
        <right style="medium">
          <color indexed="64"/>
        </right>
        <top style="medium">
          <color indexed="64"/>
        </top>
        <bottom style="medium">
          <color indexed="64"/>
        </bottom>
      </border>
    </dxf>
    <dxf>
      <border>
        <right style="medium">
          <color indexed="64"/>
        </right>
        <top style="medium">
          <color indexed="64"/>
        </top>
        <bottom style="medium">
          <color indexed="64"/>
        </bottom>
      </border>
    </dxf>
    <dxf>
      <border>
        <right style="medium">
          <color indexed="64"/>
        </right>
        <top style="medium">
          <color indexed="64"/>
        </top>
        <bottom style="medium">
          <color indexed="64"/>
        </bottom>
      </border>
    </dxf>
    <dxf>
      <border>
        <right style="medium">
          <color indexed="64"/>
        </right>
        <top style="medium">
          <color indexed="64"/>
        </top>
        <bottom style="medium">
          <color indexed="64"/>
        </bottom>
      </border>
    </dxf>
    <dxf>
      <border>
        <right style="medium">
          <color indexed="64"/>
        </right>
        <top style="medium">
          <color indexed="64"/>
        </top>
        <bottom style="medium">
          <color indexed="64"/>
        </bottom>
      </border>
    </dxf>
    <dxf>
      <border>
        <right style="medium">
          <color indexed="64"/>
        </right>
        <top style="medium">
          <color indexed="64"/>
        </top>
        <bottom style="medium">
          <color indexed="64"/>
        </bottom>
      </border>
    </dxf>
    <dxf>
      <font>
        <name val="Avenir Next LT Pro"/>
        <scheme val="none"/>
      </font>
    </dxf>
    <dxf>
      <font>
        <name val="Avenir Next LT Pro"/>
        <scheme val="none"/>
      </font>
    </dxf>
    <dxf>
      <font>
        <name val="Avenir Next LT Pro"/>
        <scheme val="none"/>
      </font>
    </dxf>
    <dxf>
      <font>
        <name val="Avenir Next LT Pro"/>
        <scheme val="none"/>
      </font>
    </dxf>
    <dxf>
      <font>
        <name val="Avenir Next LT Pro"/>
        <scheme val="none"/>
      </font>
    </dxf>
    <dxf>
      <font>
        <name val="Avenir Next LT Pro"/>
        <scheme val="none"/>
      </font>
    </dxf>
    <dxf>
      <font>
        <name val="Avenir Next LT Pro"/>
        <scheme val="none"/>
      </font>
    </dxf>
    <dxf>
      <font>
        <name val="Avenir Next LT Pro"/>
        <scheme val="none"/>
      </font>
    </dxf>
    <dxf>
      <font>
        <name val="Avenir Next LT Pro"/>
        <scheme val="none"/>
      </font>
    </dxf>
    <dxf>
      <font>
        <name val="Avenir Next LT Pro"/>
        <scheme val="none"/>
      </font>
    </dxf>
    <dxf>
      <font>
        <name val="Avenir Next LT Pro"/>
        <scheme val="none"/>
      </font>
    </dxf>
    <dxf>
      <font>
        <name val="Avenir Next LT Pro"/>
        <scheme val="none"/>
      </font>
    </dxf>
    <dxf>
      <font>
        <name val="Avenir Next LT Pro"/>
        <scheme val="none"/>
      </font>
    </dxf>
    <dxf>
      <font>
        <name val="Avenir Next LT Pro"/>
        <scheme val="none"/>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protection locked="1"/>
    </dxf>
    <dxf>
      <protection locked="1"/>
    </dxf>
    <dxf>
      <protection locked="1"/>
    </dxf>
    <dxf>
      <protection locked="1"/>
    </dxf>
    <dxf>
      <protection locked="1"/>
    </dxf>
    <dxf>
      <protection locked="1"/>
    </dxf>
    <dxf>
      <protection locked="1"/>
    </dxf>
    <dxf>
      <protection locked="1"/>
    </dxf>
    <dxf>
      <protection locked="1"/>
    </dxf>
    <dxf>
      <protection locked="1"/>
    </dxf>
    <dxf>
      <protection locked="1"/>
    </dxf>
    <dxf>
      <protection locked="1"/>
    </dxf>
    <dxf>
      <protection locked="1"/>
    </dxf>
    <dxf>
      <protection locked="1"/>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name val="Avenir Next LT Pro"/>
        <family val="2"/>
        <scheme val="none"/>
      </font>
    </dxf>
    <dxf>
      <font>
        <name val="Avenir Next LT Pro"/>
        <family val="2"/>
        <scheme val="none"/>
      </font>
    </dxf>
    <dxf>
      <font>
        <name val="Avenir Next LT Pro"/>
        <family val="2"/>
        <scheme val="none"/>
      </font>
    </dxf>
    <dxf>
      <font>
        <name val="Avenir Next LT Pro"/>
        <family val="2"/>
        <scheme val="none"/>
      </font>
    </dxf>
    <dxf>
      <font>
        <name val="Avenir Next LT Pro"/>
        <family val="2"/>
        <scheme val="none"/>
      </font>
    </dxf>
    <dxf>
      <font>
        <name val="Avenir Next LT Pro"/>
        <family val="2"/>
        <scheme val="none"/>
      </font>
    </dxf>
    <dxf>
      <font>
        <name val="Avenir Next LT Pro"/>
        <family val="2"/>
        <scheme val="none"/>
      </font>
    </dxf>
    <dxf>
      <font>
        <name val="Avenir Next LT Pro"/>
        <family val="2"/>
        <scheme val="none"/>
      </font>
    </dxf>
    <dxf>
      <font>
        <name val="Avenir Next LT Pro"/>
        <family val="2"/>
        <scheme val="none"/>
      </font>
    </dxf>
    <dxf>
      <font>
        <name val="Avenir Next LT Pro"/>
        <family val="2"/>
        <scheme val="none"/>
      </font>
    </dxf>
    <dxf>
      <font>
        <name val="Avenir Next LT Pro"/>
        <family val="2"/>
        <scheme val="none"/>
      </font>
    </dxf>
    <dxf>
      <font>
        <name val="Avenir Next LT Pro"/>
        <family val="2"/>
        <scheme val="none"/>
      </font>
    </dxf>
    <dxf>
      <font>
        <name val="Avenir Next LT Pro"/>
        <family val="2"/>
        <scheme val="none"/>
      </font>
    </dxf>
    <dxf>
      <font>
        <name val="Avenir Next LT Pro"/>
        <family val="2"/>
        <scheme val="none"/>
      </font>
    </dxf>
    <dxf>
      <fill>
        <patternFill>
          <bgColor theme="2" tint="-4.9989318521683403E-2"/>
        </patternFill>
      </fill>
    </dxf>
    <dxf>
      <fill>
        <patternFill>
          <bgColor theme="2" tint="-4.9989318521683403E-2"/>
        </patternFill>
      </fill>
    </dxf>
    <dxf>
      <fill>
        <patternFill>
          <bgColor theme="2" tint="-4.9989318521683403E-2"/>
        </patternFill>
      </fill>
    </dxf>
    <dxf>
      <fill>
        <patternFill>
          <bgColor theme="2" tint="-4.9989318521683403E-2"/>
        </patternFill>
      </fill>
    </dxf>
    <dxf>
      <fill>
        <patternFill>
          <bgColor theme="2" tint="-4.9989318521683403E-2"/>
        </patternFill>
      </fill>
    </dxf>
    <dxf>
      <fill>
        <patternFill>
          <bgColor theme="2" tint="-4.9989318521683403E-2"/>
        </patternFill>
      </fill>
    </dxf>
    <dxf>
      <fill>
        <patternFill>
          <bgColor theme="2" tint="-4.9989318521683403E-2"/>
        </patternFill>
      </fill>
    </dxf>
    <dxf>
      <fill>
        <patternFill>
          <bgColor theme="2" tint="-4.9989318521683403E-2"/>
        </patternFill>
      </fill>
    </dxf>
    <dxf>
      <fill>
        <patternFill>
          <bgColor theme="2" tint="-4.9989318521683403E-2"/>
        </patternFill>
      </fill>
    </dxf>
    <dxf>
      <fill>
        <patternFill>
          <bgColor theme="2" tint="-4.9989318521683403E-2"/>
        </patternFill>
      </fill>
    </dxf>
    <dxf>
      <fill>
        <patternFill>
          <bgColor theme="2" tint="-4.9989318521683403E-2"/>
        </patternFill>
      </fill>
    </dxf>
    <dxf>
      <fill>
        <patternFill>
          <bgColor theme="2" tint="-4.9989318521683403E-2"/>
        </patternFill>
      </fill>
    </dxf>
    <dxf>
      <fill>
        <patternFill>
          <bgColor theme="2" tint="-4.9989318521683403E-2"/>
        </patternFill>
      </fill>
    </dxf>
    <dxf>
      <fill>
        <patternFill>
          <bgColor theme="2" tint="-4.9989318521683403E-2"/>
        </patternFill>
      </fill>
    </dxf>
    <dxf>
      <alignment horizontal="left"/>
    </dxf>
    <dxf>
      <alignment horizontal="left"/>
    </dxf>
    <dxf>
      <alignment horizontal="left"/>
    </dxf>
    <dxf>
      <alignment horizontal="lef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name val="Avenir Next LT Pro"/>
        <family val="2"/>
        <scheme val="none"/>
      </font>
    </dxf>
    <dxf>
      <font>
        <name val="Avenir Next LT Pro"/>
        <family val="2"/>
        <scheme val="none"/>
      </font>
    </dxf>
    <dxf>
      <font>
        <name val="Avenir Next LT Pro"/>
        <family val="2"/>
        <scheme val="none"/>
      </font>
    </dxf>
    <dxf>
      <font>
        <name val="Avenir Next LT Pro"/>
        <family val="2"/>
        <scheme val="none"/>
      </font>
    </dxf>
    <dxf>
      <font>
        <name val="Avenir Next LT Pro"/>
        <family val="2"/>
        <scheme val="none"/>
      </font>
    </dxf>
    <dxf>
      <font>
        <name val="Avenir Next LT Pro"/>
        <family val="2"/>
        <scheme val="none"/>
      </font>
    </dxf>
    <dxf>
      <font>
        <name val="Avenir Next LT Pro"/>
        <family val="2"/>
        <scheme val="none"/>
      </font>
    </dxf>
    <dxf>
      <font>
        <name val="Avenir Next LT Pro"/>
        <family val="2"/>
        <scheme val="none"/>
      </font>
    </dxf>
    <dxf>
      <font>
        <name val="Avenir Next LT Pro"/>
        <family val="2"/>
        <scheme val="none"/>
      </font>
    </dxf>
    <dxf>
      <font>
        <name val="Avenir Next LT Pro"/>
        <family val="2"/>
        <scheme val="none"/>
      </font>
    </dxf>
    <dxf>
      <font>
        <name val="Avenir Next LT Pro"/>
        <family val="2"/>
        <scheme val="none"/>
      </font>
    </dxf>
    <dxf>
      <font>
        <name val="Avenir Next LT Pro"/>
        <family val="2"/>
        <scheme val="none"/>
      </font>
    </dxf>
    <dxf>
      <font>
        <name val="Avenir Next LT Pro"/>
        <family val="2"/>
        <scheme val="none"/>
      </font>
    </dxf>
    <dxf>
      <font>
        <name val="Avenir Next LT Pro"/>
        <family val="2"/>
        <scheme val="none"/>
      </font>
    </dxf>
    <dxf>
      <fill>
        <patternFill>
          <bgColor theme="2" tint="-4.9989318521683403E-2"/>
        </patternFill>
      </fill>
    </dxf>
    <dxf>
      <fill>
        <patternFill>
          <bgColor theme="2" tint="-4.9989318521683403E-2"/>
        </patternFill>
      </fill>
    </dxf>
    <dxf>
      <fill>
        <patternFill>
          <bgColor theme="2" tint="-4.9989318521683403E-2"/>
        </patternFill>
      </fill>
    </dxf>
    <dxf>
      <fill>
        <patternFill>
          <bgColor theme="2" tint="-4.9989318521683403E-2"/>
        </patternFill>
      </fill>
    </dxf>
    <dxf>
      <numFmt numFmtId="165" formatCode="_-* #,##0_-;\-* #,##0_-;_-* &quot;-&quot;??_-;_-@_-"/>
    </dxf>
    <dxf>
      <numFmt numFmtId="165" formatCode="_-* #,##0_-;\-* #,##0_-;_-* &quot;-&quot;??_-;_-@_-"/>
    </dxf>
    <dxf>
      <numFmt numFmtId="165" formatCode="_-* #,##0_-;\-* #,##0_-;_-* &quot;-&quot;??_-;_-@_-"/>
    </dxf>
    <dxf>
      <numFmt numFmtId="165" formatCode="_-* #,##0_-;\-* #,##0_-;_-* &quot;-&quot;??_-;_-@_-"/>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font>
        <sz val="11"/>
      </font>
    </dxf>
    <dxf>
      <font>
        <sz val="11"/>
      </font>
    </dxf>
    <dxf>
      <font>
        <sz val="11"/>
      </font>
    </dxf>
    <dxf>
      <font>
        <sz val="11"/>
      </font>
    </dxf>
    <dxf>
      <font>
        <sz val="11"/>
      </font>
    </dxf>
    <dxf>
      <numFmt numFmtId="168" formatCode="&quot;$&quot;#,##0"/>
    </dxf>
    <dxf>
      <numFmt numFmtId="168" formatCode="&quot;$&quot;#,##0"/>
    </dxf>
    <dxf>
      <font>
        <sz val="11"/>
      </font>
    </dxf>
    <dxf>
      <font>
        <sz val="11"/>
      </font>
    </dxf>
    <dxf>
      <font>
        <sz val="11"/>
      </font>
    </dxf>
    <dxf>
      <font>
        <sz val="11"/>
      </font>
    </dxf>
    <dxf>
      <font>
        <sz val="11"/>
      </font>
    </dxf>
    <dxf>
      <border>
        <right style="medium">
          <color indexed="64"/>
        </right>
        <top style="medium">
          <color indexed="64"/>
        </top>
        <bottom style="medium">
          <color indexed="64"/>
        </bottom>
      </border>
    </dxf>
    <dxf>
      <border>
        <right style="medium">
          <color indexed="64"/>
        </right>
        <top style="medium">
          <color indexed="64"/>
        </top>
        <bottom style="medium">
          <color indexed="64"/>
        </bottom>
      </border>
    </dxf>
    <dxf>
      <border>
        <right style="medium">
          <color indexed="64"/>
        </right>
        <top style="medium">
          <color indexed="64"/>
        </top>
        <bottom style="medium">
          <color indexed="64"/>
        </bottom>
      </border>
    </dxf>
    <dxf>
      <border>
        <right style="medium">
          <color indexed="64"/>
        </right>
        <top style="medium">
          <color indexed="64"/>
        </top>
        <bottom style="medium">
          <color indexed="64"/>
        </bottom>
      </border>
    </dxf>
    <dxf>
      <border>
        <right style="medium">
          <color indexed="64"/>
        </right>
        <top style="medium">
          <color indexed="64"/>
        </top>
        <bottom style="medium">
          <color indexed="64"/>
        </bottom>
      </border>
    </dxf>
    <dxf>
      <font>
        <name val="Avenir Next LT Pro"/>
        <scheme val="none"/>
      </font>
    </dxf>
    <dxf>
      <font>
        <name val="Avenir Next LT Pro"/>
        <scheme val="none"/>
      </font>
    </dxf>
    <dxf>
      <font>
        <name val="Avenir Next LT Pro"/>
        <scheme val="none"/>
      </font>
    </dxf>
    <dxf>
      <font>
        <name val="Avenir Next LT Pro"/>
        <scheme val="none"/>
      </font>
    </dxf>
    <dxf>
      <font>
        <name val="Avenir Next LT Pro"/>
        <scheme val="none"/>
      </font>
    </dxf>
    <dxf>
      <font>
        <sz val="11"/>
      </font>
    </dxf>
    <dxf>
      <font>
        <sz val="11"/>
      </font>
    </dxf>
    <dxf>
      <font>
        <sz val="11"/>
      </font>
    </dxf>
    <dxf>
      <font>
        <sz val="11"/>
      </font>
    </dxf>
    <dxf>
      <font>
        <sz val="11"/>
      </font>
    </dxf>
    <dxf>
      <protection locked="1"/>
    </dxf>
    <dxf>
      <protection locked="1"/>
    </dxf>
    <dxf>
      <protection locked="1"/>
    </dxf>
    <dxf>
      <protection locked="1"/>
    </dxf>
    <dxf>
      <protection locked="1"/>
    </dxf>
    <dxf>
      <fill>
        <patternFill patternType="solid">
          <bgColor theme="2" tint="-4.9989318521683403E-2"/>
        </patternFill>
      </fill>
    </dxf>
    <dxf>
      <fill>
        <patternFill patternType="solid">
          <bgColor theme="2" tint="-4.9989318521683403E-2"/>
        </patternFill>
      </fill>
    </dxf>
    <dxf>
      <fill>
        <patternFill patternType="solid">
          <bgColor theme="2" tint="-4.9989318521683403E-2"/>
        </patternFill>
      </fill>
    </dxf>
    <dxf>
      <fill>
        <patternFill patternType="solid">
          <bgColor theme="2" tint="-4.9989318521683403E-2"/>
        </patternFill>
      </fill>
    </dxf>
    <dxf>
      <fill>
        <patternFill patternType="solid">
          <bgColor theme="2" tint="-4.9989318521683403E-2"/>
        </patternFill>
      </fill>
    </dxf>
    <dxf>
      <numFmt numFmtId="165" formatCode="_-* #,##0_-;\-* #,##0_-;_-* &quot;-&quot;??_-;_-@_-"/>
    </dxf>
    <dxf>
      <numFmt numFmtId="165" formatCode="_-* #,##0_-;\-* #,##0_-;_-* &quot;-&quot;??_-;_-@_-"/>
    </dxf>
    <dxf>
      <font>
        <sz val="11"/>
      </font>
    </dxf>
    <dxf>
      <font>
        <sz val="11"/>
      </font>
    </dxf>
    <dxf>
      <font>
        <sz val="11"/>
      </font>
    </dxf>
    <dxf>
      <font>
        <sz val="11"/>
      </font>
    </dxf>
    <dxf>
      <font>
        <sz val="11"/>
      </font>
    </dxf>
    <dxf>
      <font>
        <sz val="11"/>
      </font>
    </dxf>
    <dxf>
      <font>
        <name val="Avenir Next LT Pro"/>
        <family val="2"/>
        <scheme val="none"/>
      </font>
    </dxf>
    <dxf>
      <font>
        <name val="Avenir Next LT Pro"/>
        <family val="2"/>
        <scheme val="none"/>
      </font>
    </dxf>
    <dxf>
      <font>
        <name val="Avenir Next LT Pro"/>
        <family val="2"/>
        <scheme val="none"/>
      </font>
    </dxf>
    <dxf>
      <font>
        <name val="Avenir Next LT Pro"/>
        <family val="2"/>
        <scheme val="none"/>
      </font>
    </dxf>
    <dxf>
      <font>
        <name val="Avenir Next LT Pro"/>
        <family val="2"/>
        <scheme val="none"/>
      </font>
    </dxf>
    <dxf>
      <font>
        <name val="Avenir Next LT Pro"/>
        <family val="2"/>
        <scheme val="none"/>
      </font>
    </dxf>
    <dxf>
      <font>
        <sz val="11"/>
      </font>
    </dxf>
    <dxf>
      <font>
        <sz val="11"/>
      </font>
    </dxf>
    <dxf>
      <font>
        <sz val="11"/>
      </font>
    </dxf>
    <dxf>
      <font>
        <sz val="11"/>
      </font>
    </dxf>
    <dxf>
      <font>
        <sz val="11"/>
      </font>
    </dxf>
    <dxf>
      <font>
        <sz val="11"/>
      </fon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font>
        <name val="Avenir Next LT Pro"/>
        <scheme val="none"/>
      </font>
    </dxf>
    <dxf>
      <font>
        <name val="Avenir Next LT Pro"/>
        <scheme val="none"/>
      </font>
    </dxf>
    <dxf>
      <font>
        <name val="Avenir Next LT Pro"/>
        <scheme val="none"/>
      </font>
    </dxf>
    <dxf>
      <font>
        <name val="Avenir Next LT Pro"/>
        <scheme val="none"/>
      </font>
    </dxf>
    <dxf>
      <font>
        <name val="Avenir Next LT Pro"/>
        <scheme val="none"/>
      </font>
    </dxf>
    <dxf>
      <font>
        <name val="Avenir Next LT Pro"/>
        <scheme val="none"/>
      </font>
    </dxf>
    <dxf>
      <font>
        <sz val="11"/>
      </font>
    </dxf>
    <dxf>
      <font>
        <sz val="11"/>
      </font>
    </dxf>
    <dxf>
      <font>
        <sz val="11"/>
      </font>
    </dxf>
    <dxf>
      <font>
        <sz val="11"/>
      </font>
    </dxf>
    <dxf>
      <font>
        <sz val="11"/>
      </font>
    </dxf>
    <dxf>
      <font>
        <sz val="11"/>
      </font>
    </dxf>
    <dxf>
      <protection locked="1"/>
    </dxf>
    <dxf>
      <protection locked="1"/>
    </dxf>
    <dxf>
      <protection locked="1"/>
    </dxf>
    <dxf>
      <protection locked="1"/>
    </dxf>
    <dxf>
      <protection locked="1"/>
    </dxf>
    <dxf>
      <protection locked="1"/>
    </dxf>
    <dxf>
      <font>
        <sz val="11"/>
      </font>
    </dxf>
    <dxf>
      <font>
        <sz val="11"/>
      </font>
    </dxf>
    <dxf>
      <font>
        <sz val="11"/>
      </font>
    </dxf>
    <dxf>
      <font>
        <sz val="11"/>
      </font>
    </dxf>
    <dxf>
      <font>
        <sz val="11"/>
      </font>
    </dxf>
    <dxf>
      <font>
        <sz val="11"/>
      </font>
    </dxf>
    <dxf>
      <font>
        <name val="Avenir Next LT Pro"/>
        <family val="2"/>
        <scheme val="none"/>
      </font>
    </dxf>
    <dxf>
      <font>
        <name val="Avenir Next LT Pro"/>
        <family val="2"/>
        <scheme val="none"/>
      </font>
    </dxf>
    <dxf>
      <font>
        <name val="Avenir Next LT Pro"/>
        <family val="2"/>
        <scheme val="none"/>
      </font>
    </dxf>
    <dxf>
      <font>
        <name val="Avenir Next LT Pro"/>
        <family val="2"/>
        <scheme val="none"/>
      </font>
    </dxf>
    <dxf>
      <font>
        <name val="Avenir Next LT Pro"/>
        <family val="2"/>
        <scheme val="none"/>
      </font>
    </dxf>
    <dxf>
      <font>
        <name val="Avenir Next LT Pro"/>
        <family val="2"/>
        <scheme val="none"/>
      </font>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numFmt numFmtId="165" formatCode="_-* #,##0_-;\-* #,##0_-;_-* &quot;-&quot;??_-;_-@_-"/>
    </dxf>
    <dxf>
      <numFmt numFmtId="165" formatCode="_-* #,##0_-;\-* #,##0_-;_-* &quot;-&quot;??_-;_-@_-"/>
    </dxf>
    <dxf>
      <font>
        <sz val="11"/>
      </font>
    </dxf>
    <dxf>
      <font>
        <sz val="11"/>
      </font>
    </dxf>
    <dxf>
      <font>
        <sz val="11"/>
      </font>
    </dxf>
    <dxf>
      <font>
        <sz val="11"/>
      </font>
    </dxf>
    <dxf>
      <font>
        <sz val="11"/>
      </font>
    </dxf>
    <dxf>
      <font>
        <sz val="11"/>
      </font>
    </dxf>
    <dxf>
      <font>
        <sz val="11"/>
      </font>
    </dxf>
    <dxf>
      <font>
        <sz val="11"/>
      </fon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font>
        <name val="Avenir Next LT Pro"/>
        <scheme val="none"/>
      </font>
    </dxf>
    <dxf>
      <font>
        <name val="Avenir Next LT Pro"/>
        <scheme val="none"/>
      </font>
    </dxf>
    <dxf>
      <font>
        <name val="Avenir Next LT Pro"/>
        <scheme val="none"/>
      </font>
    </dxf>
    <dxf>
      <font>
        <name val="Avenir Next LT Pro"/>
        <scheme val="none"/>
      </font>
    </dxf>
    <dxf>
      <font>
        <name val="Avenir Next LT Pro"/>
        <scheme val="none"/>
      </font>
    </dxf>
    <dxf>
      <font>
        <name val="Avenir Next LT Pro"/>
        <scheme val="none"/>
      </font>
    </dxf>
    <dxf>
      <font>
        <name val="Avenir Next LT Pro"/>
        <scheme val="none"/>
      </font>
    </dxf>
    <dxf>
      <font>
        <name val="Avenir Next LT Pro"/>
        <scheme val="none"/>
      </font>
    </dxf>
    <dxf>
      <font>
        <sz val="11"/>
      </font>
    </dxf>
    <dxf>
      <font>
        <sz val="11"/>
      </font>
    </dxf>
    <dxf>
      <font>
        <sz val="11"/>
      </font>
    </dxf>
    <dxf>
      <font>
        <sz val="11"/>
      </font>
    </dxf>
    <dxf>
      <font>
        <sz val="11"/>
      </font>
    </dxf>
    <dxf>
      <font>
        <sz val="11"/>
      </font>
    </dxf>
    <dxf>
      <font>
        <sz val="11"/>
      </font>
    </dxf>
    <dxf>
      <font>
        <sz val="11"/>
      </font>
    </dxf>
    <dxf>
      <protection locked="1"/>
    </dxf>
    <dxf>
      <protection locked="1"/>
    </dxf>
    <dxf>
      <protection locked="1"/>
    </dxf>
    <dxf>
      <protection locked="1"/>
    </dxf>
    <dxf>
      <protection locked="1"/>
    </dxf>
    <dxf>
      <protection locked="1"/>
    </dxf>
    <dxf>
      <protection locked="1"/>
    </dxf>
    <dxf>
      <protection locked="1"/>
    </dxf>
    <dxf>
      <fill>
        <patternFill>
          <bgColor theme="2" tint="-4.9989318521683403E-2"/>
        </patternFill>
      </fill>
    </dxf>
    <dxf>
      <fill>
        <patternFill>
          <bgColor theme="2" tint="-4.9989318521683403E-2"/>
        </patternFill>
      </fill>
    </dxf>
    <dxf>
      <fill>
        <patternFill>
          <bgColor theme="2" tint="-4.9989318521683403E-2"/>
        </patternFill>
      </fill>
    </dxf>
    <dxf>
      <fill>
        <patternFill>
          <bgColor theme="2" tint="-4.9989318521683403E-2"/>
        </patternFill>
      </fill>
    </dxf>
    <dxf>
      <fill>
        <patternFill>
          <bgColor theme="2" tint="-4.9989318521683403E-2"/>
        </patternFill>
      </fill>
    </dxf>
    <dxf>
      <fill>
        <patternFill>
          <bgColor theme="2" tint="-4.9989318521683403E-2"/>
        </patternFill>
      </fill>
    </dxf>
    <dxf>
      <fill>
        <patternFill>
          <bgColor theme="2" tint="-4.9989318521683403E-2"/>
        </patternFill>
      </fill>
    </dxf>
    <dxf>
      <fill>
        <patternFill>
          <bgColor theme="2" tint="-4.9989318521683403E-2"/>
        </patternFill>
      </fill>
    </dxf>
    <dxf>
      <fill>
        <patternFill>
          <bgColor theme="2" tint="-4.9989318521683403E-2"/>
        </patternFill>
      </fill>
    </dxf>
    <dxf>
      <fill>
        <patternFill>
          <bgColor theme="2" tint="-4.9989318521683403E-2"/>
        </patternFill>
      </fill>
    </dxf>
    <dxf>
      <fill>
        <patternFill>
          <bgColor theme="2" tint="-4.9989318521683403E-2"/>
        </patternFill>
      </fill>
    </dxf>
    <dxf>
      <numFmt numFmtId="165" formatCode="_-* #,##0_-;\-* #,##0_-;_-* &quot;-&quot;??_-;_-@_-"/>
    </dxf>
    <dxf>
      <font>
        <sz val="11"/>
      </font>
    </dxf>
    <dxf>
      <font>
        <sz val="11"/>
      </font>
    </dxf>
    <dxf>
      <font>
        <sz val="11"/>
      </font>
    </dxf>
    <dxf>
      <font>
        <sz val="11"/>
      </font>
    </dxf>
    <dxf>
      <font>
        <sz val="11"/>
      </font>
    </dxf>
    <dxf>
      <font>
        <name val="Avenir Next LT Pro"/>
        <family val="2"/>
        <scheme val="none"/>
      </font>
    </dxf>
    <dxf>
      <font>
        <name val="Avenir Next LT Pro"/>
        <family val="2"/>
        <scheme val="none"/>
      </font>
    </dxf>
    <dxf>
      <font>
        <name val="Avenir Next LT Pro"/>
        <family val="2"/>
        <scheme val="none"/>
      </font>
    </dxf>
    <dxf>
      <font>
        <name val="Avenir Next LT Pro"/>
        <family val="2"/>
        <scheme val="none"/>
      </font>
    </dxf>
    <dxf>
      <font>
        <name val="Avenir Next LT Pro"/>
        <family val="2"/>
        <scheme val="none"/>
      </font>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ont>
        <sz val="11"/>
      </font>
    </dxf>
    <dxf>
      <font>
        <sz val="11"/>
      </font>
    </dxf>
    <dxf>
      <font>
        <sz val="11"/>
      </font>
    </dxf>
    <dxf>
      <font>
        <sz val="11"/>
      </font>
    </dxf>
    <dxf>
      <font>
        <sz val="11"/>
      </font>
    </dxf>
    <dxf>
      <font>
        <sz val="11"/>
      </fon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font>
        <name val="Avenir Next LT Pro"/>
        <scheme val="none"/>
      </font>
    </dxf>
    <dxf>
      <font>
        <name val="Avenir Next LT Pro"/>
        <scheme val="none"/>
      </font>
    </dxf>
    <dxf>
      <font>
        <name val="Avenir Next LT Pro"/>
        <scheme val="none"/>
      </font>
    </dxf>
    <dxf>
      <font>
        <name val="Avenir Next LT Pro"/>
        <scheme val="none"/>
      </font>
    </dxf>
    <dxf>
      <font>
        <name val="Avenir Next LT Pro"/>
        <scheme val="none"/>
      </font>
    </dxf>
    <dxf>
      <font>
        <name val="Avenir Next LT Pro"/>
        <scheme val="none"/>
      </font>
    </dxf>
    <dxf>
      <font>
        <sz val="11"/>
      </font>
    </dxf>
    <dxf>
      <font>
        <sz val="11"/>
      </font>
    </dxf>
    <dxf>
      <font>
        <sz val="11"/>
      </font>
    </dxf>
    <dxf>
      <font>
        <sz val="11"/>
      </font>
    </dxf>
    <dxf>
      <font>
        <sz val="11"/>
      </font>
    </dxf>
    <dxf>
      <font>
        <sz val="11"/>
      </font>
    </dxf>
    <dxf>
      <protection locked="1"/>
    </dxf>
    <dxf>
      <protection locked="1"/>
    </dxf>
    <dxf>
      <protection locked="1"/>
    </dxf>
    <dxf>
      <protection locked="1"/>
    </dxf>
    <dxf>
      <protection locked="1"/>
    </dxf>
    <dxf>
      <protection locked="1"/>
    </dxf>
    <dxf>
      <font>
        <sz val="11"/>
      </font>
    </dxf>
    <dxf>
      <font>
        <sz val="11"/>
      </font>
    </dxf>
    <dxf>
      <font>
        <sz val="11"/>
      </font>
    </dxf>
    <dxf>
      <font>
        <sz val="11"/>
      </font>
    </dxf>
    <dxf>
      <font>
        <sz val="11"/>
      </font>
    </dxf>
    <dxf>
      <font>
        <sz val="11"/>
      </font>
    </dxf>
    <dxf>
      <font>
        <name val="Avenir Next LT Pro"/>
        <family val="2"/>
        <scheme val="none"/>
      </font>
    </dxf>
    <dxf>
      <font>
        <name val="Avenir Next LT Pro"/>
        <family val="2"/>
        <scheme val="none"/>
      </font>
    </dxf>
    <dxf>
      <font>
        <name val="Avenir Next LT Pro"/>
        <family val="2"/>
        <scheme val="none"/>
      </font>
    </dxf>
    <dxf>
      <font>
        <name val="Avenir Next LT Pro"/>
        <family val="2"/>
        <scheme val="none"/>
      </font>
    </dxf>
    <dxf>
      <font>
        <name val="Avenir Next LT Pro"/>
        <family val="2"/>
        <scheme val="none"/>
      </font>
    </dxf>
    <dxf>
      <font>
        <name val="Avenir Next LT Pro"/>
        <family val="2"/>
        <scheme val="none"/>
      </font>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border>
        <right style="medium">
          <color indexed="64"/>
        </right>
      </border>
    </dxf>
    <dxf>
      <border>
        <right style="medium">
          <color indexed="64"/>
        </right>
      </border>
    </dxf>
    <dxf>
      <border>
        <right style="medium">
          <color indexed="64"/>
        </right>
      </border>
    </dxf>
    <dxf>
      <border>
        <right style="medium">
          <color indexed="64"/>
        </right>
      </border>
    </dxf>
    <dxf>
      <border>
        <right style="medium">
          <color indexed="64"/>
        </right>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font>
        <sz val="11"/>
      </font>
    </dxf>
    <dxf>
      <font>
        <sz val="11"/>
      </font>
    </dxf>
    <dxf>
      <font>
        <sz val="11"/>
      </font>
    </dxf>
    <dxf>
      <font>
        <sz val="11"/>
      </font>
    </dxf>
    <dxf>
      <font>
        <sz val="11"/>
      </font>
    </dxf>
    <dxf>
      <numFmt numFmtId="168" formatCode="&quot;$&quot;#,##0"/>
    </dxf>
    <dxf>
      <numFmt numFmtId="168" formatCode="&quot;$&quot;#,##0"/>
    </dxf>
    <dxf>
      <font>
        <sz val="16"/>
        <color rgb="FFD43260"/>
        <name val="Avenir Next LT Pro"/>
        <family val="2"/>
        <scheme val="none"/>
      </font>
    </dxf>
    <dxf>
      <font>
        <sz val="11"/>
        <name val="Avenir Next LT Pro"/>
        <family val="2"/>
        <scheme val="none"/>
      </font>
      <fill>
        <patternFill patternType="solid">
          <fgColor auto="1"/>
          <bgColor rgb="FF070E25"/>
        </patternFill>
      </fill>
      <border>
        <left/>
        <right/>
        <top/>
        <bottom/>
      </border>
    </dxf>
    <dxf>
      <font>
        <sz val="16"/>
        <color rgb="FFD43260"/>
        <name val="Avenir Next LT Pro"/>
        <family val="2"/>
        <scheme val="none"/>
      </font>
    </dxf>
    <dxf>
      <font>
        <sz val="11"/>
        <name val="Avenir Next LT Pro"/>
        <family val="2"/>
        <scheme val="none"/>
      </font>
      <fill>
        <patternFill patternType="solid">
          <fgColor auto="1"/>
          <bgColor theme="1"/>
        </patternFill>
      </fill>
      <border>
        <left/>
        <right/>
        <top/>
        <bottom/>
      </border>
    </dxf>
    <dxf>
      <font>
        <sz val="11"/>
        <name val="Avenir Next LT Pro"/>
        <family val="2"/>
        <scheme val="none"/>
      </font>
      <fill>
        <patternFill patternType="solid">
          <fgColor auto="1"/>
          <bgColor rgb="FF070E25"/>
        </patternFill>
      </fill>
      <border>
        <left/>
        <right/>
        <top/>
        <bottom/>
      </border>
    </dxf>
    <dxf>
      <fill>
        <patternFill patternType="solid">
          <fgColor rgb="FFDEEAF6"/>
          <bgColor rgb="FFDEEAF6"/>
        </patternFill>
      </fill>
    </dxf>
    <dxf>
      <fill>
        <patternFill patternType="solid">
          <fgColor rgb="FFD9E2F3"/>
          <bgColor rgb="FFD9E2F3"/>
        </patternFill>
      </fill>
    </dxf>
    <dxf>
      <fill>
        <patternFill patternType="solid">
          <fgColor theme="0"/>
          <bgColor theme="0"/>
        </patternFill>
      </fill>
    </dxf>
    <dxf>
      <fill>
        <patternFill patternType="solid">
          <fgColor theme="8"/>
          <bgColor theme="8"/>
        </patternFill>
      </fill>
    </dxf>
  </dxfs>
  <tableStyles count="4" defaultTableStyle="TableStyleMedium2" defaultPivotStyle="PivotStyleLight16">
    <tableStyle name="DataSheet-style" pivot="0" count="4" xr9:uid="{00000000-0011-0000-FFFF-FFFF00000000}">
      <tableStyleElement type="headerRow" dxfId="1140"/>
      <tableStyleElement type="totalRow" dxfId="1139"/>
      <tableStyleElement type="firstRowStripe" dxfId="1138"/>
      <tableStyleElement type="secondRowStripe" dxfId="1137"/>
    </tableStyle>
    <tableStyle name="Slicer Style 1" pivot="0" table="0" count="5" xr9:uid="{199AF33C-BF78-4386-977F-388555F0CB83}">
      <tableStyleElement type="wholeTable" dxfId="1136"/>
    </tableStyle>
    <tableStyle name="Slicer Style 1 2" pivot="0" table="0" count="6" xr9:uid="{EAB6A50D-DEE4-4F5D-8A4D-719C3E4C638B}">
      <tableStyleElement type="wholeTable" dxfId="1135"/>
      <tableStyleElement type="headerRow" dxfId="1134"/>
    </tableStyle>
    <tableStyle name="Slicer Style 1 2 3" pivot="0" table="0" count="6" xr9:uid="{11C7027D-D270-4374-9564-617F0F4B451B}">
      <tableStyleElement type="wholeTable" dxfId="1133"/>
      <tableStyleElement type="headerRow" dxfId="1132"/>
    </tableStyle>
  </tableStyles>
  <colors>
    <mruColors>
      <color rgb="FFB1F5F1"/>
      <color rgb="FFD43260"/>
      <color rgb="FFCC00CC"/>
      <color rgb="FF7417BD"/>
      <color rgb="FF6921B5"/>
      <color rgb="FF194AFE"/>
      <color rgb="FF002060"/>
      <color rgb="FFDC25FA"/>
      <color rgb="FF1D1D3A"/>
      <color rgb="FF070E25"/>
    </mruColors>
  </colors>
  <extLst>
    <ext xmlns:x14="http://schemas.microsoft.com/office/spreadsheetml/2009/9/main" uri="{46F421CA-312F-682f-3DD2-61675219B42D}">
      <x14:dxfs count="12">
        <dxf>
          <font>
            <color rgb="FFD43260"/>
          </font>
          <border>
            <left style="thin">
              <color theme="0"/>
            </left>
            <right style="thin">
              <color theme="0"/>
            </right>
            <top style="thin">
              <color theme="0"/>
            </top>
            <bottom style="thin">
              <color theme="0"/>
            </bottom>
          </border>
        </dxf>
        <dxf>
          <font>
            <color theme="0"/>
          </font>
          <fill>
            <patternFill>
              <bgColor rgb="FF002060"/>
            </patternFill>
          </fill>
        </dxf>
        <dxf>
          <font>
            <color theme="0"/>
          </font>
          <fill>
            <patternFill>
              <bgColor rgb="FF070E25"/>
            </patternFill>
          </fill>
          <border>
            <left style="thin">
              <color theme="0"/>
            </left>
            <right style="thin">
              <color theme="0"/>
            </right>
            <top style="thin">
              <color theme="0"/>
            </top>
            <bottom style="thin">
              <color theme="0"/>
            </bottom>
          </border>
        </dxf>
        <dxf>
          <font>
            <color theme="0"/>
          </font>
          <fill>
            <patternFill>
              <fgColor theme="1"/>
              <bgColor rgb="FF002060"/>
            </patternFill>
          </fill>
        </dxf>
        <dxf>
          <font>
            <color rgb="FF194AFE"/>
          </font>
          <border>
            <left style="thin">
              <color theme="0"/>
            </left>
            <right style="thin">
              <color theme="0"/>
            </right>
            <top style="thin">
              <color theme="0"/>
            </top>
            <bottom style="thin">
              <color theme="0"/>
            </bottom>
          </border>
        </dxf>
        <dxf>
          <font>
            <color theme="0"/>
          </font>
          <fill>
            <patternFill>
              <bgColor rgb="FF002060"/>
            </patternFill>
          </fill>
        </dxf>
        <dxf>
          <font>
            <color theme="0"/>
          </font>
          <fill>
            <patternFill>
              <bgColor theme="3"/>
            </patternFill>
          </fill>
          <border>
            <left style="thin">
              <color theme="0"/>
            </left>
            <right style="thin">
              <color theme="0"/>
            </right>
            <top style="thin">
              <color theme="0"/>
            </top>
            <bottom style="thin">
              <color theme="0"/>
            </bottom>
          </border>
        </dxf>
        <dxf>
          <font>
            <color theme="0"/>
          </font>
          <fill>
            <patternFill>
              <fgColor theme="1"/>
              <bgColor rgb="FF7030A0"/>
            </patternFill>
          </fill>
        </dxf>
        <dxf>
          <font>
            <color rgb="FF194AFE"/>
          </font>
          <border>
            <left style="thin">
              <color theme="0"/>
            </left>
            <right style="thin">
              <color theme="0"/>
            </right>
            <top style="thin">
              <color theme="0"/>
            </top>
            <bottom style="thin">
              <color theme="0"/>
            </bottom>
          </border>
        </dxf>
        <dxf>
          <font>
            <color theme="0"/>
          </font>
          <fill>
            <patternFill>
              <bgColor rgb="FF002060"/>
            </patternFill>
          </fill>
        </dxf>
        <dxf>
          <font>
            <color theme="0"/>
          </font>
          <fill>
            <patternFill>
              <bgColor theme="3"/>
            </patternFill>
          </fill>
          <border>
            <left style="thin">
              <color theme="0"/>
            </left>
            <right style="thin">
              <color theme="0"/>
            </right>
            <top style="thin">
              <color theme="0"/>
            </top>
            <bottom style="thin">
              <color theme="0"/>
            </bottom>
          </border>
        </dxf>
        <dxf>
          <font>
            <color theme="0"/>
          </font>
          <fill>
            <patternFill>
              <fgColor theme="1"/>
              <bgColor rgb="FF002060"/>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11"/>
            <x14:slicerStyleElement type="selectedItemWithData" dxfId="10"/>
            <x14:slicerStyleElement type="hoveredUnselectedItemWithData" dxfId="9"/>
            <x14:slicerStyleElement type="hoveredSelectedItemWithData" dxfId="8"/>
          </x14:slicerStyleElements>
        </x14:slicerStyle>
        <x14:slicerStyle name="Slicer Style 1 2">
          <x14:slicerStyleElements>
            <x14:slicerStyleElement type="unselectedItemWithData" dxfId="7"/>
            <x14:slicerStyleElement type="selectedItemWithData" dxfId="6"/>
            <x14:slicerStyleElement type="hoveredUnselectedItemWithData" dxfId="5"/>
            <x14:slicerStyleElement type="hoveredSelectedItemWithData" dxfId="4"/>
          </x14:slicerStyleElements>
        </x14:slicerStyle>
        <x14:slicerStyle name="Slicer Style 1 2 3">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pivotCacheDefinition" Target="pivotCache/pivotCacheDefinition20.xml"/><Relationship Id="rId21" Type="http://schemas.openxmlformats.org/officeDocument/2006/relationships/pivotCacheDefinition" Target="pivotCache/pivotCacheDefinition15.xml"/><Relationship Id="rId42" Type="http://schemas.openxmlformats.org/officeDocument/2006/relationships/styles" Target="styles.xml"/><Relationship Id="rId47" Type="http://schemas.openxmlformats.org/officeDocument/2006/relationships/customXml" Target="../customXml/item1.xml"/><Relationship Id="rId63" Type="http://schemas.openxmlformats.org/officeDocument/2006/relationships/customXml" Target="../customXml/item17.xml"/><Relationship Id="rId68" Type="http://schemas.openxmlformats.org/officeDocument/2006/relationships/customXml" Target="../customXml/item22.xml"/><Relationship Id="rId2" Type="http://schemas.openxmlformats.org/officeDocument/2006/relationships/worksheet" Target="worksheets/sheet2.xml"/><Relationship Id="rId16" Type="http://schemas.openxmlformats.org/officeDocument/2006/relationships/pivotCacheDefinition" Target="pivotCache/pivotCacheDefinition10.xml"/><Relationship Id="rId29" Type="http://schemas.openxmlformats.org/officeDocument/2006/relationships/pivotCacheDefinition" Target="pivotCache/pivotCacheDefinition23.xml"/><Relationship Id="rId11" Type="http://schemas.openxmlformats.org/officeDocument/2006/relationships/pivotCacheDefinition" Target="pivotCache/pivotCacheDefinition5.xml"/><Relationship Id="rId24" Type="http://schemas.openxmlformats.org/officeDocument/2006/relationships/pivotCacheDefinition" Target="pivotCache/pivotCacheDefinition18.xml"/><Relationship Id="rId32" Type="http://schemas.microsoft.com/office/2007/relationships/slicerCache" Target="slicerCaches/slicerCache1.xml"/><Relationship Id="rId37" Type="http://schemas.microsoft.com/office/2007/relationships/slicerCache" Target="slicerCaches/slicerCache6.xml"/><Relationship Id="rId40" Type="http://schemas.openxmlformats.org/officeDocument/2006/relationships/theme" Target="theme/theme1.xml"/><Relationship Id="rId45" Type="http://schemas.openxmlformats.org/officeDocument/2006/relationships/powerPivotData" Target="model/item.data"/><Relationship Id="rId53" Type="http://schemas.openxmlformats.org/officeDocument/2006/relationships/customXml" Target="../customXml/item7.xml"/><Relationship Id="rId58" Type="http://schemas.openxmlformats.org/officeDocument/2006/relationships/customXml" Target="../customXml/item12.xml"/><Relationship Id="rId66" Type="http://schemas.openxmlformats.org/officeDocument/2006/relationships/customXml" Target="../customXml/item20.xml"/><Relationship Id="rId74" Type="http://schemas.openxmlformats.org/officeDocument/2006/relationships/customXml" Target="../customXml/item28.xml"/><Relationship Id="rId5" Type="http://schemas.openxmlformats.org/officeDocument/2006/relationships/worksheet" Target="worksheets/sheet5.xml"/><Relationship Id="rId61" Type="http://schemas.openxmlformats.org/officeDocument/2006/relationships/customXml" Target="../customXml/item15.xml"/><Relationship Id="rId19" Type="http://schemas.openxmlformats.org/officeDocument/2006/relationships/pivotCacheDefinition" Target="pivotCache/pivotCacheDefinition13.xml"/><Relationship Id="rId14" Type="http://schemas.openxmlformats.org/officeDocument/2006/relationships/pivotCacheDefinition" Target="pivotCache/pivotCacheDefinition8.xml"/><Relationship Id="rId22" Type="http://schemas.openxmlformats.org/officeDocument/2006/relationships/pivotCacheDefinition" Target="pivotCache/pivotCacheDefinition16.xml"/><Relationship Id="rId27" Type="http://schemas.openxmlformats.org/officeDocument/2006/relationships/pivotCacheDefinition" Target="pivotCache/pivotCacheDefinition21.xml"/><Relationship Id="rId30" Type="http://schemas.openxmlformats.org/officeDocument/2006/relationships/pivotCacheDefinition" Target="pivotCache/pivotCacheDefinition24.xml"/><Relationship Id="rId35" Type="http://schemas.microsoft.com/office/2007/relationships/slicerCache" Target="slicerCaches/slicerCache4.xml"/><Relationship Id="rId43" Type="http://schemas.openxmlformats.org/officeDocument/2006/relationships/sharedStrings" Target="sharedStrings.xml"/><Relationship Id="rId48" Type="http://schemas.openxmlformats.org/officeDocument/2006/relationships/customXml" Target="../customXml/item2.xml"/><Relationship Id="rId56" Type="http://schemas.openxmlformats.org/officeDocument/2006/relationships/customXml" Target="../customXml/item10.xml"/><Relationship Id="rId64" Type="http://schemas.openxmlformats.org/officeDocument/2006/relationships/customXml" Target="../customXml/item18.xml"/><Relationship Id="rId69" Type="http://schemas.openxmlformats.org/officeDocument/2006/relationships/customXml" Target="../customXml/item23.xml"/><Relationship Id="rId8" Type="http://schemas.openxmlformats.org/officeDocument/2006/relationships/pivotCacheDefinition" Target="pivotCache/pivotCacheDefinition2.xml"/><Relationship Id="rId51" Type="http://schemas.openxmlformats.org/officeDocument/2006/relationships/customXml" Target="../customXml/item5.xml"/><Relationship Id="rId72" Type="http://schemas.openxmlformats.org/officeDocument/2006/relationships/customXml" Target="../customXml/item26.xml"/><Relationship Id="rId3" Type="http://schemas.openxmlformats.org/officeDocument/2006/relationships/worksheet" Target="worksheets/sheet3.xml"/><Relationship Id="rId12" Type="http://schemas.openxmlformats.org/officeDocument/2006/relationships/pivotCacheDefinition" Target="pivotCache/pivotCacheDefinition6.xml"/><Relationship Id="rId17" Type="http://schemas.openxmlformats.org/officeDocument/2006/relationships/pivotCacheDefinition" Target="pivotCache/pivotCacheDefinition11.xml"/><Relationship Id="rId25" Type="http://schemas.openxmlformats.org/officeDocument/2006/relationships/pivotCacheDefinition" Target="pivotCache/pivotCacheDefinition19.xml"/><Relationship Id="rId33" Type="http://schemas.microsoft.com/office/2007/relationships/slicerCache" Target="slicerCaches/slicerCache2.xml"/><Relationship Id="rId38" Type="http://schemas.microsoft.com/office/2007/relationships/slicerCache" Target="slicerCaches/slicerCache7.xml"/><Relationship Id="rId46" Type="http://schemas.openxmlformats.org/officeDocument/2006/relationships/calcChain" Target="calcChain.xml"/><Relationship Id="rId59" Type="http://schemas.openxmlformats.org/officeDocument/2006/relationships/customXml" Target="../customXml/item13.xml"/><Relationship Id="rId67" Type="http://schemas.openxmlformats.org/officeDocument/2006/relationships/customXml" Target="../customXml/item21.xml"/><Relationship Id="rId20" Type="http://schemas.openxmlformats.org/officeDocument/2006/relationships/pivotCacheDefinition" Target="pivotCache/pivotCacheDefinition14.xml"/><Relationship Id="rId41" Type="http://schemas.openxmlformats.org/officeDocument/2006/relationships/connections" Target="connections.xml"/><Relationship Id="rId54" Type="http://schemas.openxmlformats.org/officeDocument/2006/relationships/customXml" Target="../customXml/item8.xml"/><Relationship Id="rId62" Type="http://schemas.openxmlformats.org/officeDocument/2006/relationships/customXml" Target="../customXml/item16.xml"/><Relationship Id="rId70" Type="http://schemas.openxmlformats.org/officeDocument/2006/relationships/customXml" Target="../customXml/item24.xml"/><Relationship Id="rId75" Type="http://schemas.openxmlformats.org/officeDocument/2006/relationships/customXml" Target="../customXml/item29.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pivotCacheDefinition" Target="pivotCache/pivotCacheDefinition9.xml"/><Relationship Id="rId23" Type="http://schemas.openxmlformats.org/officeDocument/2006/relationships/pivotCacheDefinition" Target="pivotCache/pivotCacheDefinition17.xml"/><Relationship Id="rId28" Type="http://schemas.openxmlformats.org/officeDocument/2006/relationships/pivotCacheDefinition" Target="pivotCache/pivotCacheDefinition22.xml"/><Relationship Id="rId36" Type="http://schemas.microsoft.com/office/2007/relationships/slicerCache" Target="slicerCaches/slicerCache5.xml"/><Relationship Id="rId49" Type="http://schemas.openxmlformats.org/officeDocument/2006/relationships/customXml" Target="../customXml/item3.xml"/><Relationship Id="rId57" Type="http://schemas.openxmlformats.org/officeDocument/2006/relationships/customXml" Target="../customXml/item11.xml"/><Relationship Id="rId10" Type="http://schemas.openxmlformats.org/officeDocument/2006/relationships/pivotCacheDefinition" Target="pivotCache/pivotCacheDefinition4.xml"/><Relationship Id="rId31" Type="http://schemas.openxmlformats.org/officeDocument/2006/relationships/pivotCacheDefinition" Target="pivotCache/pivotCacheDefinition25.xml"/><Relationship Id="rId44" Type="http://schemas.openxmlformats.org/officeDocument/2006/relationships/sheetMetadata" Target="metadata.xml"/><Relationship Id="rId52" Type="http://schemas.openxmlformats.org/officeDocument/2006/relationships/customXml" Target="../customXml/item6.xml"/><Relationship Id="rId60" Type="http://schemas.openxmlformats.org/officeDocument/2006/relationships/customXml" Target="../customXml/item14.xml"/><Relationship Id="rId65" Type="http://schemas.openxmlformats.org/officeDocument/2006/relationships/customXml" Target="../customXml/item19.xml"/><Relationship Id="rId73" Type="http://schemas.openxmlformats.org/officeDocument/2006/relationships/customXml" Target="../customXml/item27.xml"/><Relationship Id="rId4" Type="http://schemas.openxmlformats.org/officeDocument/2006/relationships/worksheet" Target="worksheets/sheet4.xml"/><Relationship Id="rId9" Type="http://schemas.openxmlformats.org/officeDocument/2006/relationships/pivotCacheDefinition" Target="pivotCache/pivotCacheDefinition3.xml"/><Relationship Id="rId13" Type="http://schemas.openxmlformats.org/officeDocument/2006/relationships/pivotCacheDefinition" Target="pivotCache/pivotCacheDefinition7.xml"/><Relationship Id="rId18" Type="http://schemas.openxmlformats.org/officeDocument/2006/relationships/pivotCacheDefinition" Target="pivotCache/pivotCacheDefinition12.xml"/><Relationship Id="rId39" Type="http://schemas.microsoft.com/office/2007/relationships/slicerCache" Target="slicerCaches/slicerCache8.xml"/><Relationship Id="rId34" Type="http://schemas.microsoft.com/office/2007/relationships/slicerCache" Target="slicerCaches/slicerCache3.xml"/><Relationship Id="rId50" Type="http://schemas.openxmlformats.org/officeDocument/2006/relationships/customXml" Target="../customXml/item4.xml"/><Relationship Id="rId55" Type="http://schemas.openxmlformats.org/officeDocument/2006/relationships/customXml" Target="../customXml/item9.xml"/><Relationship Id="rId76" Type="http://schemas.microsoft.com/office/2006/relationships/vbaProject" Target="vbaProject.bin"/><Relationship Id="rId7" Type="http://schemas.openxmlformats.org/officeDocument/2006/relationships/pivotCacheDefinition" Target="pivotCache/pivotCacheDefinition1.xml"/><Relationship Id="rId71" Type="http://schemas.openxmlformats.org/officeDocument/2006/relationships/customXml" Target="../customXml/item25.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activeX1.xml><?xml version="1.0" encoding="utf-8"?>
<ax:ocx xmlns:ax="http://schemas.microsoft.com/office/2006/activeX" xmlns:r="http://schemas.openxmlformats.org/officeDocument/2006/relationships" ax:classid="{978C9E23-D4B0-11CE-BF2D-00AA003F40D0}" ax:persistence="persistStreamInit" r:id="rId1"/>
</file>

<file path=xl/activeX/activeX2.xml><?xml version="1.0" encoding="utf-8"?>
<ax:ocx xmlns:ax="http://schemas.microsoft.com/office/2006/activeX" xmlns:r="http://schemas.openxmlformats.org/officeDocument/2006/relationships" ax:classid="{978C9E23-D4B0-11CE-BF2D-00AA003F40D0}" ax:persistence="persistStreamInit" r:id="rId1"/>
</file>

<file path=xl/activeX/activeX3.xml><?xml version="1.0" encoding="utf-8"?>
<ax:ocx xmlns:ax="http://schemas.microsoft.com/office/2006/activeX" xmlns:r="http://schemas.openxmlformats.org/officeDocument/2006/relationships" ax:classid="{978C9E23-D4B0-11CE-BF2D-00AA003F40D0}" ax:persistence="persistStreamInit" r:id="rId1"/>
</file>

<file path=xl/activeX/activeX4.xml><?xml version="1.0" encoding="utf-8"?>
<ax:ocx xmlns:ax="http://schemas.microsoft.com/office/2006/activeX" xmlns:r="http://schemas.openxmlformats.org/officeDocument/2006/relationships" ax:classid="{978C9E23-D4B0-11CE-BF2D-00AA003F40D0}" ax:persistence="persistStreamInit" r:id="rId1"/>
</file>

<file path=xl/activeX/activeX5.xml><?xml version="1.0" encoding="utf-8"?>
<ax:ocx xmlns:ax="http://schemas.microsoft.com/office/2006/activeX" xmlns:r="http://schemas.openxmlformats.org/officeDocument/2006/relationships" ax:classid="{978C9E23-D4B0-11CE-BF2D-00AA003F40D0}" ax:persistence="persistStreamInit" r:id="rId1"/>
</file>

<file path=xl/activeX/activeX6.xml><?xml version="1.0" encoding="utf-8"?>
<ax:ocx xmlns:ax="http://schemas.microsoft.com/office/2006/activeX" xmlns:r="http://schemas.openxmlformats.org/officeDocument/2006/relationships" ax:classid="{978C9E23-D4B0-11CE-BF2D-00AA003F40D0}" ax:persistence="persistStreamInit" r:id="rId1"/>
</file>

<file path=xl/activeX/activeX7.xml><?xml version="1.0" encoding="utf-8"?>
<ax:ocx xmlns:ax="http://schemas.microsoft.com/office/2006/activeX" xmlns:r="http://schemas.openxmlformats.org/officeDocument/2006/relationships" ax:classid="{978C9E23-D4B0-11CE-BF2D-00AA003F40D0}" ax:persistence="persistStreamInit" r:id="rId1"/>
</file>

<file path=xl/activeX/activeX8.xml><?xml version="1.0" encoding="utf-8"?>
<ax:ocx xmlns:ax="http://schemas.microsoft.com/office/2006/activeX" xmlns:r="http://schemas.openxmlformats.org/officeDocument/2006/relationships" ax:classid="{978C9E23-D4B0-11CE-BF2D-00AA003F40D0}" ax:persistence="persistStreamInit" r:id="rId1"/>
</file>

<file path=xl/activeX/activeX9.xml><?xml version="1.0" encoding="utf-8"?>
<ax:ocx xmlns:ax="http://schemas.microsoft.com/office/2006/activeX" xmlns:r="http://schemas.openxmlformats.org/officeDocument/2006/relationships" ax:classid="{978C9E23-D4B0-11CE-BF2D-00AA003F40D0}" ax:persistence="persistStreamInit" r:id="rId1"/>
</file>

<file path=xl/activeX/activeX10.xml><?xml version="1.0" encoding="utf-8"?>
<ax:ocx xmlns:ax="http://schemas.microsoft.com/office/2006/activeX" xmlns:r="http://schemas.openxmlformats.org/officeDocument/2006/relationships" ax:classid="{978C9E23-D4B0-11CE-BF2D-00AA003F40D0}" ax:persistence="persistStreamInit" r:id="rId1"/>
</file>

<file path=xl/activeX/activeX11.xml><?xml version="1.0" encoding="utf-8"?>
<ax:ocx xmlns:ax="http://schemas.microsoft.com/office/2006/activeX" xmlns:r="http://schemas.openxmlformats.org/officeDocument/2006/relationships" ax:classid="{978C9E23-D4B0-11CE-BF2D-00AA003F40D0}" ax:persistence="persistStreamInit" r:id="rId1"/>
</file>

<file path=xl/activeX/activeX12.xml><?xml version="1.0" encoding="utf-8"?>
<ax:ocx xmlns:ax="http://schemas.microsoft.com/office/2006/activeX" xmlns:r="http://schemas.openxmlformats.org/officeDocument/2006/relationships" ax:classid="{978C9E23-D4B0-11CE-BF2D-00AA003F40D0}" ax:persistence="persistStreamInit" r:id="rId1"/>
</file>

<file path=xl/activeX/activeX13.xml><?xml version="1.0" encoding="utf-8"?>
<ax:ocx xmlns:ax="http://schemas.microsoft.com/office/2006/activeX" xmlns:r="http://schemas.openxmlformats.org/officeDocument/2006/relationships" ax:classid="{978C9E23-D4B0-11CE-BF2D-00AA003F40D0}" ax:persistence="persistStreamInit" r:id="rId1"/>
</file>

<file path=xl/activeX/activeX14.xml><?xml version="1.0" encoding="utf-8"?>
<ax:ocx xmlns:ax="http://schemas.microsoft.com/office/2006/activeX" xmlns:r="http://schemas.openxmlformats.org/officeDocument/2006/relationships" ax:classid="{978C9E23-D4B0-11CE-BF2D-00AA003F40D0}" ax:persistence="persistStreamInit" r:id="rId1"/>
</file>

<file path=xl/activeX/activeX15.xml><?xml version="1.0" encoding="utf-8"?>
<ax:ocx xmlns:ax="http://schemas.microsoft.com/office/2006/activeX" xmlns:r="http://schemas.openxmlformats.org/officeDocument/2006/relationships" ax:classid="{978C9E23-D4B0-11CE-BF2D-00AA003F40D0}" ax:persistence="persistStreamInit" r:id="rId1"/>
</file>

<file path=xl/activeX/activeX16.xml><?xml version="1.0" encoding="utf-8"?>
<ax:ocx xmlns:ax="http://schemas.microsoft.com/office/2006/activeX" xmlns:r="http://schemas.openxmlformats.org/officeDocument/2006/relationships" ax:classid="{978C9E23-D4B0-11CE-BF2D-00AA003F40D0}" ax:persistence="persistStreamInit" r:id="rId1"/>
</file>

<file path=xl/activeX/activeX17.xml><?xml version="1.0" encoding="utf-8"?>
<ax:ocx xmlns:ax="http://schemas.microsoft.com/office/2006/activeX" xmlns:r="http://schemas.openxmlformats.org/officeDocument/2006/relationships" ax:classid="{978C9E23-D4B0-11CE-BF2D-00AA003F40D0}" ax:persistence="persistStreamInit" r:id="rId1"/>
</file>

<file path=xl/activeX/activeX18.xml><?xml version="1.0" encoding="utf-8"?>
<ax:ocx xmlns:ax="http://schemas.microsoft.com/office/2006/activeX" xmlns:r="http://schemas.openxmlformats.org/officeDocument/2006/relationships" ax:classid="{978C9E23-D4B0-11CE-BF2D-00AA003F40D0}" ax:persistence="persistStreamInit" r:id="rId1"/>
</file>

<file path=xl/activeX/activeX19.xml><?xml version="1.0" encoding="utf-8"?>
<ax:ocx xmlns:ax="http://schemas.microsoft.com/office/2006/activeX" xmlns:r="http://schemas.openxmlformats.org/officeDocument/2006/relationships" ax:classid="{978C9E23-D4B0-11CE-BF2D-00AA003F40D0}" ax:persistence="persistStreamInit" r:id="rId1"/>
</file>

<file path=xl/activeX/activeX20.xml><?xml version="1.0" encoding="utf-8"?>
<ax:ocx xmlns:ax="http://schemas.microsoft.com/office/2006/activeX" xmlns:r="http://schemas.openxmlformats.org/officeDocument/2006/relationships" ax:classid="{978C9E23-D4B0-11CE-BF2D-00AA003F40D0}" ax:persistence="persistStreamInit" r:id="rId1"/>
</file>

<file path=xl/activeX/activeX21.xml><?xml version="1.0" encoding="utf-8"?>
<ax:ocx xmlns:ax="http://schemas.microsoft.com/office/2006/activeX" xmlns:r="http://schemas.openxmlformats.org/officeDocument/2006/relationships" ax:classid="{978C9E23-D4B0-11CE-BF2D-00AA003F40D0}" ax:persistence="persistStreamInit" r:id="rId1"/>
</file>

<file path=xl/activeX/activeX22.xml><?xml version="1.0" encoding="utf-8"?>
<ax:ocx xmlns:ax="http://schemas.microsoft.com/office/2006/activeX" xmlns:r="http://schemas.openxmlformats.org/officeDocument/2006/relationships" ax:classid="{978C9E23-D4B0-11CE-BF2D-00AA003F40D0}" ax:persistence="persistStreamInit" r:id="rId1"/>
</file>

<file path=xl/activeX/activeX23.xml><?xml version="1.0" encoding="utf-8"?>
<ax:ocx xmlns:ax="http://schemas.microsoft.com/office/2006/activeX" xmlns:r="http://schemas.openxmlformats.org/officeDocument/2006/relationships" ax:classid="{978C9E23-D4B0-11CE-BF2D-00AA003F40D0}" ax:persistence="persistStreamInit" r:id="rId1"/>
</file>

<file path=xl/activeX/activeX24.xml><?xml version="1.0" encoding="utf-8"?>
<ax:ocx xmlns:ax="http://schemas.microsoft.com/office/2006/activeX" xmlns:r="http://schemas.openxmlformats.org/officeDocument/2006/relationships" ax:classid="{978C9E23-D4B0-11CE-BF2D-00AA003F40D0}" ax:persistence="persistStreamInit" r:id="rId1"/>
</file>

<file path=xl/activeX/activeX25.xml><?xml version="1.0" encoding="utf-8"?>
<ax:ocx xmlns:ax="http://schemas.microsoft.com/office/2006/activeX" xmlns:r="http://schemas.openxmlformats.org/officeDocument/2006/relationships" ax:classid="{978C9E23-D4B0-11CE-BF2D-00AA003F40D0}" ax:persistence="persistStreamInit" r:id="rId1"/>
</file>

<file path=xl/activeX/activeX26.xml><?xml version="1.0" encoding="utf-8"?>
<ax:ocx xmlns:ax="http://schemas.microsoft.com/office/2006/activeX" xmlns:r="http://schemas.openxmlformats.org/officeDocument/2006/relationships" ax:classid="{978C9E23-D4B0-11CE-BF2D-00AA003F40D0}" ax:persistence="persistStreamInit" r:id="rId1"/>
</file>

<file path=xl/activeX/activeX27.xml><?xml version="1.0" encoding="utf-8"?>
<ax:ocx xmlns:ax="http://schemas.microsoft.com/office/2006/activeX" xmlns:r="http://schemas.openxmlformats.org/officeDocument/2006/relationships" ax:classid="{978C9E23-D4B0-11CE-BF2D-00AA003F40D0}" ax:persistence="persistStreamInit" r:id="rId1"/>
</file>

<file path=xl/activeX/activeX28.xml><?xml version="1.0" encoding="utf-8"?>
<ax:ocx xmlns:ax="http://schemas.microsoft.com/office/2006/activeX" xmlns:r="http://schemas.openxmlformats.org/officeDocument/2006/relationships" ax:classid="{978C9E23-D4B0-11CE-BF2D-00AA003F40D0}" ax:persistence="persistStreamInit" r:id="rId1"/>
</file>

<file path=xl/activeX/activeX29.xml><?xml version="1.0" encoding="utf-8"?>
<ax:ocx xmlns:ax="http://schemas.microsoft.com/office/2006/activeX" xmlns:r="http://schemas.openxmlformats.org/officeDocument/2006/relationships" ax:classid="{978C9E23-D4B0-11CE-BF2D-00AA003F40D0}" ax:persistence="persistStreamInit" r:id="rId1"/>
</file>

<file path=xl/activeX/activeX30.xml><?xml version="1.0" encoding="utf-8"?>
<ax:ocx xmlns:ax="http://schemas.microsoft.com/office/2006/activeX" xmlns:r="http://schemas.openxmlformats.org/officeDocument/2006/relationships" ax:classid="{978C9E23-D4B0-11CE-BF2D-00AA003F40D0}" ax:persistence="persistStreamInit" r:id="rId1"/>
</file>

<file path=xl/activeX/activeX31.xml><?xml version="1.0" encoding="utf-8"?>
<ax:ocx xmlns:ax="http://schemas.microsoft.com/office/2006/activeX" xmlns:r="http://schemas.openxmlformats.org/officeDocument/2006/relationships" ax:classid="{978C9E23-D4B0-11CE-BF2D-00AA003F40D0}" ax:persistence="persistStreamInit" r:id="rId1"/>
</file>

<file path=xl/activeX/activeX32.xml><?xml version="1.0" encoding="utf-8"?>
<ax:ocx xmlns:ax="http://schemas.microsoft.com/office/2006/activeX" xmlns:r="http://schemas.openxmlformats.org/officeDocument/2006/relationships" ax:classid="{978C9E23-D4B0-11CE-BF2D-00AA003F40D0}"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10.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Ex1.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doughnutChart>
        <c:varyColors val="1"/>
        <c:ser>
          <c:idx val="0"/>
          <c:order val="0"/>
          <c:spPr>
            <a:gradFill>
              <a:gsLst>
                <a:gs pos="60000">
                  <a:srgbClr val="9947F7"/>
                </a:gs>
                <a:gs pos="0">
                  <a:srgbClr val="DC25FA"/>
                </a:gs>
              </a:gsLst>
              <a:lin ang="5400000" scaled="1"/>
            </a:gradFill>
            <a:ln w="146050">
              <a:solidFill>
                <a:schemeClr val="tx1"/>
              </a:solidFill>
            </a:ln>
          </c:spPr>
          <c:dPt>
            <c:idx val="0"/>
            <c:bubble3D val="0"/>
            <c:spPr>
              <a:gradFill>
                <a:gsLst>
                  <a:gs pos="60000">
                    <a:srgbClr val="9947F7"/>
                  </a:gs>
                  <a:gs pos="0">
                    <a:srgbClr val="DC25FA"/>
                  </a:gs>
                </a:gsLst>
                <a:lin ang="5400000" scaled="1"/>
              </a:gradFill>
              <a:ln w="146050">
                <a:solidFill>
                  <a:schemeClr val="tx1"/>
                </a:solidFill>
              </a:ln>
              <a:effectLst/>
            </c:spPr>
            <c:extLst>
              <c:ext xmlns:c16="http://schemas.microsoft.com/office/drawing/2014/chart" uri="{C3380CC4-5D6E-409C-BE32-E72D297353CC}">
                <c16:uniqueId val="{00000001-3A37-4DA5-B160-B2FECB46A751}"/>
              </c:ext>
            </c:extLst>
          </c:dPt>
          <c:dPt>
            <c:idx val="1"/>
            <c:bubble3D val="0"/>
            <c:spPr>
              <a:gradFill>
                <a:gsLst>
                  <a:gs pos="60000">
                    <a:srgbClr val="9947F7"/>
                  </a:gs>
                  <a:gs pos="0">
                    <a:srgbClr val="DC25FA"/>
                  </a:gs>
                </a:gsLst>
                <a:lin ang="5400000" scaled="1"/>
              </a:gradFill>
              <a:ln w="146050">
                <a:solidFill>
                  <a:schemeClr val="tx1"/>
                </a:solidFill>
              </a:ln>
              <a:effectLst/>
            </c:spPr>
            <c:extLst>
              <c:ext xmlns:c16="http://schemas.microsoft.com/office/drawing/2014/chart" uri="{C3380CC4-5D6E-409C-BE32-E72D297353CC}">
                <c16:uniqueId val="{00000003-3A37-4DA5-B160-B2FECB46A751}"/>
              </c:ext>
            </c:extLst>
          </c:dPt>
          <c:dPt>
            <c:idx val="2"/>
            <c:bubble3D val="0"/>
            <c:spPr>
              <a:gradFill>
                <a:gsLst>
                  <a:gs pos="60000">
                    <a:srgbClr val="9947F7"/>
                  </a:gs>
                  <a:gs pos="0">
                    <a:srgbClr val="DC25FA"/>
                  </a:gs>
                </a:gsLst>
                <a:lin ang="5400000" scaled="1"/>
              </a:gradFill>
              <a:ln w="146050">
                <a:solidFill>
                  <a:schemeClr val="tx1"/>
                </a:solidFill>
              </a:ln>
              <a:effectLst/>
            </c:spPr>
            <c:extLst>
              <c:ext xmlns:c16="http://schemas.microsoft.com/office/drawing/2014/chart" uri="{C3380CC4-5D6E-409C-BE32-E72D297353CC}">
                <c16:uniqueId val="{00000005-3A37-4DA5-B160-B2FECB46A751}"/>
              </c:ext>
            </c:extLst>
          </c:dPt>
          <c:dPt>
            <c:idx val="3"/>
            <c:bubble3D val="0"/>
            <c:spPr>
              <a:gradFill>
                <a:gsLst>
                  <a:gs pos="60000">
                    <a:srgbClr val="9947F7"/>
                  </a:gs>
                  <a:gs pos="0">
                    <a:srgbClr val="DC25FA"/>
                  </a:gs>
                </a:gsLst>
                <a:lin ang="5400000" scaled="1"/>
              </a:gradFill>
              <a:ln w="146050">
                <a:solidFill>
                  <a:schemeClr val="tx1"/>
                </a:solidFill>
              </a:ln>
              <a:effectLst/>
            </c:spPr>
            <c:extLst>
              <c:ext xmlns:c16="http://schemas.microsoft.com/office/drawing/2014/chart" uri="{C3380CC4-5D6E-409C-BE32-E72D297353CC}">
                <c16:uniqueId val="{00000007-3A37-4DA5-B160-B2FECB46A751}"/>
              </c:ext>
            </c:extLst>
          </c:dPt>
          <c:dPt>
            <c:idx val="4"/>
            <c:bubble3D val="0"/>
            <c:spPr>
              <a:gradFill>
                <a:gsLst>
                  <a:gs pos="60000">
                    <a:srgbClr val="9947F7"/>
                  </a:gs>
                  <a:gs pos="0">
                    <a:srgbClr val="DC25FA"/>
                  </a:gs>
                </a:gsLst>
                <a:lin ang="5400000" scaled="1"/>
              </a:gradFill>
              <a:ln w="146050">
                <a:solidFill>
                  <a:schemeClr val="tx1"/>
                </a:solidFill>
              </a:ln>
              <a:effectLst/>
            </c:spPr>
            <c:extLst>
              <c:ext xmlns:c16="http://schemas.microsoft.com/office/drawing/2014/chart" uri="{C3380CC4-5D6E-409C-BE32-E72D297353CC}">
                <c16:uniqueId val="{00000009-3A37-4DA5-B160-B2FECB46A751}"/>
              </c:ext>
            </c:extLst>
          </c:dPt>
          <c:dPt>
            <c:idx val="5"/>
            <c:bubble3D val="0"/>
            <c:spPr>
              <a:gradFill>
                <a:gsLst>
                  <a:gs pos="60000">
                    <a:srgbClr val="9947F7"/>
                  </a:gs>
                  <a:gs pos="0">
                    <a:srgbClr val="DC25FA"/>
                  </a:gs>
                </a:gsLst>
                <a:lin ang="5400000" scaled="1"/>
              </a:gradFill>
              <a:ln w="146050">
                <a:solidFill>
                  <a:schemeClr val="tx1"/>
                </a:solidFill>
              </a:ln>
              <a:effectLst/>
            </c:spPr>
            <c:extLst>
              <c:ext xmlns:c16="http://schemas.microsoft.com/office/drawing/2014/chart" uri="{C3380CC4-5D6E-409C-BE32-E72D297353CC}">
                <c16:uniqueId val="{0000000B-3A37-4DA5-B160-B2FECB46A751}"/>
              </c:ext>
            </c:extLst>
          </c:dPt>
          <c:dPt>
            <c:idx val="6"/>
            <c:bubble3D val="0"/>
            <c:spPr>
              <a:gradFill>
                <a:gsLst>
                  <a:gs pos="60000">
                    <a:srgbClr val="9947F7"/>
                  </a:gs>
                  <a:gs pos="0">
                    <a:srgbClr val="DC25FA"/>
                  </a:gs>
                </a:gsLst>
                <a:lin ang="5400000" scaled="1"/>
              </a:gradFill>
              <a:ln w="146050">
                <a:solidFill>
                  <a:schemeClr val="tx1"/>
                </a:solidFill>
              </a:ln>
              <a:effectLst/>
            </c:spPr>
            <c:extLst>
              <c:ext xmlns:c16="http://schemas.microsoft.com/office/drawing/2014/chart" uri="{C3380CC4-5D6E-409C-BE32-E72D297353CC}">
                <c16:uniqueId val="{0000000D-3A37-4DA5-B160-B2FECB46A751}"/>
              </c:ext>
            </c:extLst>
          </c:dPt>
          <c:dPt>
            <c:idx val="7"/>
            <c:bubble3D val="0"/>
            <c:spPr>
              <a:gradFill>
                <a:gsLst>
                  <a:gs pos="60000">
                    <a:srgbClr val="9947F7"/>
                  </a:gs>
                  <a:gs pos="0">
                    <a:srgbClr val="DC25FA"/>
                  </a:gs>
                </a:gsLst>
                <a:lin ang="5400000" scaled="1"/>
              </a:gradFill>
              <a:ln w="146050">
                <a:solidFill>
                  <a:schemeClr val="tx1"/>
                </a:solidFill>
              </a:ln>
              <a:effectLst/>
            </c:spPr>
            <c:extLst>
              <c:ext xmlns:c16="http://schemas.microsoft.com/office/drawing/2014/chart" uri="{C3380CC4-5D6E-409C-BE32-E72D297353CC}">
                <c16:uniqueId val="{0000000F-3A37-4DA5-B160-B2FECB46A751}"/>
              </c:ext>
            </c:extLst>
          </c:dPt>
          <c:dPt>
            <c:idx val="8"/>
            <c:bubble3D val="0"/>
            <c:spPr>
              <a:gradFill>
                <a:gsLst>
                  <a:gs pos="60000">
                    <a:srgbClr val="9947F7"/>
                  </a:gs>
                  <a:gs pos="0">
                    <a:srgbClr val="DC25FA"/>
                  </a:gs>
                </a:gsLst>
                <a:lin ang="5400000" scaled="1"/>
              </a:gradFill>
              <a:ln w="146050">
                <a:solidFill>
                  <a:schemeClr val="tx1"/>
                </a:solidFill>
              </a:ln>
              <a:effectLst/>
            </c:spPr>
            <c:extLst>
              <c:ext xmlns:c16="http://schemas.microsoft.com/office/drawing/2014/chart" uri="{C3380CC4-5D6E-409C-BE32-E72D297353CC}">
                <c16:uniqueId val="{00000011-3A37-4DA5-B160-B2FECB46A751}"/>
              </c:ext>
            </c:extLst>
          </c:dPt>
          <c:dPt>
            <c:idx val="9"/>
            <c:bubble3D val="0"/>
            <c:spPr>
              <a:gradFill>
                <a:gsLst>
                  <a:gs pos="60000">
                    <a:srgbClr val="9947F7"/>
                  </a:gs>
                  <a:gs pos="0">
                    <a:srgbClr val="DC25FA"/>
                  </a:gs>
                </a:gsLst>
                <a:lin ang="5400000" scaled="1"/>
              </a:gradFill>
              <a:ln w="146050">
                <a:solidFill>
                  <a:schemeClr val="tx1"/>
                </a:solidFill>
              </a:ln>
              <a:effectLst/>
            </c:spPr>
            <c:extLst>
              <c:ext xmlns:c16="http://schemas.microsoft.com/office/drawing/2014/chart" uri="{C3380CC4-5D6E-409C-BE32-E72D297353CC}">
                <c16:uniqueId val="{00000013-3A37-4DA5-B160-B2FECB46A751}"/>
              </c:ext>
            </c:extLst>
          </c:dPt>
          <c:dPt>
            <c:idx val="10"/>
            <c:bubble3D val="0"/>
            <c:spPr>
              <a:gradFill>
                <a:gsLst>
                  <a:gs pos="60000">
                    <a:srgbClr val="9947F7"/>
                  </a:gs>
                  <a:gs pos="0">
                    <a:srgbClr val="DC25FA"/>
                  </a:gs>
                </a:gsLst>
                <a:lin ang="5400000" scaled="1"/>
              </a:gradFill>
              <a:ln w="146050">
                <a:solidFill>
                  <a:schemeClr val="tx1"/>
                </a:solidFill>
              </a:ln>
              <a:effectLst/>
            </c:spPr>
            <c:extLst>
              <c:ext xmlns:c16="http://schemas.microsoft.com/office/drawing/2014/chart" uri="{C3380CC4-5D6E-409C-BE32-E72D297353CC}">
                <c16:uniqueId val="{00000015-3A37-4DA5-B160-B2FECB46A751}"/>
              </c:ext>
            </c:extLst>
          </c:dPt>
          <c:dPt>
            <c:idx val="11"/>
            <c:bubble3D val="0"/>
            <c:spPr>
              <a:gradFill>
                <a:gsLst>
                  <a:gs pos="60000">
                    <a:srgbClr val="9947F7"/>
                  </a:gs>
                  <a:gs pos="0">
                    <a:srgbClr val="DC25FA"/>
                  </a:gs>
                </a:gsLst>
                <a:lin ang="5400000" scaled="1"/>
              </a:gradFill>
              <a:ln w="146050">
                <a:solidFill>
                  <a:schemeClr val="tx1"/>
                </a:solidFill>
              </a:ln>
              <a:effectLst/>
            </c:spPr>
            <c:extLst>
              <c:ext xmlns:c16="http://schemas.microsoft.com/office/drawing/2014/chart" uri="{C3380CC4-5D6E-409C-BE32-E72D297353CC}">
                <c16:uniqueId val="{00000017-3A37-4DA5-B160-B2FECB46A751}"/>
              </c:ext>
            </c:extLst>
          </c:dPt>
          <c:dPt>
            <c:idx val="12"/>
            <c:bubble3D val="0"/>
            <c:spPr>
              <a:gradFill>
                <a:gsLst>
                  <a:gs pos="60000">
                    <a:srgbClr val="9947F7"/>
                  </a:gs>
                  <a:gs pos="0">
                    <a:srgbClr val="DC25FA"/>
                  </a:gs>
                </a:gsLst>
                <a:lin ang="5400000" scaled="1"/>
              </a:gradFill>
              <a:ln w="146050">
                <a:solidFill>
                  <a:schemeClr val="tx1"/>
                </a:solidFill>
              </a:ln>
              <a:effectLst/>
            </c:spPr>
            <c:extLst>
              <c:ext xmlns:c16="http://schemas.microsoft.com/office/drawing/2014/chart" uri="{C3380CC4-5D6E-409C-BE32-E72D297353CC}">
                <c16:uniqueId val="{00000019-3A37-4DA5-B160-B2FECB46A751}"/>
              </c:ext>
            </c:extLst>
          </c:dPt>
          <c:dPt>
            <c:idx val="13"/>
            <c:bubble3D val="0"/>
            <c:spPr>
              <a:gradFill>
                <a:gsLst>
                  <a:gs pos="60000">
                    <a:srgbClr val="9947F7"/>
                  </a:gs>
                  <a:gs pos="0">
                    <a:srgbClr val="DC25FA"/>
                  </a:gs>
                </a:gsLst>
                <a:lin ang="5400000" scaled="1"/>
              </a:gradFill>
              <a:ln w="146050">
                <a:solidFill>
                  <a:schemeClr val="tx1"/>
                </a:solidFill>
              </a:ln>
              <a:effectLst/>
            </c:spPr>
            <c:extLst>
              <c:ext xmlns:c16="http://schemas.microsoft.com/office/drawing/2014/chart" uri="{C3380CC4-5D6E-409C-BE32-E72D297353CC}">
                <c16:uniqueId val="{0000001B-3A37-4DA5-B160-B2FECB46A751}"/>
              </c:ext>
            </c:extLst>
          </c:dPt>
          <c:dPt>
            <c:idx val="14"/>
            <c:bubble3D val="0"/>
            <c:spPr>
              <a:gradFill>
                <a:gsLst>
                  <a:gs pos="60000">
                    <a:srgbClr val="9947F7"/>
                  </a:gs>
                  <a:gs pos="0">
                    <a:srgbClr val="DC25FA"/>
                  </a:gs>
                </a:gsLst>
                <a:lin ang="5400000" scaled="1"/>
              </a:gradFill>
              <a:ln w="146050">
                <a:solidFill>
                  <a:schemeClr val="tx1"/>
                </a:solidFill>
              </a:ln>
              <a:effectLst/>
            </c:spPr>
            <c:extLst>
              <c:ext xmlns:c16="http://schemas.microsoft.com/office/drawing/2014/chart" uri="{C3380CC4-5D6E-409C-BE32-E72D297353CC}">
                <c16:uniqueId val="{0000001D-3A37-4DA5-B160-B2FECB46A751}"/>
              </c:ext>
            </c:extLst>
          </c:dPt>
          <c:dPt>
            <c:idx val="15"/>
            <c:bubble3D val="0"/>
            <c:spPr>
              <a:gradFill>
                <a:gsLst>
                  <a:gs pos="60000">
                    <a:srgbClr val="9947F7"/>
                  </a:gs>
                  <a:gs pos="0">
                    <a:srgbClr val="DC25FA"/>
                  </a:gs>
                </a:gsLst>
                <a:lin ang="5400000" scaled="1"/>
              </a:gradFill>
              <a:ln w="146050">
                <a:solidFill>
                  <a:schemeClr val="tx1"/>
                </a:solidFill>
              </a:ln>
              <a:effectLst/>
            </c:spPr>
            <c:extLst>
              <c:ext xmlns:c16="http://schemas.microsoft.com/office/drawing/2014/chart" uri="{C3380CC4-5D6E-409C-BE32-E72D297353CC}">
                <c16:uniqueId val="{0000001F-3A37-4DA5-B160-B2FECB46A751}"/>
              </c:ext>
            </c:extLst>
          </c:dPt>
          <c:dPt>
            <c:idx val="16"/>
            <c:bubble3D val="0"/>
            <c:spPr>
              <a:gradFill>
                <a:gsLst>
                  <a:gs pos="60000">
                    <a:srgbClr val="9947F7"/>
                  </a:gs>
                  <a:gs pos="0">
                    <a:srgbClr val="DC25FA"/>
                  </a:gs>
                </a:gsLst>
                <a:lin ang="5400000" scaled="1"/>
              </a:gradFill>
              <a:ln w="146050">
                <a:solidFill>
                  <a:schemeClr val="tx1"/>
                </a:solidFill>
              </a:ln>
              <a:effectLst/>
            </c:spPr>
            <c:extLst>
              <c:ext xmlns:c16="http://schemas.microsoft.com/office/drawing/2014/chart" uri="{C3380CC4-5D6E-409C-BE32-E72D297353CC}">
                <c16:uniqueId val="{00000021-3A37-4DA5-B160-B2FECB46A751}"/>
              </c:ext>
            </c:extLst>
          </c:dPt>
          <c:dPt>
            <c:idx val="17"/>
            <c:bubble3D val="0"/>
            <c:spPr>
              <a:gradFill>
                <a:gsLst>
                  <a:gs pos="60000">
                    <a:srgbClr val="9947F7"/>
                  </a:gs>
                  <a:gs pos="0">
                    <a:srgbClr val="DC25FA"/>
                  </a:gs>
                </a:gsLst>
                <a:lin ang="5400000" scaled="1"/>
              </a:gradFill>
              <a:ln w="146050">
                <a:solidFill>
                  <a:schemeClr val="tx1"/>
                </a:solidFill>
              </a:ln>
              <a:effectLst/>
            </c:spPr>
            <c:extLst>
              <c:ext xmlns:c16="http://schemas.microsoft.com/office/drawing/2014/chart" uri="{C3380CC4-5D6E-409C-BE32-E72D297353CC}">
                <c16:uniqueId val="{00000023-3A37-4DA5-B160-B2FECB46A751}"/>
              </c:ext>
            </c:extLst>
          </c:dPt>
          <c:dPt>
            <c:idx val="18"/>
            <c:bubble3D val="0"/>
            <c:spPr>
              <a:gradFill>
                <a:gsLst>
                  <a:gs pos="60000">
                    <a:srgbClr val="9947F7"/>
                  </a:gs>
                  <a:gs pos="0">
                    <a:srgbClr val="DC25FA"/>
                  </a:gs>
                </a:gsLst>
                <a:lin ang="5400000" scaled="1"/>
              </a:gradFill>
              <a:ln w="146050">
                <a:solidFill>
                  <a:schemeClr val="tx1"/>
                </a:solidFill>
              </a:ln>
              <a:effectLst/>
            </c:spPr>
            <c:extLst>
              <c:ext xmlns:c16="http://schemas.microsoft.com/office/drawing/2014/chart" uri="{C3380CC4-5D6E-409C-BE32-E72D297353CC}">
                <c16:uniqueId val="{00000025-3A37-4DA5-B160-B2FECB46A751}"/>
              </c:ext>
            </c:extLst>
          </c:dPt>
          <c:dPt>
            <c:idx val="19"/>
            <c:bubble3D val="0"/>
            <c:spPr>
              <a:gradFill>
                <a:gsLst>
                  <a:gs pos="60000">
                    <a:srgbClr val="9947F7"/>
                  </a:gs>
                  <a:gs pos="0">
                    <a:srgbClr val="DC25FA"/>
                  </a:gs>
                </a:gsLst>
                <a:lin ang="5400000" scaled="1"/>
              </a:gradFill>
              <a:ln w="146050">
                <a:solidFill>
                  <a:schemeClr val="tx1"/>
                </a:solidFill>
              </a:ln>
              <a:effectLst/>
            </c:spPr>
            <c:extLst>
              <c:ext xmlns:c16="http://schemas.microsoft.com/office/drawing/2014/chart" uri="{C3380CC4-5D6E-409C-BE32-E72D297353CC}">
                <c16:uniqueId val="{00000027-3A37-4DA5-B160-B2FECB46A751}"/>
              </c:ext>
            </c:extLst>
          </c:dPt>
          <c:dPt>
            <c:idx val="20"/>
            <c:bubble3D val="0"/>
            <c:spPr>
              <a:gradFill>
                <a:gsLst>
                  <a:gs pos="60000">
                    <a:srgbClr val="9947F7"/>
                  </a:gs>
                  <a:gs pos="0">
                    <a:srgbClr val="DC25FA"/>
                  </a:gs>
                </a:gsLst>
                <a:lin ang="5400000" scaled="1"/>
              </a:gradFill>
              <a:ln w="146050">
                <a:solidFill>
                  <a:schemeClr val="tx1"/>
                </a:solidFill>
              </a:ln>
              <a:effectLst/>
            </c:spPr>
            <c:extLst>
              <c:ext xmlns:c16="http://schemas.microsoft.com/office/drawing/2014/chart" uri="{C3380CC4-5D6E-409C-BE32-E72D297353CC}">
                <c16:uniqueId val="{00000029-3A37-4DA5-B160-B2FECB46A751}"/>
              </c:ext>
            </c:extLst>
          </c:dPt>
          <c:dPt>
            <c:idx val="21"/>
            <c:bubble3D val="0"/>
            <c:spPr>
              <a:gradFill>
                <a:gsLst>
                  <a:gs pos="60000">
                    <a:srgbClr val="9947F7"/>
                  </a:gs>
                  <a:gs pos="0">
                    <a:srgbClr val="DC25FA"/>
                  </a:gs>
                </a:gsLst>
                <a:lin ang="5400000" scaled="1"/>
              </a:gradFill>
              <a:ln w="146050">
                <a:solidFill>
                  <a:schemeClr val="tx1"/>
                </a:solidFill>
              </a:ln>
              <a:effectLst/>
            </c:spPr>
            <c:extLst>
              <c:ext xmlns:c16="http://schemas.microsoft.com/office/drawing/2014/chart" uri="{C3380CC4-5D6E-409C-BE32-E72D297353CC}">
                <c16:uniqueId val="{0000002B-3A37-4DA5-B160-B2FECB46A751}"/>
              </c:ext>
            </c:extLst>
          </c:dPt>
          <c:dPt>
            <c:idx val="22"/>
            <c:bubble3D val="0"/>
            <c:spPr>
              <a:gradFill>
                <a:gsLst>
                  <a:gs pos="60000">
                    <a:srgbClr val="9947F7"/>
                  </a:gs>
                  <a:gs pos="0">
                    <a:srgbClr val="DC25FA"/>
                  </a:gs>
                </a:gsLst>
                <a:lin ang="5400000" scaled="1"/>
              </a:gradFill>
              <a:ln w="146050">
                <a:solidFill>
                  <a:schemeClr val="tx1"/>
                </a:solidFill>
              </a:ln>
              <a:effectLst/>
            </c:spPr>
            <c:extLst>
              <c:ext xmlns:c16="http://schemas.microsoft.com/office/drawing/2014/chart" uri="{C3380CC4-5D6E-409C-BE32-E72D297353CC}">
                <c16:uniqueId val="{0000002D-3A37-4DA5-B160-B2FECB46A751}"/>
              </c:ext>
            </c:extLst>
          </c:dPt>
          <c:dPt>
            <c:idx val="23"/>
            <c:bubble3D val="0"/>
            <c:spPr>
              <a:gradFill>
                <a:gsLst>
                  <a:gs pos="60000">
                    <a:srgbClr val="9947F7"/>
                  </a:gs>
                  <a:gs pos="0">
                    <a:srgbClr val="DC25FA"/>
                  </a:gs>
                </a:gsLst>
                <a:lin ang="5400000" scaled="1"/>
              </a:gradFill>
              <a:ln w="146050">
                <a:solidFill>
                  <a:schemeClr val="tx1"/>
                </a:solidFill>
              </a:ln>
              <a:effectLst/>
            </c:spPr>
            <c:extLst>
              <c:ext xmlns:c16="http://schemas.microsoft.com/office/drawing/2014/chart" uri="{C3380CC4-5D6E-409C-BE32-E72D297353CC}">
                <c16:uniqueId val="{0000002F-3A37-4DA5-B160-B2FECB46A751}"/>
              </c:ext>
            </c:extLst>
          </c:dPt>
          <c:dPt>
            <c:idx val="24"/>
            <c:bubble3D val="0"/>
            <c:spPr>
              <a:gradFill>
                <a:gsLst>
                  <a:gs pos="60000">
                    <a:srgbClr val="9947F7"/>
                  </a:gs>
                  <a:gs pos="0">
                    <a:srgbClr val="DC25FA"/>
                  </a:gs>
                </a:gsLst>
                <a:lin ang="5400000" scaled="1"/>
              </a:gradFill>
              <a:ln w="146050">
                <a:solidFill>
                  <a:schemeClr val="tx1"/>
                </a:solidFill>
              </a:ln>
              <a:effectLst/>
            </c:spPr>
            <c:extLst>
              <c:ext xmlns:c16="http://schemas.microsoft.com/office/drawing/2014/chart" uri="{C3380CC4-5D6E-409C-BE32-E72D297353CC}">
                <c16:uniqueId val="{00000031-3A37-4DA5-B160-B2FECB46A751}"/>
              </c:ext>
            </c:extLst>
          </c:dPt>
          <c:dPt>
            <c:idx val="25"/>
            <c:bubble3D val="0"/>
            <c:spPr>
              <a:gradFill>
                <a:gsLst>
                  <a:gs pos="60000">
                    <a:srgbClr val="9947F7"/>
                  </a:gs>
                  <a:gs pos="0">
                    <a:srgbClr val="DC25FA"/>
                  </a:gs>
                </a:gsLst>
                <a:lin ang="5400000" scaled="1"/>
              </a:gradFill>
              <a:ln w="146050">
                <a:solidFill>
                  <a:schemeClr val="tx1"/>
                </a:solidFill>
              </a:ln>
              <a:effectLst/>
            </c:spPr>
            <c:extLst>
              <c:ext xmlns:c16="http://schemas.microsoft.com/office/drawing/2014/chart" uri="{C3380CC4-5D6E-409C-BE32-E72D297353CC}">
                <c16:uniqueId val="{00000033-3A37-4DA5-B160-B2FECB46A751}"/>
              </c:ext>
            </c:extLst>
          </c:dPt>
          <c:dPt>
            <c:idx val="26"/>
            <c:bubble3D val="0"/>
            <c:spPr>
              <a:gradFill>
                <a:gsLst>
                  <a:gs pos="60000">
                    <a:srgbClr val="9947F7"/>
                  </a:gs>
                  <a:gs pos="0">
                    <a:srgbClr val="DC25FA"/>
                  </a:gs>
                </a:gsLst>
                <a:lin ang="5400000" scaled="1"/>
              </a:gradFill>
              <a:ln w="146050">
                <a:solidFill>
                  <a:schemeClr val="tx1"/>
                </a:solidFill>
              </a:ln>
              <a:effectLst/>
            </c:spPr>
            <c:extLst>
              <c:ext xmlns:c16="http://schemas.microsoft.com/office/drawing/2014/chart" uri="{C3380CC4-5D6E-409C-BE32-E72D297353CC}">
                <c16:uniqueId val="{00000035-3A37-4DA5-B160-B2FECB46A751}"/>
              </c:ext>
            </c:extLst>
          </c:dPt>
          <c:dPt>
            <c:idx val="27"/>
            <c:bubble3D val="0"/>
            <c:spPr>
              <a:gradFill>
                <a:gsLst>
                  <a:gs pos="60000">
                    <a:srgbClr val="9947F7"/>
                  </a:gs>
                  <a:gs pos="0">
                    <a:srgbClr val="DC25FA"/>
                  </a:gs>
                </a:gsLst>
                <a:lin ang="5400000" scaled="1"/>
              </a:gradFill>
              <a:ln w="146050">
                <a:solidFill>
                  <a:schemeClr val="tx1"/>
                </a:solidFill>
              </a:ln>
              <a:effectLst/>
            </c:spPr>
            <c:extLst>
              <c:ext xmlns:c16="http://schemas.microsoft.com/office/drawing/2014/chart" uri="{C3380CC4-5D6E-409C-BE32-E72D297353CC}">
                <c16:uniqueId val="{00000037-3A37-4DA5-B160-B2FECB46A751}"/>
              </c:ext>
            </c:extLst>
          </c:dPt>
          <c:dPt>
            <c:idx val="28"/>
            <c:bubble3D val="0"/>
            <c:spPr>
              <a:gradFill>
                <a:gsLst>
                  <a:gs pos="60000">
                    <a:srgbClr val="9947F7"/>
                  </a:gs>
                  <a:gs pos="0">
                    <a:srgbClr val="DC25FA"/>
                  </a:gs>
                </a:gsLst>
                <a:lin ang="5400000" scaled="1"/>
              </a:gradFill>
              <a:ln w="146050">
                <a:solidFill>
                  <a:schemeClr val="tx1"/>
                </a:solidFill>
              </a:ln>
              <a:effectLst/>
            </c:spPr>
            <c:extLst>
              <c:ext xmlns:c16="http://schemas.microsoft.com/office/drawing/2014/chart" uri="{C3380CC4-5D6E-409C-BE32-E72D297353CC}">
                <c16:uniqueId val="{00000039-3A37-4DA5-B160-B2FECB46A751}"/>
              </c:ext>
            </c:extLst>
          </c:dPt>
          <c:dPt>
            <c:idx val="29"/>
            <c:bubble3D val="0"/>
            <c:spPr>
              <a:gradFill>
                <a:gsLst>
                  <a:gs pos="60000">
                    <a:srgbClr val="9947F7"/>
                  </a:gs>
                  <a:gs pos="0">
                    <a:srgbClr val="DC25FA"/>
                  </a:gs>
                </a:gsLst>
                <a:lin ang="5400000" scaled="1"/>
              </a:gradFill>
              <a:ln w="146050">
                <a:solidFill>
                  <a:schemeClr val="tx1"/>
                </a:solidFill>
              </a:ln>
              <a:effectLst/>
            </c:spPr>
            <c:extLst>
              <c:ext xmlns:c16="http://schemas.microsoft.com/office/drawing/2014/chart" uri="{C3380CC4-5D6E-409C-BE32-E72D297353CC}">
                <c16:uniqueId val="{0000003B-3A37-4DA5-B160-B2FECB46A751}"/>
              </c:ext>
            </c:extLst>
          </c:dPt>
          <c:dPt>
            <c:idx val="30"/>
            <c:bubble3D val="0"/>
            <c:spPr>
              <a:gradFill>
                <a:gsLst>
                  <a:gs pos="60000">
                    <a:srgbClr val="9947F7"/>
                  </a:gs>
                  <a:gs pos="0">
                    <a:srgbClr val="DC25FA"/>
                  </a:gs>
                </a:gsLst>
                <a:lin ang="5400000" scaled="1"/>
              </a:gradFill>
              <a:ln w="146050">
                <a:solidFill>
                  <a:schemeClr val="tx1"/>
                </a:solidFill>
              </a:ln>
              <a:effectLst/>
            </c:spPr>
            <c:extLst>
              <c:ext xmlns:c16="http://schemas.microsoft.com/office/drawing/2014/chart" uri="{C3380CC4-5D6E-409C-BE32-E72D297353CC}">
                <c16:uniqueId val="{0000003D-3A37-4DA5-B160-B2FECB46A751}"/>
              </c:ext>
            </c:extLst>
          </c:dPt>
          <c:dPt>
            <c:idx val="31"/>
            <c:bubble3D val="0"/>
            <c:spPr>
              <a:gradFill>
                <a:gsLst>
                  <a:gs pos="60000">
                    <a:srgbClr val="9947F7"/>
                  </a:gs>
                  <a:gs pos="0">
                    <a:srgbClr val="DC25FA"/>
                  </a:gs>
                </a:gsLst>
                <a:lin ang="5400000" scaled="1"/>
              </a:gradFill>
              <a:ln w="146050">
                <a:solidFill>
                  <a:schemeClr val="tx1"/>
                </a:solidFill>
              </a:ln>
              <a:effectLst/>
            </c:spPr>
            <c:extLst>
              <c:ext xmlns:c16="http://schemas.microsoft.com/office/drawing/2014/chart" uri="{C3380CC4-5D6E-409C-BE32-E72D297353CC}">
                <c16:uniqueId val="{0000003F-3A37-4DA5-B160-B2FECB46A751}"/>
              </c:ext>
            </c:extLst>
          </c:dPt>
          <c:dPt>
            <c:idx val="32"/>
            <c:bubble3D val="0"/>
            <c:spPr>
              <a:gradFill>
                <a:gsLst>
                  <a:gs pos="60000">
                    <a:srgbClr val="9947F7"/>
                  </a:gs>
                  <a:gs pos="0">
                    <a:srgbClr val="DC25FA"/>
                  </a:gs>
                </a:gsLst>
                <a:lin ang="5400000" scaled="1"/>
              </a:gradFill>
              <a:ln w="146050">
                <a:solidFill>
                  <a:schemeClr val="tx1"/>
                </a:solidFill>
              </a:ln>
              <a:effectLst/>
            </c:spPr>
            <c:extLst>
              <c:ext xmlns:c16="http://schemas.microsoft.com/office/drawing/2014/chart" uri="{C3380CC4-5D6E-409C-BE32-E72D297353CC}">
                <c16:uniqueId val="{00000041-3A37-4DA5-B160-B2FECB46A751}"/>
              </c:ext>
            </c:extLst>
          </c:dPt>
          <c:dPt>
            <c:idx val="33"/>
            <c:bubble3D val="0"/>
            <c:spPr>
              <a:gradFill>
                <a:gsLst>
                  <a:gs pos="60000">
                    <a:srgbClr val="9947F7"/>
                  </a:gs>
                  <a:gs pos="0">
                    <a:srgbClr val="DC25FA"/>
                  </a:gs>
                </a:gsLst>
                <a:lin ang="5400000" scaled="1"/>
              </a:gradFill>
              <a:ln w="146050">
                <a:solidFill>
                  <a:schemeClr val="tx1"/>
                </a:solidFill>
              </a:ln>
              <a:effectLst/>
            </c:spPr>
            <c:extLst>
              <c:ext xmlns:c16="http://schemas.microsoft.com/office/drawing/2014/chart" uri="{C3380CC4-5D6E-409C-BE32-E72D297353CC}">
                <c16:uniqueId val="{00000043-3A37-4DA5-B160-B2FECB46A751}"/>
              </c:ext>
            </c:extLst>
          </c:dPt>
          <c:dPt>
            <c:idx val="34"/>
            <c:bubble3D val="0"/>
            <c:spPr>
              <a:gradFill>
                <a:gsLst>
                  <a:gs pos="60000">
                    <a:srgbClr val="9947F7"/>
                  </a:gs>
                  <a:gs pos="0">
                    <a:srgbClr val="DC25FA"/>
                  </a:gs>
                </a:gsLst>
                <a:lin ang="5400000" scaled="1"/>
              </a:gradFill>
              <a:ln w="146050">
                <a:solidFill>
                  <a:schemeClr val="tx1"/>
                </a:solidFill>
              </a:ln>
              <a:effectLst/>
            </c:spPr>
            <c:extLst>
              <c:ext xmlns:c16="http://schemas.microsoft.com/office/drawing/2014/chart" uri="{C3380CC4-5D6E-409C-BE32-E72D297353CC}">
                <c16:uniqueId val="{00000045-3A37-4DA5-B160-B2FECB46A751}"/>
              </c:ext>
            </c:extLst>
          </c:dPt>
          <c:dPt>
            <c:idx val="35"/>
            <c:bubble3D val="0"/>
            <c:spPr>
              <a:gradFill>
                <a:gsLst>
                  <a:gs pos="60000">
                    <a:srgbClr val="9947F7"/>
                  </a:gs>
                  <a:gs pos="0">
                    <a:srgbClr val="DC25FA"/>
                  </a:gs>
                </a:gsLst>
                <a:lin ang="5400000" scaled="1"/>
              </a:gradFill>
              <a:ln w="146050">
                <a:solidFill>
                  <a:schemeClr val="tx1"/>
                </a:solidFill>
              </a:ln>
              <a:effectLst/>
            </c:spPr>
            <c:extLst>
              <c:ext xmlns:c16="http://schemas.microsoft.com/office/drawing/2014/chart" uri="{C3380CC4-5D6E-409C-BE32-E72D297353CC}">
                <c16:uniqueId val="{00000047-3A37-4DA5-B160-B2FECB46A751}"/>
              </c:ext>
            </c:extLst>
          </c:dPt>
          <c:dPt>
            <c:idx val="36"/>
            <c:bubble3D val="0"/>
            <c:spPr>
              <a:gradFill>
                <a:gsLst>
                  <a:gs pos="60000">
                    <a:srgbClr val="9947F7"/>
                  </a:gs>
                  <a:gs pos="0">
                    <a:srgbClr val="DC25FA"/>
                  </a:gs>
                </a:gsLst>
                <a:lin ang="5400000" scaled="1"/>
              </a:gradFill>
              <a:ln w="146050">
                <a:solidFill>
                  <a:schemeClr val="tx1"/>
                </a:solidFill>
              </a:ln>
              <a:effectLst/>
            </c:spPr>
            <c:extLst>
              <c:ext xmlns:c16="http://schemas.microsoft.com/office/drawing/2014/chart" uri="{C3380CC4-5D6E-409C-BE32-E72D297353CC}">
                <c16:uniqueId val="{00000049-3A37-4DA5-B160-B2FECB46A751}"/>
              </c:ext>
            </c:extLst>
          </c:dPt>
          <c:dPt>
            <c:idx val="37"/>
            <c:bubble3D val="0"/>
            <c:spPr>
              <a:gradFill>
                <a:gsLst>
                  <a:gs pos="60000">
                    <a:srgbClr val="9947F7"/>
                  </a:gs>
                  <a:gs pos="0">
                    <a:srgbClr val="DC25FA"/>
                  </a:gs>
                </a:gsLst>
                <a:lin ang="5400000" scaled="1"/>
              </a:gradFill>
              <a:ln w="146050">
                <a:solidFill>
                  <a:schemeClr val="tx1"/>
                </a:solidFill>
              </a:ln>
              <a:effectLst/>
            </c:spPr>
            <c:extLst>
              <c:ext xmlns:c16="http://schemas.microsoft.com/office/drawing/2014/chart" uri="{C3380CC4-5D6E-409C-BE32-E72D297353CC}">
                <c16:uniqueId val="{0000004B-3A37-4DA5-B160-B2FECB46A751}"/>
              </c:ext>
            </c:extLst>
          </c:dPt>
          <c:dPt>
            <c:idx val="38"/>
            <c:bubble3D val="0"/>
            <c:spPr>
              <a:gradFill>
                <a:gsLst>
                  <a:gs pos="60000">
                    <a:srgbClr val="9947F7"/>
                  </a:gs>
                  <a:gs pos="0">
                    <a:srgbClr val="DC25FA"/>
                  </a:gs>
                </a:gsLst>
                <a:lin ang="5400000" scaled="1"/>
              </a:gradFill>
              <a:ln w="146050">
                <a:solidFill>
                  <a:schemeClr val="tx1"/>
                </a:solidFill>
              </a:ln>
              <a:effectLst/>
            </c:spPr>
            <c:extLst>
              <c:ext xmlns:c16="http://schemas.microsoft.com/office/drawing/2014/chart" uri="{C3380CC4-5D6E-409C-BE32-E72D297353CC}">
                <c16:uniqueId val="{0000004D-3A37-4DA5-B160-B2FECB46A751}"/>
              </c:ext>
            </c:extLst>
          </c:dPt>
          <c:dPt>
            <c:idx val="39"/>
            <c:bubble3D val="0"/>
            <c:spPr>
              <a:gradFill>
                <a:gsLst>
                  <a:gs pos="60000">
                    <a:srgbClr val="9947F7"/>
                  </a:gs>
                  <a:gs pos="0">
                    <a:srgbClr val="DC25FA"/>
                  </a:gs>
                </a:gsLst>
                <a:lin ang="5400000" scaled="1"/>
              </a:gradFill>
              <a:ln w="146050">
                <a:solidFill>
                  <a:schemeClr val="tx1"/>
                </a:solidFill>
              </a:ln>
              <a:effectLst/>
            </c:spPr>
            <c:extLst>
              <c:ext xmlns:c16="http://schemas.microsoft.com/office/drawing/2014/chart" uri="{C3380CC4-5D6E-409C-BE32-E72D297353CC}">
                <c16:uniqueId val="{0000004F-3A37-4DA5-B160-B2FECB46A751}"/>
              </c:ext>
            </c:extLst>
          </c:dPt>
          <c:dPt>
            <c:idx val="40"/>
            <c:bubble3D val="0"/>
            <c:spPr>
              <a:gradFill>
                <a:gsLst>
                  <a:gs pos="60000">
                    <a:srgbClr val="9947F7"/>
                  </a:gs>
                  <a:gs pos="0">
                    <a:srgbClr val="DC25FA"/>
                  </a:gs>
                </a:gsLst>
                <a:lin ang="5400000" scaled="1"/>
              </a:gradFill>
              <a:ln w="146050">
                <a:solidFill>
                  <a:schemeClr val="tx1"/>
                </a:solidFill>
              </a:ln>
              <a:effectLst/>
            </c:spPr>
            <c:extLst>
              <c:ext xmlns:c16="http://schemas.microsoft.com/office/drawing/2014/chart" uri="{C3380CC4-5D6E-409C-BE32-E72D297353CC}">
                <c16:uniqueId val="{00000051-3A37-4DA5-B160-B2FECB46A751}"/>
              </c:ext>
            </c:extLst>
          </c:dPt>
          <c:dPt>
            <c:idx val="41"/>
            <c:bubble3D val="0"/>
            <c:spPr>
              <a:gradFill>
                <a:gsLst>
                  <a:gs pos="60000">
                    <a:srgbClr val="9947F7"/>
                  </a:gs>
                  <a:gs pos="0">
                    <a:srgbClr val="DC25FA"/>
                  </a:gs>
                </a:gsLst>
                <a:lin ang="5400000" scaled="1"/>
              </a:gradFill>
              <a:ln w="146050">
                <a:solidFill>
                  <a:schemeClr val="tx1"/>
                </a:solidFill>
              </a:ln>
              <a:effectLst/>
            </c:spPr>
            <c:extLst>
              <c:ext xmlns:c16="http://schemas.microsoft.com/office/drawing/2014/chart" uri="{C3380CC4-5D6E-409C-BE32-E72D297353CC}">
                <c16:uniqueId val="{00000053-3A37-4DA5-B160-B2FECB46A751}"/>
              </c:ext>
            </c:extLst>
          </c:dPt>
          <c:dPt>
            <c:idx val="42"/>
            <c:bubble3D val="0"/>
            <c:spPr>
              <a:gradFill>
                <a:gsLst>
                  <a:gs pos="60000">
                    <a:srgbClr val="9947F7"/>
                  </a:gs>
                  <a:gs pos="0">
                    <a:srgbClr val="DC25FA"/>
                  </a:gs>
                </a:gsLst>
                <a:lin ang="5400000" scaled="1"/>
              </a:gradFill>
              <a:ln w="146050">
                <a:solidFill>
                  <a:schemeClr val="tx1"/>
                </a:solidFill>
              </a:ln>
              <a:effectLst/>
            </c:spPr>
            <c:extLst>
              <c:ext xmlns:c16="http://schemas.microsoft.com/office/drawing/2014/chart" uri="{C3380CC4-5D6E-409C-BE32-E72D297353CC}">
                <c16:uniqueId val="{00000055-3A37-4DA5-B160-B2FECB46A751}"/>
              </c:ext>
            </c:extLst>
          </c:dPt>
          <c:dPt>
            <c:idx val="43"/>
            <c:bubble3D val="0"/>
            <c:spPr>
              <a:gradFill>
                <a:gsLst>
                  <a:gs pos="60000">
                    <a:srgbClr val="9947F7"/>
                  </a:gs>
                  <a:gs pos="0">
                    <a:srgbClr val="DC25FA"/>
                  </a:gs>
                </a:gsLst>
                <a:lin ang="5400000" scaled="1"/>
              </a:gradFill>
              <a:ln w="146050">
                <a:solidFill>
                  <a:schemeClr val="tx1"/>
                </a:solidFill>
              </a:ln>
              <a:effectLst/>
            </c:spPr>
            <c:extLst>
              <c:ext xmlns:c16="http://schemas.microsoft.com/office/drawing/2014/chart" uri="{C3380CC4-5D6E-409C-BE32-E72D297353CC}">
                <c16:uniqueId val="{00000057-3A37-4DA5-B160-B2FECB46A751}"/>
              </c:ext>
            </c:extLst>
          </c:dPt>
          <c:dPt>
            <c:idx val="44"/>
            <c:bubble3D val="0"/>
            <c:spPr>
              <a:gradFill>
                <a:gsLst>
                  <a:gs pos="60000">
                    <a:srgbClr val="9947F7"/>
                  </a:gs>
                  <a:gs pos="0">
                    <a:srgbClr val="DC25FA"/>
                  </a:gs>
                </a:gsLst>
                <a:lin ang="5400000" scaled="1"/>
              </a:gradFill>
              <a:ln w="146050">
                <a:solidFill>
                  <a:schemeClr val="tx1"/>
                </a:solidFill>
              </a:ln>
              <a:effectLst/>
            </c:spPr>
            <c:extLst>
              <c:ext xmlns:c16="http://schemas.microsoft.com/office/drawing/2014/chart" uri="{C3380CC4-5D6E-409C-BE32-E72D297353CC}">
                <c16:uniqueId val="{00000059-3A37-4DA5-B160-B2FECB46A751}"/>
              </c:ext>
            </c:extLst>
          </c:dPt>
          <c:dPt>
            <c:idx val="45"/>
            <c:bubble3D val="0"/>
            <c:spPr>
              <a:gradFill>
                <a:gsLst>
                  <a:gs pos="60000">
                    <a:srgbClr val="9947F7"/>
                  </a:gs>
                  <a:gs pos="0">
                    <a:srgbClr val="DC25FA"/>
                  </a:gs>
                </a:gsLst>
                <a:lin ang="5400000" scaled="1"/>
              </a:gradFill>
              <a:ln w="146050">
                <a:solidFill>
                  <a:schemeClr val="tx1"/>
                </a:solidFill>
              </a:ln>
              <a:effectLst/>
            </c:spPr>
            <c:extLst>
              <c:ext xmlns:c16="http://schemas.microsoft.com/office/drawing/2014/chart" uri="{C3380CC4-5D6E-409C-BE32-E72D297353CC}">
                <c16:uniqueId val="{0000005B-3A37-4DA5-B160-B2FECB46A751}"/>
              </c:ext>
            </c:extLst>
          </c:dPt>
          <c:dPt>
            <c:idx val="46"/>
            <c:bubble3D val="0"/>
            <c:spPr>
              <a:gradFill>
                <a:gsLst>
                  <a:gs pos="60000">
                    <a:srgbClr val="9947F7"/>
                  </a:gs>
                  <a:gs pos="0">
                    <a:srgbClr val="DC25FA"/>
                  </a:gs>
                </a:gsLst>
                <a:lin ang="5400000" scaled="1"/>
              </a:gradFill>
              <a:ln w="146050">
                <a:solidFill>
                  <a:schemeClr val="tx1"/>
                </a:solidFill>
              </a:ln>
              <a:effectLst/>
            </c:spPr>
            <c:extLst>
              <c:ext xmlns:c16="http://schemas.microsoft.com/office/drawing/2014/chart" uri="{C3380CC4-5D6E-409C-BE32-E72D297353CC}">
                <c16:uniqueId val="{0000005D-3A37-4DA5-B160-B2FECB46A751}"/>
              </c:ext>
            </c:extLst>
          </c:dPt>
          <c:dPt>
            <c:idx val="47"/>
            <c:bubble3D val="0"/>
            <c:spPr>
              <a:gradFill>
                <a:gsLst>
                  <a:gs pos="60000">
                    <a:srgbClr val="9947F7"/>
                  </a:gs>
                  <a:gs pos="0">
                    <a:srgbClr val="DC25FA"/>
                  </a:gs>
                </a:gsLst>
                <a:lin ang="5400000" scaled="1"/>
              </a:gradFill>
              <a:ln w="146050">
                <a:solidFill>
                  <a:schemeClr val="tx1"/>
                </a:solidFill>
              </a:ln>
              <a:effectLst/>
            </c:spPr>
            <c:extLst>
              <c:ext xmlns:c16="http://schemas.microsoft.com/office/drawing/2014/chart" uri="{C3380CC4-5D6E-409C-BE32-E72D297353CC}">
                <c16:uniqueId val="{0000005F-3A37-4DA5-B160-B2FECB46A751}"/>
              </c:ext>
            </c:extLst>
          </c:dPt>
          <c:dPt>
            <c:idx val="48"/>
            <c:bubble3D val="0"/>
            <c:spPr>
              <a:gradFill>
                <a:gsLst>
                  <a:gs pos="60000">
                    <a:srgbClr val="9947F7"/>
                  </a:gs>
                  <a:gs pos="0">
                    <a:srgbClr val="DC25FA"/>
                  </a:gs>
                </a:gsLst>
                <a:lin ang="5400000" scaled="1"/>
              </a:gradFill>
              <a:ln w="146050">
                <a:solidFill>
                  <a:schemeClr val="tx1"/>
                </a:solidFill>
              </a:ln>
              <a:effectLst/>
            </c:spPr>
            <c:extLst>
              <c:ext xmlns:c16="http://schemas.microsoft.com/office/drawing/2014/chart" uri="{C3380CC4-5D6E-409C-BE32-E72D297353CC}">
                <c16:uniqueId val="{00000061-3A37-4DA5-B160-B2FECB46A751}"/>
              </c:ext>
            </c:extLst>
          </c:dPt>
          <c:dPt>
            <c:idx val="49"/>
            <c:bubble3D val="0"/>
            <c:spPr>
              <a:gradFill>
                <a:gsLst>
                  <a:gs pos="60000">
                    <a:srgbClr val="9947F7"/>
                  </a:gs>
                  <a:gs pos="0">
                    <a:srgbClr val="DC25FA"/>
                  </a:gs>
                </a:gsLst>
                <a:lin ang="5400000" scaled="1"/>
              </a:gradFill>
              <a:ln w="146050">
                <a:solidFill>
                  <a:schemeClr val="tx1"/>
                </a:solidFill>
              </a:ln>
              <a:effectLst/>
            </c:spPr>
            <c:extLst>
              <c:ext xmlns:c16="http://schemas.microsoft.com/office/drawing/2014/chart" uri="{C3380CC4-5D6E-409C-BE32-E72D297353CC}">
                <c16:uniqueId val="{00000063-3A37-4DA5-B160-B2FECB46A751}"/>
              </c:ext>
            </c:extLst>
          </c:dPt>
          <c:dPt>
            <c:idx val="50"/>
            <c:bubble3D val="0"/>
            <c:spPr>
              <a:gradFill>
                <a:gsLst>
                  <a:gs pos="60000">
                    <a:srgbClr val="9947F7"/>
                  </a:gs>
                  <a:gs pos="0">
                    <a:srgbClr val="DC25FA"/>
                  </a:gs>
                </a:gsLst>
                <a:lin ang="5400000" scaled="1"/>
              </a:gradFill>
              <a:ln w="146050">
                <a:solidFill>
                  <a:schemeClr val="tx1"/>
                </a:solidFill>
              </a:ln>
              <a:effectLst/>
            </c:spPr>
            <c:extLst>
              <c:ext xmlns:c16="http://schemas.microsoft.com/office/drawing/2014/chart" uri="{C3380CC4-5D6E-409C-BE32-E72D297353CC}">
                <c16:uniqueId val="{00000065-3A37-4DA5-B160-B2FECB46A751}"/>
              </c:ext>
            </c:extLst>
          </c:dPt>
          <c:dPt>
            <c:idx val="51"/>
            <c:bubble3D val="0"/>
            <c:spPr>
              <a:gradFill>
                <a:gsLst>
                  <a:gs pos="60000">
                    <a:srgbClr val="9947F7"/>
                  </a:gs>
                  <a:gs pos="0">
                    <a:srgbClr val="DC25FA"/>
                  </a:gs>
                </a:gsLst>
                <a:lin ang="5400000" scaled="1"/>
              </a:gradFill>
              <a:ln w="146050">
                <a:solidFill>
                  <a:schemeClr val="tx1"/>
                </a:solidFill>
              </a:ln>
              <a:effectLst/>
            </c:spPr>
            <c:extLst>
              <c:ext xmlns:c16="http://schemas.microsoft.com/office/drawing/2014/chart" uri="{C3380CC4-5D6E-409C-BE32-E72D297353CC}">
                <c16:uniqueId val="{00000067-3A37-4DA5-B160-B2FECB46A751}"/>
              </c:ext>
            </c:extLst>
          </c:dPt>
          <c:dPt>
            <c:idx val="52"/>
            <c:bubble3D val="0"/>
            <c:spPr>
              <a:gradFill>
                <a:gsLst>
                  <a:gs pos="60000">
                    <a:srgbClr val="9947F7"/>
                  </a:gs>
                  <a:gs pos="0">
                    <a:srgbClr val="DC25FA"/>
                  </a:gs>
                </a:gsLst>
                <a:lin ang="5400000" scaled="1"/>
              </a:gradFill>
              <a:ln w="146050">
                <a:solidFill>
                  <a:schemeClr val="tx1"/>
                </a:solidFill>
              </a:ln>
              <a:effectLst/>
            </c:spPr>
            <c:extLst>
              <c:ext xmlns:c16="http://schemas.microsoft.com/office/drawing/2014/chart" uri="{C3380CC4-5D6E-409C-BE32-E72D297353CC}">
                <c16:uniqueId val="{00000069-3A37-4DA5-B160-B2FECB46A751}"/>
              </c:ext>
            </c:extLst>
          </c:dPt>
          <c:dPt>
            <c:idx val="53"/>
            <c:bubble3D val="0"/>
            <c:spPr>
              <a:gradFill>
                <a:gsLst>
                  <a:gs pos="60000">
                    <a:srgbClr val="9947F7"/>
                  </a:gs>
                  <a:gs pos="0">
                    <a:srgbClr val="DC25FA"/>
                  </a:gs>
                </a:gsLst>
                <a:lin ang="5400000" scaled="1"/>
              </a:gradFill>
              <a:ln w="146050">
                <a:solidFill>
                  <a:schemeClr val="tx1"/>
                </a:solidFill>
              </a:ln>
              <a:effectLst/>
            </c:spPr>
            <c:extLst>
              <c:ext xmlns:c16="http://schemas.microsoft.com/office/drawing/2014/chart" uri="{C3380CC4-5D6E-409C-BE32-E72D297353CC}">
                <c16:uniqueId val="{0000006B-3A37-4DA5-B160-B2FECB46A751}"/>
              </c:ext>
            </c:extLst>
          </c:dPt>
          <c:dPt>
            <c:idx val="54"/>
            <c:bubble3D val="0"/>
            <c:spPr>
              <a:gradFill>
                <a:gsLst>
                  <a:gs pos="60000">
                    <a:srgbClr val="9947F7"/>
                  </a:gs>
                  <a:gs pos="0">
                    <a:srgbClr val="DC25FA"/>
                  </a:gs>
                </a:gsLst>
                <a:lin ang="5400000" scaled="1"/>
              </a:gradFill>
              <a:ln w="146050">
                <a:solidFill>
                  <a:schemeClr val="tx1"/>
                </a:solidFill>
              </a:ln>
              <a:effectLst/>
            </c:spPr>
            <c:extLst>
              <c:ext xmlns:c16="http://schemas.microsoft.com/office/drawing/2014/chart" uri="{C3380CC4-5D6E-409C-BE32-E72D297353CC}">
                <c16:uniqueId val="{0000006D-3A37-4DA5-B160-B2FECB46A751}"/>
              </c:ext>
            </c:extLst>
          </c:dPt>
          <c:dPt>
            <c:idx val="55"/>
            <c:bubble3D val="0"/>
            <c:spPr>
              <a:gradFill>
                <a:gsLst>
                  <a:gs pos="60000">
                    <a:srgbClr val="9947F7"/>
                  </a:gs>
                  <a:gs pos="0">
                    <a:srgbClr val="DC25FA"/>
                  </a:gs>
                </a:gsLst>
                <a:lin ang="5400000" scaled="1"/>
              </a:gradFill>
              <a:ln w="146050">
                <a:solidFill>
                  <a:schemeClr val="tx1"/>
                </a:solidFill>
              </a:ln>
              <a:effectLst/>
            </c:spPr>
            <c:extLst>
              <c:ext xmlns:c16="http://schemas.microsoft.com/office/drawing/2014/chart" uri="{C3380CC4-5D6E-409C-BE32-E72D297353CC}">
                <c16:uniqueId val="{0000006F-3A37-4DA5-B160-B2FECB46A751}"/>
              </c:ext>
            </c:extLst>
          </c:dPt>
          <c:dPt>
            <c:idx val="56"/>
            <c:bubble3D val="0"/>
            <c:spPr>
              <a:gradFill>
                <a:gsLst>
                  <a:gs pos="60000">
                    <a:srgbClr val="9947F7"/>
                  </a:gs>
                  <a:gs pos="0">
                    <a:srgbClr val="DC25FA"/>
                  </a:gs>
                </a:gsLst>
                <a:lin ang="5400000" scaled="1"/>
              </a:gradFill>
              <a:ln w="146050">
                <a:solidFill>
                  <a:schemeClr val="tx1"/>
                </a:solidFill>
              </a:ln>
              <a:effectLst/>
            </c:spPr>
            <c:extLst>
              <c:ext xmlns:c16="http://schemas.microsoft.com/office/drawing/2014/chart" uri="{C3380CC4-5D6E-409C-BE32-E72D297353CC}">
                <c16:uniqueId val="{00000071-3A37-4DA5-B160-B2FECB46A751}"/>
              </c:ext>
            </c:extLst>
          </c:dPt>
          <c:dPt>
            <c:idx val="57"/>
            <c:bubble3D val="0"/>
            <c:spPr>
              <a:gradFill>
                <a:gsLst>
                  <a:gs pos="60000">
                    <a:srgbClr val="9947F7"/>
                  </a:gs>
                  <a:gs pos="0">
                    <a:srgbClr val="DC25FA"/>
                  </a:gs>
                </a:gsLst>
                <a:lin ang="5400000" scaled="1"/>
              </a:gradFill>
              <a:ln w="146050">
                <a:solidFill>
                  <a:schemeClr val="tx1"/>
                </a:solidFill>
              </a:ln>
              <a:effectLst/>
            </c:spPr>
            <c:extLst>
              <c:ext xmlns:c16="http://schemas.microsoft.com/office/drawing/2014/chart" uri="{C3380CC4-5D6E-409C-BE32-E72D297353CC}">
                <c16:uniqueId val="{00000073-3A37-4DA5-B160-B2FECB46A751}"/>
              </c:ext>
            </c:extLst>
          </c:dPt>
          <c:val>
            <c:numLit>
              <c:formatCode>General</c:formatCode>
              <c:ptCount val="58"/>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1</c:v>
              </c:pt>
              <c:pt idx="52">
                <c:v>1</c:v>
              </c:pt>
              <c:pt idx="53">
                <c:v>1</c:v>
              </c:pt>
              <c:pt idx="54">
                <c:v>1</c:v>
              </c:pt>
              <c:pt idx="55">
                <c:v>1</c:v>
              </c:pt>
              <c:pt idx="56">
                <c:v>1</c:v>
              </c:pt>
              <c:pt idx="57">
                <c:v>1</c:v>
              </c:pt>
            </c:numLit>
          </c:val>
          <c:extLst>
            <c:ext xmlns:c16="http://schemas.microsoft.com/office/drawing/2014/chart" uri="{C3380CC4-5D6E-409C-BE32-E72D297353CC}">
              <c16:uniqueId val="{00000074-3A37-4DA5-B160-B2FECB46A751}"/>
            </c:ext>
          </c:extLst>
        </c:ser>
        <c:dLbls>
          <c:showLegendKey val="0"/>
          <c:showVal val="0"/>
          <c:showCatName val="0"/>
          <c:showSerName val="0"/>
          <c:showPercent val="0"/>
          <c:showBubbleSize val="0"/>
          <c:showLeaderLines val="1"/>
        </c:dLbls>
        <c:firstSliceAng val="0"/>
        <c:holeSize val="50"/>
      </c:doughnutChart>
      <c:doughnutChart>
        <c:varyColors val="1"/>
        <c:ser>
          <c:idx val="1"/>
          <c:order val="1"/>
          <c:tx>
            <c:v>Percentage</c:v>
          </c:tx>
          <c:spPr>
            <a:ln>
              <a:noFill/>
            </a:ln>
          </c:spPr>
          <c:dPt>
            <c:idx val="0"/>
            <c:bubble3D val="0"/>
            <c:spPr>
              <a:solidFill>
                <a:srgbClr val="9BF8F2">
                  <a:alpha val="0"/>
                </a:srgbClr>
              </a:solidFill>
              <a:ln w="19050">
                <a:noFill/>
              </a:ln>
              <a:effectLst/>
            </c:spPr>
            <c:extLst>
              <c:ext xmlns:c16="http://schemas.microsoft.com/office/drawing/2014/chart" uri="{C3380CC4-5D6E-409C-BE32-E72D297353CC}">
                <c16:uniqueId val="{00000076-3A37-4DA5-B160-B2FECB46A751}"/>
              </c:ext>
            </c:extLst>
          </c:dPt>
          <c:dPt>
            <c:idx val="1"/>
            <c:bubble3D val="0"/>
            <c:spPr>
              <a:solidFill>
                <a:srgbClr val="DC25FA">
                  <a:alpha val="30000"/>
                </a:srgbClr>
              </a:solidFill>
              <a:ln w="19050">
                <a:noFill/>
              </a:ln>
              <a:effectLst/>
            </c:spPr>
            <c:extLst>
              <c:ext xmlns:c16="http://schemas.microsoft.com/office/drawing/2014/chart" uri="{C3380CC4-5D6E-409C-BE32-E72D297353CC}">
                <c16:uniqueId val="{00000078-3A37-4DA5-B160-B2FECB46A751}"/>
              </c:ext>
            </c:extLst>
          </c:dPt>
          <c:val>
            <c:numRef>
              <c:f>Pivot_tables!$R$6:$S$6</c:f>
              <c:numCache>
                <c:formatCode>0.00%</c:formatCode>
                <c:ptCount val="2"/>
                <c:pt idx="0" formatCode="0%">
                  <c:v>1</c:v>
                </c:pt>
                <c:pt idx="1">
                  <c:v>0.11428146106051534</c:v>
                </c:pt>
              </c:numCache>
            </c:numRef>
          </c:val>
          <c:extLst>
            <c:ext xmlns:c16="http://schemas.microsoft.com/office/drawing/2014/chart" uri="{C3380CC4-5D6E-409C-BE32-E72D297353CC}">
              <c16:uniqueId val="{00000079-3A37-4DA5-B160-B2FECB46A751}"/>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9.3147029495127386E-3"/>
          <c:y val="1.2668247038797254E-2"/>
          <c:w val="0.9827012659509049"/>
          <c:h val="0.9794140985619546"/>
        </c:manualLayout>
      </c:layout>
      <c:bubbleChart>
        <c:varyColors val="0"/>
        <c:ser>
          <c:idx val="0"/>
          <c:order val="0"/>
          <c:tx>
            <c:v>Sales</c:v>
          </c:tx>
          <c:spPr>
            <a:gradFill flip="none" rotWithShape="1">
              <a:gsLst>
                <a:gs pos="34000">
                  <a:srgbClr val="100D83"/>
                </a:gs>
                <a:gs pos="79000">
                  <a:srgbClr val="7417BD"/>
                </a:gs>
              </a:gsLst>
              <a:path path="circle">
                <a:fillToRect l="100000" t="100000"/>
              </a:path>
              <a:tileRect r="-100000" b="-100000"/>
            </a:gradFill>
            <a:ln>
              <a:noFill/>
            </a:ln>
            <a:effectLst>
              <a:outerShdw blurRad="127000" dist="50800" dir="5400000" sx="109000" sy="109000" algn="ctr" rotWithShape="0">
                <a:srgbClr val="7417BD">
                  <a:alpha val="80000"/>
                </a:srgbClr>
              </a:outerShdw>
            </a:effectLst>
          </c:spPr>
          <c:invertIfNegative val="0"/>
          <c:dLbls>
            <c:dLbl>
              <c:idx val="0"/>
              <c:tx>
                <c:rich>
                  <a:bodyPr/>
                  <a:lstStyle/>
                  <a:p>
                    <a:fld id="{6B4AF7A5-AFA3-4EB2-8B80-D86E0B640351}" type="CELLRANGE">
                      <a:rPr lang="en-US"/>
                      <a:pPr/>
                      <a:t>[CELLRANGE]</a:t>
                    </a:fld>
                    <a:endParaRPr lang="en-CA"/>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4500-4D6B-AE1A-10A7C7B28FD6}"/>
                </c:ext>
              </c:extLst>
            </c:dLbl>
            <c:dLbl>
              <c:idx val="1"/>
              <c:tx>
                <c:rich>
                  <a:bodyPr/>
                  <a:lstStyle/>
                  <a:p>
                    <a:fld id="{911E1F03-11EA-4E14-BEB8-4BA6AA34ACFE}" type="CELLRANGE">
                      <a:rPr lang="en-CA"/>
                      <a:pPr/>
                      <a:t>[CELLRANGE]</a:t>
                    </a:fld>
                    <a:endParaRPr lang="en-CA"/>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4500-4D6B-AE1A-10A7C7B28FD6}"/>
                </c:ext>
              </c:extLst>
            </c:dLbl>
            <c:dLbl>
              <c:idx val="2"/>
              <c:tx>
                <c:rich>
                  <a:bodyPr/>
                  <a:lstStyle/>
                  <a:p>
                    <a:fld id="{AE43CC34-5A8E-4EF5-BCAC-B971D316251F}" type="CELLRANGE">
                      <a:rPr lang="en-CA"/>
                      <a:pPr/>
                      <a:t>[CELLRANGE]</a:t>
                    </a:fld>
                    <a:endParaRPr lang="en-CA"/>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4500-4D6B-AE1A-10A7C7B28FD6}"/>
                </c:ext>
              </c:extLst>
            </c:dLbl>
            <c:dLbl>
              <c:idx val="3"/>
              <c:tx>
                <c:rich>
                  <a:bodyPr/>
                  <a:lstStyle/>
                  <a:p>
                    <a:fld id="{2244E722-69BD-40B6-9396-67475EF0D71E}" type="CELLRANGE">
                      <a:rPr lang="en-CA"/>
                      <a:pPr/>
                      <a:t>[CELLRANGE]</a:t>
                    </a:fld>
                    <a:endParaRPr lang="en-CA"/>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4500-4D6B-AE1A-10A7C7B28FD6}"/>
                </c:ext>
              </c:extLst>
            </c:dLbl>
            <c:dLbl>
              <c:idx val="4"/>
              <c:tx>
                <c:rich>
                  <a:bodyPr/>
                  <a:lstStyle/>
                  <a:p>
                    <a:fld id="{E44FE51A-3FE3-4EC2-8D0F-2C4C8AC78FAE}" type="CELLRANGE">
                      <a:rPr lang="en-CA"/>
                      <a:pPr/>
                      <a:t>[CELLRANGE]</a:t>
                    </a:fld>
                    <a:endParaRPr lang="en-CA"/>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4500-4D6B-AE1A-10A7C7B28FD6}"/>
                </c:ext>
              </c:extLst>
            </c:dLbl>
            <c:dLbl>
              <c:idx val="5"/>
              <c:tx>
                <c:rich>
                  <a:bodyPr/>
                  <a:lstStyle/>
                  <a:p>
                    <a:fld id="{FEC2139E-CC02-46F0-A692-9EF8FD5661C6}" type="CELLRANGE">
                      <a:rPr lang="en-CA"/>
                      <a:pPr/>
                      <a:t>[CELLRANGE]</a:t>
                    </a:fld>
                    <a:endParaRPr lang="en-CA"/>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4500-4D6B-AE1A-10A7C7B28FD6}"/>
                </c:ext>
              </c:extLst>
            </c:dLbl>
            <c:dLbl>
              <c:idx val="6"/>
              <c:tx>
                <c:rich>
                  <a:bodyPr/>
                  <a:lstStyle/>
                  <a:p>
                    <a:fld id="{A11DCD11-C286-4A6F-BEAF-0A5B22AE6AE7}" type="CELLRANGE">
                      <a:rPr lang="en-CA"/>
                      <a:pPr/>
                      <a:t>[CELLRANGE]</a:t>
                    </a:fld>
                    <a:endParaRPr lang="en-CA"/>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4500-4D6B-AE1A-10A7C7B28FD6}"/>
                </c:ext>
              </c:extLst>
            </c:dLbl>
            <c:dLbl>
              <c:idx val="7"/>
              <c:tx>
                <c:rich>
                  <a:bodyPr/>
                  <a:lstStyle/>
                  <a:p>
                    <a:fld id="{5EB776A2-9EC9-448B-837A-105DB6557FF6}" type="CELLRANGE">
                      <a:rPr lang="en-CA"/>
                      <a:pPr/>
                      <a:t>[CELLRANGE]</a:t>
                    </a:fld>
                    <a:endParaRPr lang="en-CA"/>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4500-4D6B-AE1A-10A7C7B28FD6}"/>
                </c:ext>
              </c:extLst>
            </c:dLbl>
            <c:dLbl>
              <c:idx val="8"/>
              <c:tx>
                <c:rich>
                  <a:bodyPr/>
                  <a:lstStyle/>
                  <a:p>
                    <a:fld id="{45410971-C4C8-4D82-820F-923B2BF82484}" type="CELLRANGE">
                      <a:rPr lang="en-CA"/>
                      <a:pPr/>
                      <a:t>[CELLRANGE]</a:t>
                    </a:fld>
                    <a:endParaRPr lang="en-CA"/>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4500-4D6B-AE1A-10A7C7B28FD6}"/>
                </c:ext>
              </c:extLst>
            </c:dLbl>
            <c:dLbl>
              <c:idx val="9"/>
              <c:tx>
                <c:rich>
                  <a:bodyPr/>
                  <a:lstStyle/>
                  <a:p>
                    <a:fld id="{A66D20B2-C601-47F2-A13E-0DE664924E13}" type="CELLRANGE">
                      <a:rPr lang="en-CA"/>
                      <a:pPr/>
                      <a:t>[CELLRANGE]</a:t>
                    </a:fld>
                    <a:endParaRPr lang="en-CA"/>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9-4500-4D6B-AE1A-10A7C7B28FD6}"/>
                </c:ext>
              </c:extLst>
            </c:dLbl>
            <c:dLbl>
              <c:idx val="10"/>
              <c:tx>
                <c:rich>
                  <a:bodyPr/>
                  <a:lstStyle/>
                  <a:p>
                    <a:fld id="{F2C92A38-A42E-4D33-8A5E-E6383659FED2}" type="CELLRANGE">
                      <a:rPr lang="en-CA"/>
                      <a:pPr/>
                      <a:t>[CELLRANGE]</a:t>
                    </a:fld>
                    <a:endParaRPr lang="en-CA"/>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4500-4D6B-AE1A-10A7C7B28FD6}"/>
                </c:ext>
              </c:extLst>
            </c:dLbl>
            <c:dLbl>
              <c:idx val="11"/>
              <c:tx>
                <c:rich>
                  <a:bodyPr/>
                  <a:lstStyle/>
                  <a:p>
                    <a:fld id="{A958DD24-0BB2-4AE7-9386-A8354C788793}" type="CELLRANGE">
                      <a:rPr lang="en-CA"/>
                      <a:pPr/>
                      <a:t>[CELLRANGE]</a:t>
                    </a:fld>
                    <a:endParaRPr lang="en-CA"/>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4500-4D6B-AE1A-10A7C7B28FD6}"/>
                </c:ext>
              </c:extLst>
            </c:dLbl>
            <c:dLbl>
              <c:idx val="12"/>
              <c:tx>
                <c:rich>
                  <a:bodyPr/>
                  <a:lstStyle/>
                  <a:p>
                    <a:fld id="{926A0282-F941-4E66-8F93-D71DB95A44D4}" type="CELLRANGE">
                      <a:rPr lang="en-CA"/>
                      <a:pPr/>
                      <a:t>[CELLRANGE]</a:t>
                    </a:fld>
                    <a:endParaRPr lang="en-CA"/>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4500-4D6B-AE1A-10A7C7B28FD6}"/>
                </c:ext>
              </c:extLst>
            </c:dLbl>
            <c:dLbl>
              <c:idx val="13"/>
              <c:tx>
                <c:rich>
                  <a:bodyPr/>
                  <a:lstStyle/>
                  <a:p>
                    <a:fld id="{7BECC86B-F347-462A-9030-B7F9F6F854B5}" type="CELLRANGE">
                      <a:rPr lang="en-CA"/>
                      <a:pPr/>
                      <a:t>[CELLRANGE]</a:t>
                    </a:fld>
                    <a:endParaRPr lang="en-CA"/>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D-4500-4D6B-AE1A-10A7C7B28FD6}"/>
                </c:ext>
              </c:extLst>
            </c:dLbl>
            <c:dLbl>
              <c:idx val="14"/>
              <c:tx>
                <c:rich>
                  <a:bodyPr/>
                  <a:lstStyle/>
                  <a:p>
                    <a:fld id="{DBD42104-DB01-4F65-9770-CE4B25C06C48}" type="CELLRANGE">
                      <a:rPr lang="en-CA"/>
                      <a:pPr/>
                      <a:t>[CELLRANGE]</a:t>
                    </a:fld>
                    <a:endParaRPr lang="en-CA"/>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E-4500-4D6B-AE1A-10A7C7B28FD6}"/>
                </c:ext>
              </c:extLst>
            </c:dLbl>
            <c:dLbl>
              <c:idx val="15"/>
              <c:tx>
                <c:rich>
                  <a:bodyPr/>
                  <a:lstStyle/>
                  <a:p>
                    <a:fld id="{C3CB00AC-679D-442E-9E3B-FDFA75AAD2C9}" type="CELLRANGE">
                      <a:rPr lang="en-CA"/>
                      <a:pPr/>
                      <a:t>[CELLRANGE]</a:t>
                    </a:fld>
                    <a:endParaRPr lang="en-CA"/>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F-4500-4D6B-AE1A-10A7C7B28FD6}"/>
                </c:ext>
              </c:extLst>
            </c:dLbl>
            <c:dLbl>
              <c:idx val="16"/>
              <c:tx>
                <c:rich>
                  <a:bodyPr/>
                  <a:lstStyle/>
                  <a:p>
                    <a:fld id="{D0923740-115C-49E3-8F68-82AF730436AD}" type="CELLRANGE">
                      <a:rPr lang="en-CA"/>
                      <a:pPr/>
                      <a:t>[CELLRANGE]</a:t>
                    </a:fld>
                    <a:endParaRPr lang="en-CA"/>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0-4500-4D6B-AE1A-10A7C7B28FD6}"/>
                </c:ext>
              </c:extLst>
            </c:dLbl>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bg1"/>
                    </a:solidFill>
                    <a:latin typeface="Avenir Next LT Pro" panose="020B0504020202020204" pitchFamily="34" charset="0"/>
                    <a:ea typeface="+mn-ea"/>
                    <a:cs typeface="+mn-cs"/>
                  </a:defRPr>
                </a:pPr>
                <a:endParaRPr lang="en-US"/>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Pivot_tables!$H$6:$H$22</c:f>
              <c:numCache>
                <c:formatCode>General</c:formatCode>
                <c:ptCount val="17"/>
                <c:pt idx="0">
                  <c:v>0</c:v>
                </c:pt>
                <c:pt idx="1">
                  <c:v>6</c:v>
                </c:pt>
                <c:pt idx="2">
                  <c:v>3</c:v>
                </c:pt>
                <c:pt idx="3">
                  <c:v>13</c:v>
                </c:pt>
                <c:pt idx="4">
                  <c:v>19</c:v>
                </c:pt>
                <c:pt idx="5">
                  <c:v>20</c:v>
                </c:pt>
                <c:pt idx="6">
                  <c:v>25</c:v>
                </c:pt>
                <c:pt idx="7">
                  <c:v>20</c:v>
                </c:pt>
                <c:pt idx="8">
                  <c:v>20</c:v>
                </c:pt>
                <c:pt idx="9">
                  <c:v>16</c:v>
                </c:pt>
                <c:pt idx="10">
                  <c:v>11</c:v>
                </c:pt>
                <c:pt idx="11">
                  <c:v>8</c:v>
                </c:pt>
                <c:pt idx="12">
                  <c:v>4</c:v>
                </c:pt>
                <c:pt idx="13">
                  <c:v>2</c:v>
                </c:pt>
                <c:pt idx="14">
                  <c:v>0</c:v>
                </c:pt>
                <c:pt idx="15">
                  <c:v>3</c:v>
                </c:pt>
                <c:pt idx="16">
                  <c:v>26</c:v>
                </c:pt>
              </c:numCache>
            </c:numRef>
          </c:xVal>
          <c:yVal>
            <c:numRef>
              <c:f>Pivot_tables!$I$6:$I$22</c:f>
              <c:numCache>
                <c:formatCode>General</c:formatCode>
                <c:ptCount val="17"/>
                <c:pt idx="0">
                  <c:v>4</c:v>
                </c:pt>
                <c:pt idx="1">
                  <c:v>4</c:v>
                </c:pt>
                <c:pt idx="2">
                  <c:v>1.25</c:v>
                </c:pt>
                <c:pt idx="3">
                  <c:v>4</c:v>
                </c:pt>
                <c:pt idx="4">
                  <c:v>3</c:v>
                </c:pt>
                <c:pt idx="5">
                  <c:v>7</c:v>
                </c:pt>
                <c:pt idx="6">
                  <c:v>11</c:v>
                </c:pt>
                <c:pt idx="7">
                  <c:v>14</c:v>
                </c:pt>
                <c:pt idx="8">
                  <c:v>18</c:v>
                </c:pt>
                <c:pt idx="9">
                  <c:v>21</c:v>
                </c:pt>
                <c:pt idx="10">
                  <c:v>19</c:v>
                </c:pt>
                <c:pt idx="11">
                  <c:v>17</c:v>
                </c:pt>
                <c:pt idx="12">
                  <c:v>19</c:v>
                </c:pt>
                <c:pt idx="13">
                  <c:v>16</c:v>
                </c:pt>
                <c:pt idx="14">
                  <c:v>13</c:v>
                </c:pt>
                <c:pt idx="15">
                  <c:v>10</c:v>
                </c:pt>
                <c:pt idx="16">
                  <c:v>17</c:v>
                </c:pt>
              </c:numCache>
            </c:numRef>
          </c:yVal>
          <c:bubbleSize>
            <c:numRef>
              <c:f>Pivot_tables!$J$6:$J$22</c:f>
              <c:numCache>
                <c:formatCode>"$"#,##0_);\("$"#,##0\)</c:formatCode>
                <c:ptCount val="17"/>
                <c:pt idx="0">
                  <c:v>82201.149999999994</c:v>
                </c:pt>
                <c:pt idx="1">
                  <c:v>185928.14</c:v>
                </c:pt>
                <c:pt idx="2">
                  <c:v>107796.09</c:v>
                </c:pt>
                <c:pt idx="3">
                  <c:v>241200.42</c:v>
                </c:pt>
                <c:pt idx="4">
                  <c:v>96261.3</c:v>
                </c:pt>
                <c:pt idx="5">
                  <c:v>99069.48</c:v>
                </c:pt>
                <c:pt idx="6">
                  <c:v>10479.77</c:v>
                </c:pt>
                <c:pt idx="7">
                  <c:v>4914.82</c:v>
                </c:pt>
                <c:pt idx="8">
                  <c:v>98070.91</c:v>
                </c:pt>
                <c:pt idx="9">
                  <c:v>318169.68</c:v>
                </c:pt>
                <c:pt idx="10">
                  <c:v>55813.919999999998</c:v>
                </c:pt>
                <c:pt idx="11">
                  <c:v>26071.61</c:v>
                </c:pt>
                <c:pt idx="12">
                  <c:v>1789.43</c:v>
                </c:pt>
                <c:pt idx="13">
                  <c:v>6752.18</c:v>
                </c:pt>
                <c:pt idx="14">
                  <c:v>175730.05</c:v>
                </c:pt>
                <c:pt idx="15">
                  <c:v>172511.33</c:v>
                </c:pt>
                <c:pt idx="16">
                  <c:v>198764.49</c:v>
                </c:pt>
              </c:numCache>
            </c:numRef>
          </c:bubbleSize>
          <c:bubble3D val="0"/>
          <c:extLst>
            <c:ext xmlns:c15="http://schemas.microsoft.com/office/drawing/2012/chart" uri="{02D57815-91ED-43cb-92C2-25804820EDAC}">
              <c15:datalabelsRange>
                <c15:f>Pivot_tables!$L$6:$L$22</c15:f>
                <c15:dlblRangeCache>
                  <c:ptCount val="17"/>
                  <c:pt idx="0">
                    <c:v>$82,201</c:v>
                  </c:pt>
                  <c:pt idx="1">
                    <c:v>$185,928</c:v>
                  </c:pt>
                  <c:pt idx="2">
                    <c:v>$107,796</c:v>
                  </c:pt>
                  <c:pt idx="3">
                    <c:v>$241,200</c:v>
                  </c:pt>
                  <c:pt idx="4">
                    <c:v>$96,261</c:v>
                  </c:pt>
                  <c:pt idx="5">
                    <c:v>$99,069</c:v>
                  </c:pt>
                  <c:pt idx="6">
                    <c:v>$10,480</c:v>
                  </c:pt>
                  <c:pt idx="7">
                    <c:v>$4,915</c:v>
                  </c:pt>
                  <c:pt idx="8">
                    <c:v>$98,071</c:v>
                  </c:pt>
                  <c:pt idx="10">
                    <c:v>$55,814</c:v>
                  </c:pt>
                  <c:pt idx="11">
                    <c:v>$26,072</c:v>
                  </c:pt>
                  <c:pt idx="12">
                    <c:v>$1,789</c:v>
                  </c:pt>
                  <c:pt idx="13">
                    <c:v>$6,752</c:v>
                  </c:pt>
                  <c:pt idx="14">
                    <c:v>$175,730</c:v>
                  </c:pt>
                  <c:pt idx="15">
                    <c:v>$172,511</c:v>
                  </c:pt>
                  <c:pt idx="16">
                    <c:v>$198,764</c:v>
                  </c:pt>
                </c15:dlblRangeCache>
              </c15:datalabelsRange>
            </c:ext>
            <c:ext xmlns:c16="http://schemas.microsoft.com/office/drawing/2014/chart" uri="{C3380CC4-5D6E-409C-BE32-E72D297353CC}">
              <c16:uniqueId val="{00000011-4500-4D6B-AE1A-10A7C7B28FD6}"/>
            </c:ext>
          </c:extLst>
        </c:ser>
        <c:ser>
          <c:idx val="1"/>
          <c:order val="1"/>
          <c:tx>
            <c:v>Max Sales</c:v>
          </c:tx>
          <c:spPr>
            <a:gradFill>
              <a:gsLst>
                <a:gs pos="34000">
                  <a:srgbClr val="100D83"/>
                </a:gs>
                <a:gs pos="79000">
                  <a:srgbClr val="DD115E"/>
                </a:gs>
              </a:gsLst>
              <a:path path="circle">
                <a:fillToRect l="100000" t="100000"/>
              </a:path>
            </a:gradFill>
            <a:ln w="25400">
              <a:noFill/>
            </a:ln>
            <a:effectLst>
              <a:outerShdw blurRad="152400" sx="105000" sy="105000" algn="ctr" rotWithShape="0">
                <a:srgbClr val="DD115E">
                  <a:alpha val="88000"/>
                </a:srgbClr>
              </a:outerShdw>
            </a:effectLst>
          </c:spPr>
          <c:invertIfNegative val="0"/>
          <c:dLbls>
            <c:dLbl>
              <c:idx val="0"/>
              <c:tx>
                <c:rich>
                  <a:bodyPr/>
                  <a:lstStyle/>
                  <a:p>
                    <a:fld id="{995BB574-5595-4B1A-9ECA-E7A886191791}" type="CELLRANGE">
                      <a:rPr lang="en-US"/>
                      <a:pPr/>
                      <a:t>[CELLRANGE]</a:t>
                    </a:fld>
                    <a:endParaRPr lang="en-CA"/>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2-4500-4D6B-AE1A-10A7C7B28FD6}"/>
                </c:ext>
              </c:extLst>
            </c:dLbl>
            <c:dLbl>
              <c:idx val="1"/>
              <c:tx>
                <c:rich>
                  <a:bodyPr/>
                  <a:lstStyle/>
                  <a:p>
                    <a:fld id="{3C2CC7C3-C722-46EF-B0C8-01CAA9CA5C79}" type="CELLRANGE">
                      <a:rPr lang="en-US"/>
                      <a:pPr/>
                      <a:t>[CELLRANGE]</a:t>
                    </a:fld>
                    <a:endParaRPr lang="en-CA"/>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3-4500-4D6B-AE1A-10A7C7B28FD6}"/>
                </c:ext>
              </c:extLst>
            </c:dLbl>
            <c:dLbl>
              <c:idx val="2"/>
              <c:tx>
                <c:rich>
                  <a:bodyPr/>
                  <a:lstStyle/>
                  <a:p>
                    <a:fld id="{CF35DF5D-F982-43FE-A712-398A242CAAF5}" type="CELLRANGE">
                      <a:rPr lang="en-CA"/>
                      <a:pPr/>
                      <a:t>[CELLRANGE]</a:t>
                    </a:fld>
                    <a:endParaRPr lang="en-CA"/>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4-4500-4D6B-AE1A-10A7C7B28FD6}"/>
                </c:ext>
              </c:extLst>
            </c:dLbl>
            <c:dLbl>
              <c:idx val="3"/>
              <c:tx>
                <c:rich>
                  <a:bodyPr/>
                  <a:lstStyle/>
                  <a:p>
                    <a:fld id="{983830EB-7837-442C-996A-3BD5656EFAFC}" type="CELLRANGE">
                      <a:rPr lang="en-CA"/>
                      <a:pPr/>
                      <a:t>[CELLRANGE]</a:t>
                    </a:fld>
                    <a:endParaRPr lang="en-CA"/>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5-4500-4D6B-AE1A-10A7C7B28FD6}"/>
                </c:ext>
              </c:extLst>
            </c:dLbl>
            <c:dLbl>
              <c:idx val="4"/>
              <c:tx>
                <c:rich>
                  <a:bodyPr/>
                  <a:lstStyle/>
                  <a:p>
                    <a:fld id="{6A761E64-DE4C-4A19-862F-DA83C7343BAA}" type="CELLRANGE">
                      <a:rPr lang="en-CA"/>
                      <a:pPr/>
                      <a:t>[CELLRANGE]</a:t>
                    </a:fld>
                    <a:endParaRPr lang="en-CA"/>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6-4500-4D6B-AE1A-10A7C7B28FD6}"/>
                </c:ext>
              </c:extLst>
            </c:dLbl>
            <c:dLbl>
              <c:idx val="5"/>
              <c:tx>
                <c:rich>
                  <a:bodyPr/>
                  <a:lstStyle/>
                  <a:p>
                    <a:fld id="{80218FAE-FC8E-4874-B300-D37E7401EAF0}" type="CELLRANGE">
                      <a:rPr lang="en-US"/>
                      <a:pPr/>
                      <a:t>[CELLRANGE]</a:t>
                    </a:fld>
                    <a:endParaRPr lang="en-CA"/>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7-4500-4D6B-AE1A-10A7C7B28FD6}"/>
                </c:ext>
              </c:extLst>
            </c:dLbl>
            <c:dLbl>
              <c:idx val="6"/>
              <c:tx>
                <c:rich>
                  <a:bodyPr/>
                  <a:lstStyle/>
                  <a:p>
                    <a:fld id="{4D138856-7C31-4F57-BB79-C9F0113428AE}" type="CELLRANGE">
                      <a:rPr lang="en-US"/>
                      <a:pPr/>
                      <a:t>[CELLRANGE]</a:t>
                    </a:fld>
                    <a:endParaRPr lang="en-CA"/>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8-4500-4D6B-AE1A-10A7C7B28FD6}"/>
                </c:ext>
              </c:extLst>
            </c:dLbl>
            <c:dLbl>
              <c:idx val="7"/>
              <c:tx>
                <c:rich>
                  <a:bodyPr/>
                  <a:lstStyle/>
                  <a:p>
                    <a:fld id="{A4CE7C70-5420-4B7E-949B-E94354416FDA}" type="CELLRANGE">
                      <a:rPr lang="en-US"/>
                      <a:pPr/>
                      <a:t>[CELLRANGE]</a:t>
                    </a:fld>
                    <a:endParaRPr lang="en-CA"/>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9-4500-4D6B-AE1A-10A7C7B28FD6}"/>
                </c:ext>
              </c:extLst>
            </c:dLbl>
            <c:dLbl>
              <c:idx val="8"/>
              <c:tx>
                <c:rich>
                  <a:bodyPr/>
                  <a:lstStyle/>
                  <a:p>
                    <a:fld id="{76550BB8-800D-4ED8-9FF2-B20A39F82990}" type="CELLRANGE">
                      <a:rPr lang="en-US"/>
                      <a:pPr/>
                      <a:t>[CELLRANGE]</a:t>
                    </a:fld>
                    <a:endParaRPr lang="en-CA"/>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A-4500-4D6B-AE1A-10A7C7B28FD6}"/>
                </c:ext>
              </c:extLst>
            </c:dLbl>
            <c:dLbl>
              <c:idx val="9"/>
              <c:tx>
                <c:rich>
                  <a:bodyPr rot="0" spcFirstLastPara="1" vertOverflow="ellipsis" vert="horz" wrap="square" lIns="38100" tIns="19050" rIns="38100" bIns="19050" anchor="ctr" anchorCtr="1">
                    <a:spAutoFit/>
                  </a:bodyPr>
                  <a:lstStyle/>
                  <a:p>
                    <a:pPr>
                      <a:defRPr sz="1400" b="0" i="0" u="none" strike="noStrike" kern="1200" baseline="0">
                        <a:solidFill>
                          <a:schemeClr val="bg1"/>
                        </a:solidFill>
                        <a:latin typeface="Avenir Next LT Pro" panose="020B0504020202020204" pitchFamily="34" charset="0"/>
                        <a:ea typeface="+mn-ea"/>
                        <a:cs typeface="+mn-cs"/>
                      </a:defRPr>
                    </a:pPr>
                    <a:fld id="{266CF593-42D0-4594-81D0-78D4D7DE2BF4}" type="CELLRANGE">
                      <a:rPr lang="en-CA"/>
                      <a:pPr>
                        <a:defRPr sz="1400">
                          <a:solidFill>
                            <a:schemeClr val="bg1"/>
                          </a:solidFill>
                          <a:latin typeface="Avenir Next LT Pro" panose="020B0504020202020204" pitchFamily="34" charset="0"/>
                        </a:defRPr>
                      </a:pPr>
                      <a:t>[CELLRANGE]</a:t>
                    </a:fld>
                    <a:endParaRPr lang="en-CA"/>
                  </a:p>
                </c:rich>
              </c:tx>
              <c:numFmt formatCode="General" sourceLinked="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bg1"/>
                      </a:solidFill>
                      <a:latin typeface="Avenir Next LT Pro" panose="020B0504020202020204" pitchFamily="34" charset="0"/>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B-4500-4D6B-AE1A-10A7C7B28FD6}"/>
                </c:ext>
              </c:extLst>
            </c:dLbl>
            <c:dLbl>
              <c:idx val="10"/>
              <c:tx>
                <c:rich>
                  <a:bodyPr/>
                  <a:lstStyle/>
                  <a:p>
                    <a:fld id="{9F4E8E04-6270-469B-B72E-C979E70CD308}" type="CELLRANGE">
                      <a:rPr lang="en-US"/>
                      <a:pPr/>
                      <a:t>[CELLRANGE]</a:t>
                    </a:fld>
                    <a:endParaRPr lang="en-CA"/>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C-4500-4D6B-AE1A-10A7C7B28FD6}"/>
                </c:ext>
              </c:extLst>
            </c:dLbl>
            <c:dLbl>
              <c:idx val="11"/>
              <c:tx>
                <c:rich>
                  <a:bodyPr/>
                  <a:lstStyle/>
                  <a:p>
                    <a:fld id="{C4090DAE-AEAF-43B2-B622-EBB438C8B121}" type="CELLRANGE">
                      <a:rPr lang="en-US"/>
                      <a:pPr/>
                      <a:t>[CELLRANGE]</a:t>
                    </a:fld>
                    <a:endParaRPr lang="en-CA"/>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D-4500-4D6B-AE1A-10A7C7B28FD6}"/>
                </c:ext>
              </c:extLst>
            </c:dLbl>
            <c:dLbl>
              <c:idx val="12"/>
              <c:tx>
                <c:rich>
                  <a:bodyPr/>
                  <a:lstStyle/>
                  <a:p>
                    <a:fld id="{7CE81185-E38C-4C43-970F-11DF36883792}" type="CELLRANGE">
                      <a:rPr lang="en-US"/>
                      <a:pPr/>
                      <a:t>[CELLRANGE]</a:t>
                    </a:fld>
                    <a:endParaRPr lang="en-CA"/>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E-4500-4D6B-AE1A-10A7C7B28FD6}"/>
                </c:ext>
              </c:extLst>
            </c:dLbl>
            <c:dLbl>
              <c:idx val="13"/>
              <c:tx>
                <c:rich>
                  <a:bodyPr/>
                  <a:lstStyle/>
                  <a:p>
                    <a:fld id="{A53A43B9-B155-478A-A2F5-C10E82115527}" type="CELLRANGE">
                      <a:rPr lang="en-US"/>
                      <a:pPr/>
                      <a:t>[CELLRANGE]</a:t>
                    </a:fld>
                    <a:endParaRPr lang="en-CA"/>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F-4500-4D6B-AE1A-10A7C7B28FD6}"/>
                </c:ext>
              </c:extLst>
            </c:dLbl>
            <c:dLbl>
              <c:idx val="14"/>
              <c:tx>
                <c:rich>
                  <a:bodyPr/>
                  <a:lstStyle/>
                  <a:p>
                    <a:fld id="{EF9DF3D5-F686-40B3-86C9-1CB5DD68E1F5}" type="CELLRANGE">
                      <a:rPr lang="en-CA"/>
                      <a:pPr/>
                      <a:t>[CELLRANGE]</a:t>
                    </a:fld>
                    <a:endParaRPr lang="en-CA"/>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20-4500-4D6B-AE1A-10A7C7B28FD6}"/>
                </c:ext>
              </c:extLst>
            </c:dLbl>
            <c:dLbl>
              <c:idx val="15"/>
              <c:tx>
                <c:rich>
                  <a:bodyPr/>
                  <a:lstStyle/>
                  <a:p>
                    <a:fld id="{CE9417A4-A2BD-48CC-A3D8-B33B4421E93D}" type="CELLRANGE">
                      <a:rPr lang="en-CA"/>
                      <a:pPr/>
                      <a:t>[CELLRANGE]</a:t>
                    </a:fld>
                    <a:endParaRPr lang="en-CA"/>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21-4500-4D6B-AE1A-10A7C7B28FD6}"/>
                </c:ext>
              </c:extLst>
            </c:dLbl>
            <c:dLbl>
              <c:idx val="16"/>
              <c:tx>
                <c:rich>
                  <a:bodyPr/>
                  <a:lstStyle/>
                  <a:p>
                    <a:fld id="{8FE516CB-EF37-4076-B601-36DADE1E392B}" type="CELLRANGE">
                      <a:rPr lang="en-CA"/>
                      <a:pPr/>
                      <a:t>[CELLRANGE]</a:t>
                    </a:fld>
                    <a:endParaRPr lang="en-CA"/>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22-4500-4D6B-AE1A-10A7C7B28FD6}"/>
                </c:ext>
              </c:extLst>
            </c:dLbl>
            <c:numFmt formatCode="&quot;$&quot;#" sourceLinked="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bg1"/>
                    </a:solidFill>
                    <a:latin typeface="Avenir Next LT Pro" panose="020B0504020202020204" pitchFamily="34" charset="0"/>
                    <a:ea typeface="+mn-ea"/>
                    <a:cs typeface="+mn-cs"/>
                  </a:defRPr>
                </a:pPr>
                <a:endParaRPr lang="en-US"/>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Pivot_tables!$H$6:$H$22</c:f>
              <c:numCache>
                <c:formatCode>General</c:formatCode>
                <c:ptCount val="17"/>
                <c:pt idx="0">
                  <c:v>0</c:v>
                </c:pt>
                <c:pt idx="1">
                  <c:v>6</c:v>
                </c:pt>
                <c:pt idx="2">
                  <c:v>3</c:v>
                </c:pt>
                <c:pt idx="3">
                  <c:v>13</c:v>
                </c:pt>
                <c:pt idx="4">
                  <c:v>19</c:v>
                </c:pt>
                <c:pt idx="5">
                  <c:v>20</c:v>
                </c:pt>
                <c:pt idx="6">
                  <c:v>25</c:v>
                </c:pt>
                <c:pt idx="7">
                  <c:v>20</c:v>
                </c:pt>
                <c:pt idx="8">
                  <c:v>20</c:v>
                </c:pt>
                <c:pt idx="9">
                  <c:v>16</c:v>
                </c:pt>
                <c:pt idx="10">
                  <c:v>11</c:v>
                </c:pt>
                <c:pt idx="11">
                  <c:v>8</c:v>
                </c:pt>
                <c:pt idx="12">
                  <c:v>4</c:v>
                </c:pt>
                <c:pt idx="13">
                  <c:v>2</c:v>
                </c:pt>
                <c:pt idx="14">
                  <c:v>0</c:v>
                </c:pt>
                <c:pt idx="15">
                  <c:v>3</c:v>
                </c:pt>
                <c:pt idx="16">
                  <c:v>26</c:v>
                </c:pt>
              </c:numCache>
            </c:numRef>
          </c:xVal>
          <c:yVal>
            <c:numRef>
              <c:f>Pivot_tables!$I$6:$I$22</c:f>
              <c:numCache>
                <c:formatCode>General</c:formatCode>
                <c:ptCount val="17"/>
                <c:pt idx="0">
                  <c:v>4</c:v>
                </c:pt>
                <c:pt idx="1">
                  <c:v>4</c:v>
                </c:pt>
                <c:pt idx="2">
                  <c:v>1.25</c:v>
                </c:pt>
                <c:pt idx="3">
                  <c:v>4</c:v>
                </c:pt>
                <c:pt idx="4">
                  <c:v>3</c:v>
                </c:pt>
                <c:pt idx="5">
                  <c:v>7</c:v>
                </c:pt>
                <c:pt idx="6">
                  <c:v>11</c:v>
                </c:pt>
                <c:pt idx="7">
                  <c:v>14</c:v>
                </c:pt>
                <c:pt idx="8">
                  <c:v>18</c:v>
                </c:pt>
                <c:pt idx="9">
                  <c:v>21</c:v>
                </c:pt>
                <c:pt idx="10">
                  <c:v>19</c:v>
                </c:pt>
                <c:pt idx="11">
                  <c:v>17</c:v>
                </c:pt>
                <c:pt idx="12">
                  <c:v>19</c:v>
                </c:pt>
                <c:pt idx="13">
                  <c:v>16</c:v>
                </c:pt>
                <c:pt idx="14">
                  <c:v>13</c:v>
                </c:pt>
                <c:pt idx="15">
                  <c:v>10</c:v>
                </c:pt>
                <c:pt idx="16">
                  <c:v>17</c:v>
                </c:pt>
              </c:numCache>
            </c:numRef>
          </c:yVal>
          <c:bubbleSize>
            <c:numRef>
              <c:f>Pivot_tables!$K$6:$K$22</c:f>
              <c:numCache>
                <c:formatCode>"$"#,##0</c:formatCode>
                <c:ptCount val="17"/>
                <c:pt idx="0">
                  <c:v>0</c:v>
                </c:pt>
                <c:pt idx="1">
                  <c:v>0</c:v>
                </c:pt>
                <c:pt idx="2">
                  <c:v>0</c:v>
                </c:pt>
                <c:pt idx="3">
                  <c:v>0</c:v>
                </c:pt>
                <c:pt idx="4">
                  <c:v>0</c:v>
                </c:pt>
                <c:pt idx="5">
                  <c:v>0</c:v>
                </c:pt>
                <c:pt idx="6">
                  <c:v>0</c:v>
                </c:pt>
                <c:pt idx="7">
                  <c:v>0</c:v>
                </c:pt>
                <c:pt idx="8">
                  <c:v>0</c:v>
                </c:pt>
                <c:pt idx="9">
                  <c:v>318169.68</c:v>
                </c:pt>
                <c:pt idx="10">
                  <c:v>0</c:v>
                </c:pt>
                <c:pt idx="11">
                  <c:v>0</c:v>
                </c:pt>
                <c:pt idx="12">
                  <c:v>0</c:v>
                </c:pt>
                <c:pt idx="13">
                  <c:v>0</c:v>
                </c:pt>
                <c:pt idx="14">
                  <c:v>0</c:v>
                </c:pt>
                <c:pt idx="15">
                  <c:v>0</c:v>
                </c:pt>
                <c:pt idx="16">
                  <c:v>0</c:v>
                </c:pt>
              </c:numCache>
            </c:numRef>
          </c:bubbleSize>
          <c:bubble3D val="0"/>
          <c:extLst>
            <c:ext xmlns:c15="http://schemas.microsoft.com/office/drawing/2012/chart" uri="{02D57815-91ED-43cb-92C2-25804820EDAC}">
              <c15:datalabelsRange>
                <c15:f>Pivot_tables!$K$6:$K$22</c15:f>
                <c15:dlblRangeCache>
                  <c:ptCount val="17"/>
                  <c:pt idx="9">
                    <c:v>$318,170</c:v>
                  </c:pt>
                </c15:dlblRangeCache>
              </c15:datalabelsRange>
            </c:ext>
            <c:ext xmlns:c16="http://schemas.microsoft.com/office/drawing/2014/chart" uri="{C3380CC4-5D6E-409C-BE32-E72D297353CC}">
              <c16:uniqueId val="{00000023-4500-4D6B-AE1A-10A7C7B28FD6}"/>
            </c:ext>
          </c:extLst>
        </c:ser>
        <c:dLbls>
          <c:showLegendKey val="0"/>
          <c:showVal val="0"/>
          <c:showCatName val="0"/>
          <c:showSerName val="0"/>
          <c:showPercent val="0"/>
          <c:showBubbleSize val="0"/>
        </c:dLbls>
        <c:bubbleScale val="60"/>
        <c:showNegBubbles val="0"/>
        <c:axId val="697472991"/>
        <c:axId val="1631463615"/>
      </c:bubbleChart>
      <c:valAx>
        <c:axId val="697472991"/>
        <c:scaling>
          <c:orientation val="minMax"/>
          <c:max val="30"/>
          <c:min val="-3"/>
        </c:scaling>
        <c:delete val="1"/>
        <c:axPos val="b"/>
        <c:numFmt formatCode="General" sourceLinked="1"/>
        <c:majorTickMark val="out"/>
        <c:minorTickMark val="none"/>
        <c:tickLblPos val="nextTo"/>
        <c:crossAx val="1631463615"/>
        <c:crosses val="autoZero"/>
        <c:crossBetween val="midCat"/>
      </c:valAx>
      <c:valAx>
        <c:axId val="1631463615"/>
        <c:scaling>
          <c:orientation val="minMax"/>
          <c:max val="25"/>
          <c:min val="-1"/>
        </c:scaling>
        <c:delete val="1"/>
        <c:axPos val="l"/>
        <c:numFmt formatCode="General" sourceLinked="1"/>
        <c:majorTickMark val="out"/>
        <c:minorTickMark val="none"/>
        <c:tickLblPos val="nextTo"/>
        <c:crossAx val="697472991"/>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[Data_Analysis_Project_Superstore_Saurabh.xlsm]Pivot_tables!Sales&amp;Profit_BarChart</c:name>
    <c:fmtId val="24"/>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flip="none" rotWithShape="1">
            <a:gsLst>
              <a:gs pos="33000">
                <a:srgbClr val="9BF8F2">
                  <a:alpha val="55686"/>
                </a:srgbClr>
              </a:gs>
              <a:gs pos="100000">
                <a:srgbClr val="C240D8"/>
              </a:gs>
            </a:gsLst>
            <a:lin ang="0" scaled="1"/>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4.2328018815415397E-2"/>
          <c:y val="5.1494432761122248E-2"/>
          <c:w val="0.91534396236916915"/>
          <c:h val="0.89701113447775549"/>
        </c:manualLayout>
      </c:layout>
      <c:barChart>
        <c:barDir val="bar"/>
        <c:grouping val="clustered"/>
        <c:varyColors val="0"/>
        <c:ser>
          <c:idx val="0"/>
          <c:order val="0"/>
          <c:tx>
            <c:strRef>
              <c:f>Pivot_tables!$G$27</c:f>
              <c:strCache>
                <c:ptCount val="1"/>
                <c:pt idx="0">
                  <c:v>Total</c:v>
                </c:pt>
              </c:strCache>
            </c:strRef>
          </c:tx>
          <c:spPr>
            <a:gradFill flip="none" rotWithShape="1">
              <a:gsLst>
                <a:gs pos="33000">
                  <a:srgbClr val="9BF8F2">
                    <a:alpha val="55686"/>
                  </a:srgbClr>
                </a:gs>
                <a:gs pos="100000">
                  <a:srgbClr val="C240D8"/>
                </a:gs>
              </a:gsLst>
              <a:lin ang="0" scaled="1"/>
              <a:tileRect/>
            </a:gradFill>
            <a:ln>
              <a:noFill/>
            </a:ln>
            <a:effectLst/>
          </c:spPr>
          <c:invertIfNegative val="0"/>
          <c:cat>
            <c:strRef>
              <c:f>Pivot_tables!$F$28:$F$34</c:f>
              <c:strCache>
                <c:ptCount val="6"/>
                <c:pt idx="0">
                  <c:v>Jan</c:v>
                </c:pt>
                <c:pt idx="1">
                  <c:v>Feb</c:v>
                </c:pt>
                <c:pt idx="2">
                  <c:v>Mar</c:v>
                </c:pt>
                <c:pt idx="3">
                  <c:v>Apr</c:v>
                </c:pt>
                <c:pt idx="4">
                  <c:v>May</c:v>
                </c:pt>
                <c:pt idx="5">
                  <c:v>Jun</c:v>
                </c:pt>
              </c:strCache>
            </c:strRef>
          </c:cat>
          <c:val>
            <c:numRef>
              <c:f>Pivot_tables!$G$28:$G$34</c:f>
              <c:numCache>
                <c:formatCode>_-* #,##0_-;\-* #,##0_-;_-* "-"??_-;_-@_-</c:formatCode>
                <c:ptCount val="6"/>
                <c:pt idx="0">
                  <c:v>-657.53850031999514</c:v>
                </c:pt>
                <c:pt idx="1">
                  <c:v>36266.168780320018</c:v>
                </c:pt>
                <c:pt idx="2">
                  <c:v>1881.8305867500003</c:v>
                </c:pt>
                <c:pt idx="3">
                  <c:v>50182.103101999965</c:v>
                </c:pt>
                <c:pt idx="4">
                  <c:v>61026.94915840005</c:v>
                </c:pt>
                <c:pt idx="5">
                  <c:v>66323.886610000001</c:v>
                </c:pt>
              </c:numCache>
            </c:numRef>
          </c:val>
          <c:extLst>
            <c:ext xmlns:c16="http://schemas.microsoft.com/office/drawing/2014/chart" uri="{C3380CC4-5D6E-409C-BE32-E72D297353CC}">
              <c16:uniqueId val="{00000000-31E0-4C58-B473-A3EB2B45E16B}"/>
            </c:ext>
          </c:extLst>
        </c:ser>
        <c:dLbls>
          <c:showLegendKey val="0"/>
          <c:showVal val="0"/>
          <c:showCatName val="0"/>
          <c:showSerName val="0"/>
          <c:showPercent val="0"/>
          <c:showBubbleSize val="0"/>
        </c:dLbls>
        <c:gapWidth val="200"/>
        <c:axId val="654989279"/>
        <c:axId val="656499919"/>
      </c:barChart>
      <c:catAx>
        <c:axId val="654989279"/>
        <c:scaling>
          <c:orientation val="minMax"/>
        </c:scaling>
        <c:delete val="0"/>
        <c:axPos val="l"/>
        <c:numFmt formatCode="General" sourceLinked="1"/>
        <c:majorTickMark val="none"/>
        <c:minorTickMark val="none"/>
        <c:tickLblPos val="high"/>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Avenir Next LT Pro" panose="020B0504020202020204" pitchFamily="34" charset="0"/>
                <a:ea typeface="+mn-ea"/>
                <a:cs typeface="+mn-cs"/>
              </a:defRPr>
            </a:pPr>
            <a:endParaRPr lang="en-US"/>
          </a:p>
        </c:txPr>
        <c:crossAx val="656499919"/>
        <c:crosses val="autoZero"/>
        <c:auto val="1"/>
        <c:lblAlgn val="ctr"/>
        <c:lblOffset val="0"/>
        <c:noMultiLvlLbl val="0"/>
      </c:catAx>
      <c:valAx>
        <c:axId val="656499919"/>
        <c:scaling>
          <c:orientation val="minMax"/>
        </c:scaling>
        <c:delete val="1"/>
        <c:axPos val="b"/>
        <c:numFmt formatCode="_-* #,##0_-;\-* #,##0_-;_-* &quot;-&quot;??_-;_-@_-" sourceLinked="1"/>
        <c:majorTickMark val="none"/>
        <c:minorTickMark val="none"/>
        <c:tickLblPos val="nextTo"/>
        <c:crossAx val="65498927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[Data_Analysis_Project_Superstore_Saurabh.xlsm]Pivot_tables!Sales&amp;Profit_SmallDonut</c:name>
    <c:fmtId val="39"/>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circle"/>
          <c:size val="6"/>
        </c:marker>
        <c:dLbl>
          <c:idx val="0"/>
          <c:spPr>
            <a:pattFill prst="pct75">
              <a:fgClr>
                <a:srgbClr val="000000">
                  <a:lumMod val="75000"/>
                  <a:lumOff val="25000"/>
                </a:srgbClr>
              </a:fgClr>
              <a:bgClr>
                <a:srgbClr val="000000">
                  <a:lumMod val="65000"/>
                  <a:lumOff val="35000"/>
                </a:srgb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rgbClr val="000000">
                  <a:lumMod val="75000"/>
                  <a:lumOff val="25000"/>
                </a:srgbClr>
              </a:fgClr>
              <a:bgClr>
                <a:srgbClr val="000000">
                  <a:lumMod val="65000"/>
                  <a:lumOff val="35000"/>
                </a:srgb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
        <c:idx val="6"/>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rgbClr val="000000">
                  <a:lumMod val="75000"/>
                  <a:lumOff val="25000"/>
                </a:srgbClr>
              </a:fgClr>
              <a:bgClr>
                <a:srgbClr val="000000">
                  <a:lumMod val="65000"/>
                  <a:lumOff val="35000"/>
                </a:srgb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rgbClr val="9BF8F2"/>
          </a:solidFill>
          <a:ln>
            <a:solidFill>
              <a:srgbClr val="9BF8F2"/>
            </a:solidFill>
          </a:ln>
          <a:effectLst>
            <a:outerShdw blurRad="254000" sx="102000" sy="102000" algn="ctr" rotWithShape="0">
              <a:prstClr val="black">
                <a:alpha val="20000"/>
              </a:prstClr>
            </a:outerShdw>
          </a:effectLst>
        </c:spPr>
      </c:pivotFmt>
      <c:pivotFmt>
        <c:idx val="8"/>
        <c:spPr>
          <a:solidFill>
            <a:srgbClr val="7417BD"/>
          </a:solidFill>
          <a:ln>
            <a:solidFill>
              <a:srgbClr val="7417BD"/>
            </a:solidFill>
          </a:ln>
          <a:effectLst>
            <a:outerShdw blurRad="254000" sx="102000" sy="102000" algn="ctr" rotWithShape="0">
              <a:prstClr val="black">
                <a:alpha val="20000"/>
              </a:prstClr>
            </a:outerShdw>
          </a:effectLst>
        </c:spPr>
      </c:pivotFmt>
      <c:pivotFmt>
        <c:idx val="9"/>
        <c:spPr>
          <a:solidFill>
            <a:srgbClr val="194AFE"/>
          </a:solidFill>
          <a:ln>
            <a:solidFill>
              <a:srgbClr val="194AFE"/>
            </a:solidFill>
          </a:ln>
          <a:effectLst>
            <a:outerShdw blurRad="254000" sx="102000" sy="102000" algn="ctr" rotWithShape="0">
              <a:prstClr val="black">
                <a:alpha val="20000"/>
              </a:prstClr>
            </a:outerShdw>
          </a:effectLst>
        </c:spPr>
      </c:pivotFmt>
      <c:pivotFmt>
        <c:idx val="10"/>
        <c:spPr>
          <a:solidFill>
            <a:srgbClr val="C240D8"/>
          </a:solidFill>
          <a:ln>
            <a:solidFill>
              <a:srgbClr val="C240D8"/>
            </a:solidFill>
          </a:ln>
          <a:effectLst>
            <a:outerShdw blurRad="254000" sx="102000" sy="102000" algn="ctr" rotWithShape="0">
              <a:prstClr val="black">
                <a:alpha val="20000"/>
              </a:prstClr>
            </a:outerShdw>
          </a:effectLst>
        </c:spPr>
      </c:pivotFmt>
    </c:pivotFmts>
    <c:plotArea>
      <c:layout>
        <c:manualLayout>
          <c:layoutTarget val="inner"/>
          <c:xMode val="edge"/>
          <c:yMode val="edge"/>
          <c:x val="0.10805788746233728"/>
          <c:y val="0.27402316346144467"/>
          <c:w val="0.80492540842911253"/>
          <c:h val="0.32134651773179518"/>
        </c:manualLayout>
      </c:layout>
      <c:doughnutChart>
        <c:varyColors val="1"/>
        <c:ser>
          <c:idx val="0"/>
          <c:order val="0"/>
          <c:tx>
            <c:strRef>
              <c:f>Pivot_tables!$J$27</c:f>
              <c:strCache>
                <c:ptCount val="1"/>
                <c:pt idx="0">
                  <c:v>Total</c:v>
                </c:pt>
              </c:strCache>
            </c:strRef>
          </c:tx>
          <c:dPt>
            <c:idx val="0"/>
            <c:bubble3D val="0"/>
            <c:spPr>
              <a:solidFill>
                <a:srgbClr val="9BF8F2"/>
              </a:solidFill>
              <a:ln>
                <a:solidFill>
                  <a:srgbClr val="9BF8F2"/>
                </a:solid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CC1F-417A-AD39-3A96F5354244}"/>
              </c:ext>
            </c:extLst>
          </c:dPt>
          <c:dPt>
            <c:idx val="1"/>
            <c:bubble3D val="0"/>
            <c:spPr>
              <a:solidFill>
                <a:srgbClr val="7417BD"/>
              </a:solidFill>
              <a:ln>
                <a:solidFill>
                  <a:srgbClr val="7417BD"/>
                </a:solid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CC1F-417A-AD39-3A96F5354244}"/>
              </c:ext>
            </c:extLst>
          </c:dPt>
          <c:dPt>
            <c:idx val="2"/>
            <c:bubble3D val="0"/>
            <c:spPr>
              <a:solidFill>
                <a:srgbClr val="194AFE"/>
              </a:solidFill>
              <a:ln>
                <a:solidFill>
                  <a:srgbClr val="194AFE"/>
                </a:solid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CC1F-417A-AD39-3A96F5354244}"/>
              </c:ext>
            </c:extLst>
          </c:dPt>
          <c:dPt>
            <c:idx val="3"/>
            <c:bubble3D val="0"/>
            <c:spPr>
              <a:solidFill>
                <a:srgbClr val="C240D8"/>
              </a:solidFill>
              <a:ln>
                <a:solidFill>
                  <a:srgbClr val="C240D8"/>
                </a:solid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CC1F-417A-AD39-3A96F5354244}"/>
              </c:ext>
            </c:extLst>
          </c:dPt>
          <c:cat>
            <c:strRef>
              <c:f>Pivot_tables!$I$28:$I$32</c:f>
              <c:strCache>
                <c:ptCount val="4"/>
                <c:pt idx="0">
                  <c:v>Central</c:v>
                </c:pt>
                <c:pt idx="1">
                  <c:v>East</c:v>
                </c:pt>
                <c:pt idx="2">
                  <c:v>South</c:v>
                </c:pt>
                <c:pt idx="3">
                  <c:v>West</c:v>
                </c:pt>
              </c:strCache>
            </c:strRef>
          </c:cat>
          <c:val>
            <c:numRef>
              <c:f>Pivot_tables!$J$28:$J$32</c:f>
              <c:numCache>
                <c:formatCode>_-* #,##0_-;\-* #,##0_-;_-* "-"??_-;_-@_-</c:formatCode>
                <c:ptCount val="4"/>
                <c:pt idx="0">
                  <c:v>78645.775268599988</c:v>
                </c:pt>
                <c:pt idx="1">
                  <c:v>85577.445845999988</c:v>
                </c:pt>
                <c:pt idx="2">
                  <c:v>-17431.355779449979</c:v>
                </c:pt>
                <c:pt idx="3">
                  <c:v>68231.53440199999</c:v>
                </c:pt>
              </c:numCache>
            </c:numRef>
          </c:val>
          <c:extLst>
            <c:ext xmlns:c16="http://schemas.microsoft.com/office/drawing/2014/chart" uri="{C3380CC4-5D6E-409C-BE32-E72D297353CC}">
              <c16:uniqueId val="{00000008-CC1F-417A-AD39-3A96F5354244}"/>
            </c:ext>
          </c:extLst>
        </c:ser>
        <c:dLbls>
          <c:showLegendKey val="0"/>
          <c:showVal val="0"/>
          <c:showCatName val="0"/>
          <c:showSerName val="0"/>
          <c:showPercent val="0"/>
          <c:showBubbleSize val="0"/>
          <c:showLeaderLines val="1"/>
        </c:dLbls>
        <c:firstSliceAng val="0"/>
        <c:holeSize val="50"/>
      </c:doughnut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Avenir Next LT Pro" panose="020B0504020202020204" pitchFamily="34" charset="0"/>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[Data_Analysis_Project_Superstore_Saurabh.xlsm]Pivot_tables!Sales&amp;Profit_TrendChart</c:name>
    <c:fmtId val="18"/>
  </c:pivotSource>
  <c:chart>
    <c:autoTitleDeleted val="0"/>
    <c:pivotFmts>
      <c:pivotFmt>
        <c:idx val="0"/>
        <c:spPr>
          <a:solidFill>
            <a:schemeClr val="accent1"/>
          </a:solidFill>
          <a:ln w="19050" cap="rnd">
            <a:solidFill>
              <a:srgbClr val="7417BD"/>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flip="none" rotWithShape="1">
            <a:gsLst>
              <a:gs pos="32000">
                <a:srgbClr val="194AFE"/>
              </a:gs>
              <a:gs pos="100000">
                <a:schemeClr val="tx2"/>
              </a:gs>
            </a:gsLst>
            <a:lin ang="5400000" scaled="0"/>
            <a:tileRect/>
          </a:gradFill>
          <a:ln w="12700">
            <a:solidFill>
              <a:srgbClr val="7417BD"/>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flip="none" rotWithShape="1">
            <a:gsLst>
              <a:gs pos="32000">
                <a:srgbClr val="194AFE"/>
              </a:gs>
              <a:gs pos="100000">
                <a:schemeClr val="tx2"/>
              </a:gs>
            </a:gsLst>
            <a:lin ang="5400000" scaled="0"/>
            <a:tileRect/>
          </a:gradFill>
          <a:ln w="12700">
            <a:solidFill>
              <a:srgbClr val="7417BD"/>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19050" cap="rnd">
            <a:solidFill>
              <a:srgbClr val="7417BD"/>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gradFill flip="none" rotWithShape="1">
            <a:gsLst>
              <a:gs pos="33000">
                <a:srgbClr val="194AFE"/>
              </a:gs>
              <a:gs pos="100000">
                <a:schemeClr val="tx1">
                  <a:alpha val="49000"/>
                </a:schemeClr>
              </a:gs>
            </a:gsLst>
            <a:lin ang="5400000" scaled="0"/>
            <a:tileRect/>
          </a:gradFill>
          <a:ln w="127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ln w="19050" cap="rnd">
            <a:solidFill>
              <a:srgbClr val="194AFE"/>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ln w="19050" cap="rnd">
            <a:solidFill>
              <a:srgbClr val="194AFE"/>
            </a:solidFill>
            <a:round/>
          </a:ln>
          <a:effectLst/>
        </c:spPr>
        <c:marker>
          <c:symbol val="none"/>
        </c:marker>
      </c:pivotFmt>
    </c:pivotFmts>
    <c:plotArea>
      <c:layout>
        <c:manualLayout>
          <c:layoutTarget val="inner"/>
          <c:xMode val="edge"/>
          <c:yMode val="edge"/>
          <c:x val="9.5984185182959147E-4"/>
          <c:y val="2.6685755189692201E-2"/>
          <c:w val="0.99904015814817038"/>
          <c:h val="0.96353137675972311"/>
        </c:manualLayout>
      </c:layout>
      <c:areaChart>
        <c:grouping val="standard"/>
        <c:varyColors val="0"/>
        <c:ser>
          <c:idx val="1"/>
          <c:order val="1"/>
          <c:tx>
            <c:strRef>
              <c:f>Pivot_tables!$D$27</c:f>
              <c:strCache>
                <c:ptCount val="1"/>
                <c:pt idx="0">
                  <c:v>Sum of Sales</c:v>
                </c:pt>
              </c:strCache>
            </c:strRef>
          </c:tx>
          <c:spPr>
            <a:gradFill flip="none" rotWithShape="1">
              <a:gsLst>
                <a:gs pos="33000">
                  <a:srgbClr val="194AFE"/>
                </a:gs>
                <a:gs pos="100000">
                  <a:schemeClr val="tx1">
                    <a:alpha val="49000"/>
                  </a:schemeClr>
                </a:gs>
              </a:gsLst>
              <a:lin ang="5400000" scaled="0"/>
              <a:tileRect/>
            </a:gradFill>
            <a:ln w="12700">
              <a:noFill/>
            </a:ln>
            <a:effectLst/>
          </c:spPr>
          <c:cat>
            <c:strRef>
              <c:f>Pivot_tables!$B$28:$B$34</c:f>
              <c:strCache>
                <c:ptCount val="6"/>
                <c:pt idx="0">
                  <c:v>Jan</c:v>
                </c:pt>
                <c:pt idx="1">
                  <c:v>Feb</c:v>
                </c:pt>
                <c:pt idx="2">
                  <c:v>Mar</c:v>
                </c:pt>
                <c:pt idx="3">
                  <c:v>Apr</c:v>
                </c:pt>
                <c:pt idx="4">
                  <c:v>May</c:v>
                </c:pt>
                <c:pt idx="5">
                  <c:v>Jun</c:v>
                </c:pt>
              </c:strCache>
            </c:strRef>
          </c:cat>
          <c:val>
            <c:numRef>
              <c:f>Pivot_tables!$D$28:$D$34</c:f>
              <c:numCache>
                <c:formatCode>_-* #,##0_-;\-* #,##0_-;_-* "-"??_-;_-@_-</c:formatCode>
                <c:ptCount val="6"/>
                <c:pt idx="0">
                  <c:v>264998.55</c:v>
                </c:pt>
                <c:pt idx="1">
                  <c:v>325502.44</c:v>
                </c:pt>
                <c:pt idx="2">
                  <c:v>265167.13</c:v>
                </c:pt>
                <c:pt idx="3">
                  <c:v>384029.19</c:v>
                </c:pt>
                <c:pt idx="4">
                  <c:v>290230.84999999998</c:v>
                </c:pt>
                <c:pt idx="5">
                  <c:v>351596.61</c:v>
                </c:pt>
              </c:numCache>
            </c:numRef>
          </c:val>
          <c:extLst>
            <c:ext xmlns:c16="http://schemas.microsoft.com/office/drawing/2014/chart" uri="{C3380CC4-5D6E-409C-BE32-E72D297353CC}">
              <c16:uniqueId val="{00000000-3753-4273-88B3-8AAF91C50BCF}"/>
            </c:ext>
          </c:extLst>
        </c:ser>
        <c:dLbls>
          <c:showLegendKey val="0"/>
          <c:showVal val="0"/>
          <c:showCatName val="0"/>
          <c:showSerName val="0"/>
          <c:showPercent val="0"/>
          <c:showBubbleSize val="0"/>
        </c:dLbls>
        <c:axId val="2053839215"/>
        <c:axId val="825637871"/>
      </c:areaChart>
      <c:lineChart>
        <c:grouping val="standard"/>
        <c:varyColors val="0"/>
        <c:ser>
          <c:idx val="0"/>
          <c:order val="0"/>
          <c:tx>
            <c:strRef>
              <c:f>Pivot_tables!$C$27</c:f>
              <c:strCache>
                <c:ptCount val="1"/>
                <c:pt idx="0">
                  <c:v>Sales</c:v>
                </c:pt>
              </c:strCache>
            </c:strRef>
          </c:tx>
          <c:spPr>
            <a:ln w="19050" cap="rnd">
              <a:solidFill>
                <a:srgbClr val="194AFE"/>
              </a:solidFill>
              <a:round/>
            </a:ln>
            <a:effectLst/>
          </c:spPr>
          <c:marker>
            <c:symbol val="none"/>
          </c:marker>
          <c:cat>
            <c:strRef>
              <c:f>Pivot_tables!$B$28:$B$34</c:f>
              <c:strCache>
                <c:ptCount val="6"/>
                <c:pt idx="0">
                  <c:v>Jan</c:v>
                </c:pt>
                <c:pt idx="1">
                  <c:v>Feb</c:v>
                </c:pt>
                <c:pt idx="2">
                  <c:v>Mar</c:v>
                </c:pt>
                <c:pt idx="3">
                  <c:v>Apr</c:v>
                </c:pt>
                <c:pt idx="4">
                  <c:v>May</c:v>
                </c:pt>
                <c:pt idx="5">
                  <c:v>Jun</c:v>
                </c:pt>
              </c:strCache>
            </c:strRef>
          </c:cat>
          <c:val>
            <c:numRef>
              <c:f>Pivot_tables!$C$28:$C$34</c:f>
              <c:numCache>
                <c:formatCode>_-* #,##0_-;\-* #,##0_-;_-* "-"??_-;_-@_-</c:formatCode>
                <c:ptCount val="6"/>
                <c:pt idx="0">
                  <c:v>264998.55</c:v>
                </c:pt>
                <c:pt idx="1">
                  <c:v>325502.44</c:v>
                </c:pt>
                <c:pt idx="2">
                  <c:v>265167.13</c:v>
                </c:pt>
                <c:pt idx="3">
                  <c:v>384029.19</c:v>
                </c:pt>
                <c:pt idx="4">
                  <c:v>290230.84999999998</c:v>
                </c:pt>
                <c:pt idx="5">
                  <c:v>351596.61</c:v>
                </c:pt>
              </c:numCache>
            </c:numRef>
          </c:val>
          <c:smooth val="0"/>
          <c:extLst>
            <c:ext xmlns:c16="http://schemas.microsoft.com/office/drawing/2014/chart" uri="{C3380CC4-5D6E-409C-BE32-E72D297353CC}">
              <c16:uniqueId val="{00000001-3753-4273-88B3-8AAF91C50BCF}"/>
            </c:ext>
          </c:extLst>
        </c:ser>
        <c:dLbls>
          <c:showLegendKey val="0"/>
          <c:showVal val="0"/>
          <c:showCatName val="0"/>
          <c:showSerName val="0"/>
          <c:showPercent val="0"/>
          <c:showBubbleSize val="0"/>
        </c:dLbls>
        <c:marker val="1"/>
        <c:smooth val="0"/>
        <c:axId val="2053839215"/>
        <c:axId val="825637871"/>
      </c:lineChart>
      <c:catAx>
        <c:axId val="2053839215"/>
        <c:scaling>
          <c:orientation val="minMax"/>
        </c:scaling>
        <c:delete val="1"/>
        <c:axPos val="b"/>
        <c:numFmt formatCode="General" sourceLinked="0"/>
        <c:majorTickMark val="out"/>
        <c:minorTickMark val="none"/>
        <c:tickLblPos val="nextTo"/>
        <c:crossAx val="825637871"/>
        <c:crosses val="autoZero"/>
        <c:auto val="1"/>
        <c:lblAlgn val="ctr"/>
        <c:lblOffset val="100"/>
        <c:noMultiLvlLbl val="0"/>
      </c:catAx>
      <c:valAx>
        <c:axId val="825637871"/>
        <c:scaling>
          <c:orientation val="minMax"/>
        </c:scaling>
        <c:delete val="1"/>
        <c:axPos val="l"/>
        <c:numFmt formatCode="_-* #,##0_-;\-* #,##0_-;_-* &quot;-&quot;??_-;_-@_-" sourceLinked="1"/>
        <c:majorTickMark val="out"/>
        <c:minorTickMark val="none"/>
        <c:tickLblPos val="nextTo"/>
        <c:crossAx val="205383921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1.8210777499768325E-2"/>
          <c:y val="4.1025654278426579E-3"/>
          <c:w val="0.9635784450004633"/>
          <c:h val="0.90572304646817592"/>
        </c:manualLayout>
      </c:layout>
      <c:scatterChart>
        <c:scatterStyle val="lineMarker"/>
        <c:varyColors val="0"/>
        <c:ser>
          <c:idx val="0"/>
          <c:order val="0"/>
          <c:tx>
            <c:strRef>
              <c:f>Pivot_tables!$AR$6</c:f>
              <c:strCache>
                <c:ptCount val="1"/>
                <c:pt idx="0">
                  <c:v> Sales </c:v>
                </c:pt>
              </c:strCache>
            </c:strRef>
          </c:tx>
          <c:spPr>
            <a:ln w="19050" cap="rnd">
              <a:solidFill>
                <a:srgbClr val="194AFE"/>
              </a:solidFill>
              <a:round/>
            </a:ln>
            <a:effectLst/>
          </c:spPr>
          <c:marker>
            <c:symbol val="circle"/>
            <c:size val="9"/>
            <c:spPr>
              <a:solidFill>
                <a:srgbClr val="D43260"/>
              </a:solidFill>
              <a:ln w="9525">
                <a:solidFill>
                  <a:schemeClr val="accent1"/>
                </a:solidFill>
              </a:ln>
              <a:effectLst/>
            </c:spPr>
          </c:marker>
          <c:dLbls>
            <c:dLbl>
              <c:idx val="30"/>
              <c:layout>
                <c:manualLayout>
                  <c:x val="-4.4097222222221144E-3"/>
                  <c:y val="-4.8461721917481514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EF71-4B10-8AB7-A73A6C87572F}"/>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Avenir Next LT Pro" panose="020B0504020202020204" pitchFamily="34"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trendline>
            <c:spPr>
              <a:ln w="19050" cap="rnd">
                <a:solidFill>
                  <a:srgbClr val="6921B5"/>
                </a:solidFill>
                <a:prstDash val="sysDot"/>
              </a:ln>
              <a:effectLst/>
            </c:spPr>
            <c:trendlineType val="movingAvg"/>
            <c:period val="2"/>
            <c:dispRSqr val="0"/>
            <c:dispEq val="0"/>
          </c:trendline>
          <c:xVal>
            <c:numRef>
              <c:f>Pivot_tables!$AQ$7:$AQ$37</c:f>
              <c:numCache>
                <c:formatCode>[=0]"";dd/mmm</c:formatCode>
                <c:ptCount val="31"/>
                <c:pt idx="0">
                  <c:v>42005</c:v>
                </c:pt>
                <c:pt idx="1">
                  <c:v>42006</c:v>
                </c:pt>
                <c:pt idx="2">
                  <c:v>42007</c:v>
                </c:pt>
                <c:pt idx="3">
                  <c:v>42008</c:v>
                </c:pt>
                <c:pt idx="4">
                  <c:v>42009</c:v>
                </c:pt>
                <c:pt idx="5">
                  <c:v>42010</c:v>
                </c:pt>
                <c:pt idx="6">
                  <c:v>42011</c:v>
                </c:pt>
                <c:pt idx="7">
                  <c:v>42012</c:v>
                </c:pt>
                <c:pt idx="8">
                  <c:v>42013</c:v>
                </c:pt>
                <c:pt idx="9">
                  <c:v>42014</c:v>
                </c:pt>
                <c:pt idx="10">
                  <c:v>42015</c:v>
                </c:pt>
                <c:pt idx="11">
                  <c:v>42016</c:v>
                </c:pt>
                <c:pt idx="12">
                  <c:v>42017</c:v>
                </c:pt>
                <c:pt idx="13">
                  <c:v>42018</c:v>
                </c:pt>
                <c:pt idx="14">
                  <c:v>42019</c:v>
                </c:pt>
                <c:pt idx="15">
                  <c:v>42020</c:v>
                </c:pt>
                <c:pt idx="16">
                  <c:v>42021</c:v>
                </c:pt>
                <c:pt idx="17">
                  <c:v>42022</c:v>
                </c:pt>
                <c:pt idx="18">
                  <c:v>42023</c:v>
                </c:pt>
                <c:pt idx="19">
                  <c:v>42024</c:v>
                </c:pt>
                <c:pt idx="20">
                  <c:v>42025</c:v>
                </c:pt>
                <c:pt idx="21">
                  <c:v>42026</c:v>
                </c:pt>
                <c:pt idx="22">
                  <c:v>42027</c:v>
                </c:pt>
                <c:pt idx="23">
                  <c:v>42028</c:v>
                </c:pt>
                <c:pt idx="24">
                  <c:v>42029</c:v>
                </c:pt>
                <c:pt idx="25">
                  <c:v>42030</c:v>
                </c:pt>
                <c:pt idx="26">
                  <c:v>42031</c:v>
                </c:pt>
                <c:pt idx="27">
                  <c:v>42032</c:v>
                </c:pt>
                <c:pt idx="28">
                  <c:v>42033</c:v>
                </c:pt>
                <c:pt idx="29">
                  <c:v>42034</c:v>
                </c:pt>
                <c:pt idx="30">
                  <c:v>42035</c:v>
                </c:pt>
              </c:numCache>
            </c:numRef>
          </c:xVal>
          <c:yVal>
            <c:numRef>
              <c:f>Pivot_tables!$AR$7:$AR$37</c:f>
              <c:numCache>
                <c:formatCode>_-* #,##0_-;\-* #,##0_-;_-* "-"??_-;_-@_-</c:formatCode>
                <c:ptCount val="31"/>
                <c:pt idx="0">
                  <c:v>8666.18</c:v>
                </c:pt>
                <c:pt idx="1">
                  <c:v>24319.919999999998</c:v>
                </c:pt>
                <c:pt idx="2">
                  <c:v>10134.42</c:v>
                </c:pt>
                <c:pt idx="3">
                  <c:v>5470.58</c:v>
                </c:pt>
                <c:pt idx="4">
                  <c:v>20160.509999999998</c:v>
                </c:pt>
                <c:pt idx="5">
                  <c:v>11123.41</c:v>
                </c:pt>
                <c:pt idx="6">
                  <c:v>16551.82</c:v>
                </c:pt>
                <c:pt idx="7">
                  <c:v>5388.84</c:v>
                </c:pt>
                <c:pt idx="8">
                  <c:v>13926.83</c:v>
                </c:pt>
                <c:pt idx="9">
                  <c:v>11520.37</c:v>
                </c:pt>
                <c:pt idx="10">
                  <c:v>3355.12</c:v>
                </c:pt>
                <c:pt idx="11">
                  <c:v>14882.67</c:v>
                </c:pt>
                <c:pt idx="12">
                  <c:v>1772.04</c:v>
                </c:pt>
                <c:pt idx="13">
                  <c:v>5200.1899999999996</c:v>
                </c:pt>
                <c:pt idx="14">
                  <c:v>4829.95</c:v>
                </c:pt>
                <c:pt idx="15">
                  <c:v>3964.13</c:v>
                </c:pt>
                <c:pt idx="16">
                  <c:v>6667.69</c:v>
                </c:pt>
                <c:pt idx="17">
                  <c:v>2987.38</c:v>
                </c:pt>
                <c:pt idx="18">
                  <c:v>1652.89</c:v>
                </c:pt>
                <c:pt idx="19">
                  <c:v>6109.01</c:v>
                </c:pt>
                <c:pt idx="20">
                  <c:v>12281.51</c:v>
                </c:pt>
                <c:pt idx="21">
                  <c:v>13513.64</c:v>
                </c:pt>
                <c:pt idx="22">
                  <c:v>765.9</c:v>
                </c:pt>
                <c:pt idx="23">
                  <c:v>8376.58</c:v>
                </c:pt>
                <c:pt idx="24">
                  <c:v>445.25</c:v>
                </c:pt>
                <c:pt idx="25">
                  <c:v>7035.73</c:v>
                </c:pt>
                <c:pt idx="26">
                  <c:v>4036.39</c:v>
                </c:pt>
                <c:pt idx="27">
                  <c:v>6617.65</c:v>
                </c:pt>
                <c:pt idx="28">
                  <c:v>11666.61</c:v>
                </c:pt>
                <c:pt idx="29">
                  <c:v>5276.23</c:v>
                </c:pt>
                <c:pt idx="30">
                  <c:v>16299.11</c:v>
                </c:pt>
              </c:numCache>
            </c:numRef>
          </c:yVal>
          <c:smooth val="0"/>
          <c:extLst>
            <c:ext xmlns:c16="http://schemas.microsoft.com/office/drawing/2014/chart" uri="{C3380CC4-5D6E-409C-BE32-E72D297353CC}">
              <c16:uniqueId val="{00000000-A525-4111-A779-0AB7EAA49035}"/>
            </c:ext>
          </c:extLst>
        </c:ser>
        <c:dLbls>
          <c:showLegendKey val="0"/>
          <c:showVal val="0"/>
          <c:showCatName val="0"/>
          <c:showSerName val="0"/>
          <c:showPercent val="0"/>
          <c:showBubbleSize val="0"/>
        </c:dLbls>
        <c:axId val="921920319"/>
        <c:axId val="796030543"/>
      </c:scatterChart>
      <c:valAx>
        <c:axId val="921920319"/>
        <c:scaling>
          <c:orientation val="minMax"/>
        </c:scaling>
        <c:delete val="0"/>
        <c:axPos val="b"/>
        <c:numFmt formatCode="[=0]&quot;&quot;;dd/mmm" sourceLinked="1"/>
        <c:majorTickMark val="none"/>
        <c:minorTickMark val="none"/>
        <c:tickLblPos val="nextTo"/>
        <c:spPr>
          <a:noFill/>
          <a:ln w="9525" cap="flat" cmpd="sng" algn="ctr">
            <a:solidFill>
              <a:srgbClr val="D43260"/>
            </a:solidFill>
            <a:round/>
          </a:ln>
          <a:effectLst/>
        </c:spPr>
        <c:txPr>
          <a:bodyPr rot="-60000000" spcFirstLastPara="1" vertOverflow="ellipsis" vert="horz" wrap="square" anchor="ctr" anchorCtr="1"/>
          <a:lstStyle/>
          <a:p>
            <a:pPr>
              <a:defRPr sz="900" b="0" i="0" u="none" strike="noStrike" kern="1200" baseline="0">
                <a:solidFill>
                  <a:schemeClr val="bg1"/>
                </a:solidFill>
                <a:latin typeface="Avenir Next LT Pro" panose="020B0504020202020204" pitchFamily="34" charset="0"/>
                <a:ea typeface="+mn-ea"/>
                <a:cs typeface="+mn-cs"/>
              </a:defRPr>
            </a:pPr>
            <a:endParaRPr lang="en-US"/>
          </a:p>
        </c:txPr>
        <c:crossAx val="796030543"/>
        <c:crosses val="autoZero"/>
        <c:crossBetween val="midCat"/>
        <c:majorUnit val="1"/>
        <c:minorUnit val="1"/>
      </c:valAx>
      <c:valAx>
        <c:axId val="796030543"/>
        <c:scaling>
          <c:orientation val="minMax"/>
        </c:scaling>
        <c:delete val="1"/>
        <c:axPos val="l"/>
        <c:numFmt formatCode="_-* #,##0_-;\-* #,##0_-;_-* &quot;-&quot;??_-;_-@_-" sourceLinked="1"/>
        <c:majorTickMark val="none"/>
        <c:minorTickMark val="none"/>
        <c:tickLblPos val="nextTo"/>
        <c:crossAx val="92192031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solidFill>
            <a:schemeClr val="bg1"/>
          </a:solidFill>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b" anchorCtr="1"/>
          <a:lstStyle/>
          <a:p>
            <a:pPr>
              <a:defRPr sz="1600" b="0" i="0" u="none" strike="noStrike" kern="1200" spc="0" baseline="0">
                <a:solidFill>
                  <a:srgbClr val="D43260"/>
                </a:solidFill>
                <a:latin typeface="Avenir Next LT Pro" panose="020B0504020202020204" pitchFamily="34" charset="0"/>
                <a:ea typeface="+mn-ea"/>
                <a:cs typeface="+mn-cs"/>
              </a:defRPr>
            </a:pPr>
            <a:r>
              <a:rPr lang="en-CA" sz="1600">
                <a:solidFill>
                  <a:srgbClr val="D43260"/>
                </a:solidFill>
              </a:rPr>
              <a:t>Top Performer</a:t>
            </a:r>
          </a:p>
        </c:rich>
      </c:tx>
      <c:overlay val="0"/>
      <c:spPr>
        <a:noFill/>
        <a:ln>
          <a:noFill/>
        </a:ln>
        <a:effectLst/>
      </c:spPr>
      <c:txPr>
        <a:bodyPr rot="0" spcFirstLastPara="1" vertOverflow="ellipsis" vert="horz" wrap="square" anchor="b" anchorCtr="1"/>
        <a:lstStyle/>
        <a:p>
          <a:pPr>
            <a:defRPr sz="1600" b="0" i="0" u="none" strike="noStrike" kern="1200" spc="0" baseline="0">
              <a:solidFill>
                <a:srgbClr val="D43260"/>
              </a:solidFill>
              <a:latin typeface="Avenir Next LT Pro" panose="020B0504020202020204" pitchFamily="34" charset="0"/>
              <a:ea typeface="+mn-ea"/>
              <a:cs typeface="+mn-cs"/>
            </a:defRPr>
          </a:pPr>
          <a:endParaRPr lang="en-US"/>
        </a:p>
      </c:txPr>
    </c:title>
    <c:autoTitleDeleted val="0"/>
    <c:plotArea>
      <c:layout>
        <c:manualLayout>
          <c:layoutTarget val="inner"/>
          <c:xMode val="edge"/>
          <c:yMode val="edge"/>
          <c:x val="3.996365795914724E-2"/>
          <c:y val="0.24263177629112151"/>
          <c:w val="0.92007268408170551"/>
          <c:h val="0.70223037909734953"/>
        </c:manualLayout>
      </c:layout>
      <c:barChart>
        <c:barDir val="col"/>
        <c:grouping val="clustered"/>
        <c:varyColors val="0"/>
        <c:ser>
          <c:idx val="0"/>
          <c:order val="0"/>
          <c:tx>
            <c:strRef>
              <c:f>Pivot_tables!$AY$7</c:f>
              <c:strCache>
                <c:ptCount val="1"/>
                <c:pt idx="0">
                  <c:v>Chris</c:v>
                </c:pt>
              </c:strCache>
            </c:strRef>
          </c:tx>
          <c:spPr>
            <a:solidFill>
              <a:srgbClr val="D43260"/>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Avenir Next LT Pro" panose="020B0504020202020204" pitchFamily="34" charset="0"/>
                    <a:ea typeface="+mn-ea"/>
                    <a:cs typeface="+mn-cs"/>
                  </a:defRPr>
                </a:pPr>
                <a:endParaRPr lang="en-US"/>
              </a:p>
            </c:txPr>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Pivot_tables!$AZ$6</c:f>
              <c:strCache>
                <c:ptCount val="1"/>
                <c:pt idx="0">
                  <c:v>Sales</c:v>
                </c:pt>
              </c:strCache>
            </c:strRef>
          </c:cat>
          <c:val>
            <c:numRef>
              <c:f>Pivot_tables!$AZ$7</c:f>
              <c:numCache>
                <c:formatCode>_-* #,##0_-;\-* #,##0_-;_-* "-"??_-;_-@_-</c:formatCode>
                <c:ptCount val="1"/>
                <c:pt idx="0">
                  <c:v>441445.62</c:v>
                </c:pt>
              </c:numCache>
            </c:numRef>
          </c:val>
          <c:extLst>
            <c:ext xmlns:c16="http://schemas.microsoft.com/office/drawing/2014/chart" uri="{C3380CC4-5D6E-409C-BE32-E72D297353CC}">
              <c16:uniqueId val="{00000000-C291-4F8E-9B32-7F1D6E38BABA}"/>
            </c:ext>
          </c:extLst>
        </c:ser>
        <c:ser>
          <c:idx val="1"/>
          <c:order val="1"/>
          <c:tx>
            <c:strRef>
              <c:f>Pivot_tables!$AY$8</c:f>
              <c:strCache>
                <c:ptCount val="1"/>
                <c:pt idx="0">
                  <c:v>Erin</c:v>
                </c:pt>
              </c:strCache>
            </c:strRef>
          </c:tx>
          <c:spPr>
            <a:solidFill>
              <a:srgbClr val="B1F5F1"/>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Avenir Next LT Pro" panose="020B0504020202020204" pitchFamily="34" charset="0"/>
                    <a:ea typeface="+mn-ea"/>
                    <a:cs typeface="+mn-cs"/>
                  </a:defRPr>
                </a:pPr>
                <a:endParaRPr lang="en-US"/>
              </a:p>
            </c:txPr>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Pivot_tables!$AZ$6</c:f>
              <c:strCache>
                <c:ptCount val="1"/>
                <c:pt idx="0">
                  <c:v>Sales</c:v>
                </c:pt>
              </c:strCache>
            </c:strRef>
          </c:cat>
          <c:val>
            <c:numRef>
              <c:f>Pivot_tables!$AZ$8</c:f>
              <c:numCache>
                <c:formatCode>_-* #,##0_-;\-* #,##0_-;_-* "-"??_-;_-@_-</c:formatCode>
                <c:ptCount val="1"/>
                <c:pt idx="0">
                  <c:v>584724.18999999994</c:v>
                </c:pt>
              </c:numCache>
            </c:numRef>
          </c:val>
          <c:extLst>
            <c:ext xmlns:c16="http://schemas.microsoft.com/office/drawing/2014/chart" uri="{C3380CC4-5D6E-409C-BE32-E72D297353CC}">
              <c16:uniqueId val="{00000001-C291-4F8E-9B32-7F1D6E38BABA}"/>
            </c:ext>
          </c:extLst>
        </c:ser>
        <c:ser>
          <c:idx val="2"/>
          <c:order val="2"/>
          <c:tx>
            <c:strRef>
              <c:f>Pivot_tables!$AY$9</c:f>
              <c:strCache>
                <c:ptCount val="1"/>
                <c:pt idx="0">
                  <c:v>Sam</c:v>
                </c:pt>
              </c:strCache>
            </c:strRef>
          </c:tx>
          <c:spPr>
            <a:solidFill>
              <a:srgbClr val="194AFE"/>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Avenir Next LT Pro" panose="020B0504020202020204" pitchFamily="34" charset="0"/>
                    <a:ea typeface="+mn-ea"/>
                    <a:cs typeface="+mn-cs"/>
                  </a:defRPr>
                </a:pPr>
                <a:endParaRPr lang="en-US"/>
              </a:p>
            </c:txPr>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Pivot_tables!$AZ$6</c:f>
              <c:strCache>
                <c:ptCount val="1"/>
                <c:pt idx="0">
                  <c:v>Sales</c:v>
                </c:pt>
              </c:strCache>
            </c:strRef>
          </c:cat>
          <c:val>
            <c:numRef>
              <c:f>Pivot_tables!$AZ$9</c:f>
              <c:numCache>
                <c:formatCode>_-* #,##0_-;\-* #,##0_-;_-* "-"??_-;_-@_-</c:formatCode>
                <c:ptCount val="1"/>
                <c:pt idx="0">
                  <c:v>341328.32</c:v>
                </c:pt>
              </c:numCache>
            </c:numRef>
          </c:val>
          <c:extLst>
            <c:ext xmlns:c16="http://schemas.microsoft.com/office/drawing/2014/chart" uri="{C3380CC4-5D6E-409C-BE32-E72D297353CC}">
              <c16:uniqueId val="{00000002-C291-4F8E-9B32-7F1D6E38BABA}"/>
            </c:ext>
          </c:extLst>
        </c:ser>
        <c:ser>
          <c:idx val="3"/>
          <c:order val="3"/>
          <c:tx>
            <c:strRef>
              <c:f>Pivot_tables!$AY$10</c:f>
              <c:strCache>
                <c:ptCount val="1"/>
                <c:pt idx="0">
                  <c:v>William</c:v>
                </c:pt>
              </c:strCache>
            </c:strRef>
          </c:tx>
          <c:spPr>
            <a:solidFill>
              <a:srgbClr val="6921B5"/>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Avenir Next LT Pro" panose="020B0504020202020204" pitchFamily="34" charset="0"/>
                    <a:ea typeface="+mn-ea"/>
                    <a:cs typeface="+mn-cs"/>
                  </a:defRPr>
                </a:pPr>
                <a:endParaRPr lang="en-US"/>
              </a:p>
            </c:txPr>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Pivot_tables!$AZ$6</c:f>
              <c:strCache>
                <c:ptCount val="1"/>
                <c:pt idx="0">
                  <c:v>Sales</c:v>
                </c:pt>
              </c:strCache>
            </c:strRef>
          </c:cat>
          <c:val>
            <c:numRef>
              <c:f>Pivot_tables!$AZ$10</c:f>
              <c:numCache>
                <c:formatCode>_-* #,##0_-;\-* #,##0_-;_-* "-"??_-;_-@_-</c:formatCode>
                <c:ptCount val="1"/>
                <c:pt idx="0">
                  <c:v>514026.64</c:v>
                </c:pt>
              </c:numCache>
            </c:numRef>
          </c:val>
          <c:extLst>
            <c:ext xmlns:c16="http://schemas.microsoft.com/office/drawing/2014/chart" uri="{C3380CC4-5D6E-409C-BE32-E72D297353CC}">
              <c16:uniqueId val="{00000003-C291-4F8E-9B32-7F1D6E38BABA}"/>
            </c:ext>
          </c:extLst>
        </c:ser>
        <c:dLbls>
          <c:showLegendKey val="0"/>
          <c:showVal val="0"/>
          <c:showCatName val="0"/>
          <c:showSerName val="0"/>
          <c:showPercent val="0"/>
          <c:showBubbleSize val="0"/>
        </c:dLbls>
        <c:gapWidth val="219"/>
        <c:overlap val="-27"/>
        <c:axId val="565486976"/>
        <c:axId val="1684021343"/>
      </c:barChart>
      <c:catAx>
        <c:axId val="565486976"/>
        <c:scaling>
          <c:orientation val="minMax"/>
        </c:scaling>
        <c:delete val="1"/>
        <c:axPos val="b"/>
        <c:numFmt formatCode="General" sourceLinked="1"/>
        <c:majorTickMark val="none"/>
        <c:minorTickMark val="none"/>
        <c:tickLblPos val="nextTo"/>
        <c:crossAx val="1684021343"/>
        <c:crosses val="autoZero"/>
        <c:auto val="1"/>
        <c:lblAlgn val="ctr"/>
        <c:lblOffset val="100"/>
        <c:noMultiLvlLbl val="0"/>
      </c:catAx>
      <c:valAx>
        <c:axId val="1684021343"/>
        <c:scaling>
          <c:orientation val="minMax"/>
        </c:scaling>
        <c:delete val="1"/>
        <c:axPos val="l"/>
        <c:numFmt formatCode="_-* #,##0_-;\-* #,##0_-;_-* &quot;-&quot;??_-;_-@_-" sourceLinked="1"/>
        <c:majorTickMark val="none"/>
        <c:minorTickMark val="none"/>
        <c:tickLblPos val="nextTo"/>
        <c:crossAx val="565486976"/>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solidFill>
            <a:schemeClr val="bg1"/>
          </a:solidFill>
          <a:latin typeface="Avenir Next LT Pro" panose="020B0504020202020204" pitchFamily="34" charset="0"/>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tx>
            <c:strRef>
              <c:f>Pivot_tables!$CD$5</c:f>
              <c:strCache>
                <c:ptCount val="1"/>
                <c:pt idx="0">
                  <c:v>Home Office</c:v>
                </c:pt>
              </c:strCache>
            </c:strRef>
          </c:tx>
          <c:spPr>
            <a:ln>
              <a:noFill/>
            </a:ln>
          </c:spPr>
          <c:dPt>
            <c:idx val="0"/>
            <c:bubble3D val="0"/>
            <c:spPr>
              <a:solidFill>
                <a:srgbClr val="B1F5F1"/>
              </a:solidFill>
              <a:ln w="19050">
                <a:noFill/>
              </a:ln>
              <a:effectLst/>
            </c:spPr>
            <c:extLst>
              <c:ext xmlns:c16="http://schemas.microsoft.com/office/drawing/2014/chart" uri="{C3380CC4-5D6E-409C-BE32-E72D297353CC}">
                <c16:uniqueId val="{00000001-97E6-46E6-90DB-6D95DF96CC21}"/>
              </c:ext>
            </c:extLst>
          </c:dPt>
          <c:dPt>
            <c:idx val="1"/>
            <c:bubble3D val="0"/>
            <c:spPr>
              <a:noFill/>
              <a:ln w="19050">
                <a:noFill/>
              </a:ln>
              <a:effectLst/>
            </c:spPr>
            <c:extLst>
              <c:ext xmlns:c16="http://schemas.microsoft.com/office/drawing/2014/chart" uri="{C3380CC4-5D6E-409C-BE32-E72D297353CC}">
                <c16:uniqueId val="{00000003-97E6-46E6-90DB-6D95DF96CC21}"/>
              </c:ext>
            </c:extLst>
          </c:dPt>
          <c:cat>
            <c:strRef>
              <c:f>Pivot_tables!$CC$6:$CC$7</c:f>
              <c:strCache>
                <c:ptCount val="2"/>
                <c:pt idx="0">
                  <c:v>Sales</c:v>
                </c:pt>
                <c:pt idx="1">
                  <c:v>Difference from Max Sales</c:v>
                </c:pt>
              </c:strCache>
            </c:strRef>
          </c:cat>
          <c:val>
            <c:numRef>
              <c:f>Pivot_tables!$CD$6:$CD$7</c:f>
              <c:numCache>
                <c:formatCode>"$"#,##0_);\("$"#,##0\)</c:formatCode>
                <c:ptCount val="2"/>
                <c:pt idx="0">
                  <c:v>461345.73999999993</c:v>
                </c:pt>
                <c:pt idx="1">
                  <c:v>273515.57</c:v>
                </c:pt>
              </c:numCache>
            </c:numRef>
          </c:val>
          <c:extLst>
            <c:ext xmlns:c16="http://schemas.microsoft.com/office/drawing/2014/chart" uri="{C3380CC4-5D6E-409C-BE32-E72D297353CC}">
              <c16:uniqueId val="{00000004-97E6-46E6-90DB-6D95DF96CC21}"/>
            </c:ext>
          </c:extLst>
        </c:ser>
        <c:ser>
          <c:idx val="1"/>
          <c:order val="1"/>
          <c:tx>
            <c:strRef>
              <c:f>Pivot_tables!$CE$5</c:f>
              <c:strCache>
                <c:ptCount val="1"/>
                <c:pt idx="0">
                  <c:v>Consumer</c:v>
                </c:pt>
              </c:strCache>
            </c:strRef>
          </c:tx>
          <c:spPr>
            <a:ln>
              <a:noFill/>
            </a:ln>
          </c:spPr>
          <c:dPt>
            <c:idx val="0"/>
            <c:bubble3D val="0"/>
            <c:spPr>
              <a:solidFill>
                <a:srgbClr val="6921B5"/>
              </a:solidFill>
              <a:ln w="19050">
                <a:noFill/>
              </a:ln>
              <a:effectLst/>
            </c:spPr>
            <c:extLst>
              <c:ext xmlns:c16="http://schemas.microsoft.com/office/drawing/2014/chart" uri="{C3380CC4-5D6E-409C-BE32-E72D297353CC}">
                <c16:uniqueId val="{00000006-97E6-46E6-90DB-6D95DF96CC21}"/>
              </c:ext>
            </c:extLst>
          </c:dPt>
          <c:dPt>
            <c:idx val="1"/>
            <c:bubble3D val="0"/>
            <c:spPr>
              <a:noFill/>
              <a:ln w="19050">
                <a:noFill/>
              </a:ln>
              <a:effectLst/>
            </c:spPr>
            <c:extLst>
              <c:ext xmlns:c16="http://schemas.microsoft.com/office/drawing/2014/chart" uri="{C3380CC4-5D6E-409C-BE32-E72D297353CC}">
                <c16:uniqueId val="{00000008-97E6-46E6-90DB-6D95DF96CC21}"/>
              </c:ext>
            </c:extLst>
          </c:dPt>
          <c:cat>
            <c:strRef>
              <c:f>Pivot_tables!$CC$6:$CC$7</c:f>
              <c:strCache>
                <c:ptCount val="2"/>
                <c:pt idx="0">
                  <c:v>Sales</c:v>
                </c:pt>
                <c:pt idx="1">
                  <c:v>Difference from Max Sales</c:v>
                </c:pt>
              </c:strCache>
            </c:strRef>
          </c:cat>
          <c:val>
            <c:numRef>
              <c:f>Pivot_tables!$CE$6:$CE$7</c:f>
              <c:numCache>
                <c:formatCode>"$"#,##0_);\("$"#,##0\)</c:formatCode>
                <c:ptCount val="2"/>
                <c:pt idx="0">
                  <c:v>394051.7</c:v>
                </c:pt>
                <c:pt idx="1">
                  <c:v>340809.60999999993</c:v>
                </c:pt>
              </c:numCache>
            </c:numRef>
          </c:val>
          <c:extLst>
            <c:ext xmlns:c16="http://schemas.microsoft.com/office/drawing/2014/chart" uri="{C3380CC4-5D6E-409C-BE32-E72D297353CC}">
              <c16:uniqueId val="{00000009-97E6-46E6-90DB-6D95DF96CC21}"/>
            </c:ext>
          </c:extLst>
        </c:ser>
        <c:ser>
          <c:idx val="2"/>
          <c:order val="2"/>
          <c:tx>
            <c:strRef>
              <c:f>Pivot_tables!$CF$5</c:f>
              <c:strCache>
                <c:ptCount val="1"/>
                <c:pt idx="0">
                  <c:v>Corporate</c:v>
                </c:pt>
              </c:strCache>
            </c:strRef>
          </c:tx>
          <c:spPr>
            <a:ln>
              <a:noFill/>
            </a:ln>
          </c:spPr>
          <c:dPt>
            <c:idx val="0"/>
            <c:bubble3D val="0"/>
            <c:spPr>
              <a:solidFill>
                <a:srgbClr val="D43260"/>
              </a:solidFill>
              <a:ln w="19050">
                <a:noFill/>
              </a:ln>
              <a:effectLst/>
            </c:spPr>
            <c:extLst>
              <c:ext xmlns:c16="http://schemas.microsoft.com/office/drawing/2014/chart" uri="{C3380CC4-5D6E-409C-BE32-E72D297353CC}">
                <c16:uniqueId val="{0000000B-97E6-46E6-90DB-6D95DF96CC21}"/>
              </c:ext>
            </c:extLst>
          </c:dPt>
          <c:dPt>
            <c:idx val="1"/>
            <c:bubble3D val="0"/>
            <c:spPr>
              <a:noFill/>
              <a:ln w="19050">
                <a:noFill/>
              </a:ln>
              <a:effectLst/>
            </c:spPr>
            <c:extLst>
              <c:ext xmlns:c16="http://schemas.microsoft.com/office/drawing/2014/chart" uri="{C3380CC4-5D6E-409C-BE32-E72D297353CC}">
                <c16:uniqueId val="{0000000D-97E6-46E6-90DB-6D95DF96CC21}"/>
              </c:ext>
            </c:extLst>
          </c:dPt>
          <c:cat>
            <c:strRef>
              <c:f>Pivot_tables!$CC$6:$CC$7</c:f>
              <c:strCache>
                <c:ptCount val="2"/>
                <c:pt idx="0">
                  <c:v>Sales</c:v>
                </c:pt>
                <c:pt idx="1">
                  <c:v>Difference from Max Sales</c:v>
                </c:pt>
              </c:strCache>
            </c:strRef>
          </c:cat>
          <c:val>
            <c:numRef>
              <c:f>Pivot_tables!$CF$6:$CF$7</c:f>
              <c:numCache>
                <c:formatCode>"$"#,##0_);\("$"#,##0\)</c:formatCode>
                <c:ptCount val="2"/>
                <c:pt idx="0">
                  <c:v>634861.30999999994</c:v>
                </c:pt>
                <c:pt idx="1">
                  <c:v>100000</c:v>
                </c:pt>
              </c:numCache>
            </c:numRef>
          </c:val>
          <c:extLst>
            <c:ext xmlns:c16="http://schemas.microsoft.com/office/drawing/2014/chart" uri="{C3380CC4-5D6E-409C-BE32-E72D297353CC}">
              <c16:uniqueId val="{0000000E-97E6-46E6-90DB-6D95DF96CC21}"/>
            </c:ext>
          </c:extLst>
        </c:ser>
        <c:ser>
          <c:idx val="3"/>
          <c:order val="3"/>
          <c:tx>
            <c:strRef>
              <c:f>Pivot_tables!$CG$5</c:f>
              <c:strCache>
                <c:ptCount val="1"/>
                <c:pt idx="0">
                  <c:v>Small Business</c:v>
                </c:pt>
              </c:strCache>
            </c:strRef>
          </c:tx>
          <c:spPr>
            <a:ln>
              <a:noFill/>
            </a:ln>
          </c:spPr>
          <c:dPt>
            <c:idx val="0"/>
            <c:bubble3D val="0"/>
            <c:spPr>
              <a:solidFill>
                <a:srgbClr val="194AFE"/>
              </a:solidFill>
              <a:ln w="19050">
                <a:noFill/>
              </a:ln>
              <a:effectLst/>
            </c:spPr>
            <c:extLst>
              <c:ext xmlns:c16="http://schemas.microsoft.com/office/drawing/2014/chart" uri="{C3380CC4-5D6E-409C-BE32-E72D297353CC}">
                <c16:uniqueId val="{00000010-97E6-46E6-90DB-6D95DF96CC21}"/>
              </c:ext>
            </c:extLst>
          </c:dPt>
          <c:dPt>
            <c:idx val="1"/>
            <c:bubble3D val="0"/>
            <c:spPr>
              <a:noFill/>
              <a:ln w="19050">
                <a:noFill/>
              </a:ln>
              <a:effectLst/>
            </c:spPr>
            <c:extLst>
              <c:ext xmlns:c16="http://schemas.microsoft.com/office/drawing/2014/chart" uri="{C3380CC4-5D6E-409C-BE32-E72D297353CC}">
                <c16:uniqueId val="{00000012-97E6-46E6-90DB-6D95DF96CC21}"/>
              </c:ext>
            </c:extLst>
          </c:dPt>
          <c:cat>
            <c:strRef>
              <c:f>Pivot_tables!$CC$6:$CC$7</c:f>
              <c:strCache>
                <c:ptCount val="2"/>
                <c:pt idx="0">
                  <c:v>Sales</c:v>
                </c:pt>
                <c:pt idx="1">
                  <c:v>Difference from Max Sales</c:v>
                </c:pt>
              </c:strCache>
            </c:strRef>
          </c:cat>
          <c:val>
            <c:numRef>
              <c:f>Pivot_tables!$CG$6:$CG$7</c:f>
              <c:numCache>
                <c:formatCode>"$"#,##0_);\("$"#,##0\)</c:formatCode>
                <c:ptCount val="2"/>
                <c:pt idx="0">
                  <c:v>391266.02</c:v>
                </c:pt>
                <c:pt idx="1">
                  <c:v>343595.28999999992</c:v>
                </c:pt>
              </c:numCache>
            </c:numRef>
          </c:val>
          <c:extLst>
            <c:ext xmlns:c16="http://schemas.microsoft.com/office/drawing/2014/chart" uri="{C3380CC4-5D6E-409C-BE32-E72D297353CC}">
              <c16:uniqueId val="{00000013-97E6-46E6-90DB-6D95DF96CC21}"/>
            </c:ext>
          </c:extLst>
        </c:ser>
        <c:dLbls>
          <c:showLegendKey val="0"/>
          <c:showVal val="0"/>
          <c:showCatName val="0"/>
          <c:showSerName val="0"/>
          <c:showPercent val="0"/>
          <c:showBubbleSize val="0"/>
          <c:showLeaderLines val="0"/>
        </c:dLbls>
        <c:firstSliceAng val="180"/>
        <c:holeSize val="5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727774116341185E-2"/>
          <c:y val="1.1804016301241033E-2"/>
          <c:w val="0.92280792271564827"/>
          <c:h val="0.99523330075543837"/>
        </c:manualLayout>
      </c:layout>
      <c:doughnutChart>
        <c:varyColors val="1"/>
        <c:ser>
          <c:idx val="0"/>
          <c:order val="0"/>
          <c:tx>
            <c:strRef>
              <c:f>Pivot_tables!$BL$5</c:f>
              <c:strCache>
                <c:ptCount val="1"/>
                <c:pt idx="0">
                  <c:v>Profit</c:v>
                </c:pt>
              </c:strCache>
            </c:strRef>
          </c:tx>
          <c:spPr>
            <a:ln>
              <a:noFill/>
            </a:ln>
          </c:spPr>
          <c:dPt>
            <c:idx val="0"/>
            <c:bubble3D val="0"/>
            <c:spPr>
              <a:solidFill>
                <a:srgbClr val="B1F5F1"/>
              </a:solidFill>
              <a:ln w="19050">
                <a:solidFill>
                  <a:srgbClr val="B1F5F1"/>
                </a:solidFill>
              </a:ln>
              <a:effectLst/>
            </c:spPr>
            <c:extLst>
              <c:ext xmlns:c16="http://schemas.microsoft.com/office/drawing/2014/chart" uri="{C3380CC4-5D6E-409C-BE32-E72D297353CC}">
                <c16:uniqueId val="{00000001-4D05-480C-893A-1E24C167139D}"/>
              </c:ext>
            </c:extLst>
          </c:dPt>
          <c:dPt>
            <c:idx val="1"/>
            <c:bubble3D val="0"/>
            <c:spPr>
              <a:solidFill>
                <a:srgbClr val="DC25FA"/>
              </a:solidFill>
              <a:ln w="19050">
                <a:solidFill>
                  <a:srgbClr val="DC25FA"/>
                </a:solidFill>
              </a:ln>
              <a:effectLst/>
            </c:spPr>
            <c:extLst>
              <c:ext xmlns:c16="http://schemas.microsoft.com/office/drawing/2014/chart" uri="{C3380CC4-5D6E-409C-BE32-E72D297353CC}">
                <c16:uniqueId val="{00000003-4D05-480C-893A-1E24C167139D}"/>
              </c:ext>
            </c:extLst>
          </c:dPt>
          <c:dPt>
            <c:idx val="2"/>
            <c:bubble3D val="0"/>
            <c:spPr>
              <a:solidFill>
                <a:srgbClr val="6921B5"/>
              </a:solidFill>
              <a:ln w="19050">
                <a:solidFill>
                  <a:srgbClr val="6921B5"/>
                </a:solidFill>
              </a:ln>
              <a:effectLst/>
            </c:spPr>
            <c:extLst>
              <c:ext xmlns:c16="http://schemas.microsoft.com/office/drawing/2014/chart" uri="{C3380CC4-5D6E-409C-BE32-E72D297353CC}">
                <c16:uniqueId val="{00000005-4D05-480C-893A-1E24C167139D}"/>
              </c:ext>
            </c:extLst>
          </c:dPt>
          <c:dPt>
            <c:idx val="3"/>
            <c:bubble3D val="0"/>
            <c:spPr>
              <a:solidFill>
                <a:srgbClr val="D43260"/>
              </a:solidFill>
              <a:ln w="19050">
                <a:solidFill>
                  <a:srgbClr val="D43260"/>
                </a:solidFill>
              </a:ln>
              <a:effectLst/>
            </c:spPr>
            <c:extLst>
              <c:ext xmlns:c16="http://schemas.microsoft.com/office/drawing/2014/chart" uri="{C3380CC4-5D6E-409C-BE32-E72D297353CC}">
                <c16:uniqueId val="{00000007-4D05-480C-893A-1E24C167139D}"/>
              </c:ext>
            </c:extLst>
          </c:dPt>
          <c:dPt>
            <c:idx val="4"/>
            <c:bubble3D val="0"/>
            <c:spPr>
              <a:solidFill>
                <a:srgbClr val="194AFE"/>
              </a:solidFill>
              <a:ln w="19050">
                <a:solidFill>
                  <a:srgbClr val="194AFE"/>
                </a:solidFill>
              </a:ln>
              <a:effectLst/>
            </c:spPr>
            <c:extLst>
              <c:ext xmlns:c16="http://schemas.microsoft.com/office/drawing/2014/chart" uri="{C3380CC4-5D6E-409C-BE32-E72D297353CC}">
                <c16:uniqueId val="{00000009-4D05-480C-893A-1E24C167139D}"/>
              </c:ext>
            </c:extLst>
          </c:dPt>
          <c:dLbls>
            <c:delete val="1"/>
          </c:dLbls>
          <c:cat>
            <c:strRef>
              <c:f>Pivot_tables!$BK$6:$BK$10</c:f>
              <c:strCache>
                <c:ptCount val="5"/>
                <c:pt idx="0">
                  <c:v>Low</c:v>
                </c:pt>
                <c:pt idx="1">
                  <c:v>Medium</c:v>
                </c:pt>
                <c:pt idx="2">
                  <c:v>High</c:v>
                </c:pt>
                <c:pt idx="3">
                  <c:v>Critical</c:v>
                </c:pt>
                <c:pt idx="4">
                  <c:v>N/A</c:v>
                </c:pt>
              </c:strCache>
            </c:strRef>
          </c:cat>
          <c:val>
            <c:numRef>
              <c:f>Pivot_tables!$BL$6:$BL$10</c:f>
              <c:numCache>
                <c:formatCode>"$"#,##0_);\("$"#,##0\)</c:formatCode>
                <c:ptCount val="5"/>
                <c:pt idx="0">
                  <c:v>34078.892534799998</c:v>
                </c:pt>
                <c:pt idx="1">
                  <c:v>42579.657761069997</c:v>
                </c:pt>
                <c:pt idx="2">
                  <c:v>35793.009311599999</c:v>
                </c:pt>
                <c:pt idx="3">
                  <c:v>35087.324923680004</c:v>
                </c:pt>
                <c:pt idx="4">
                  <c:v>67484.515206000011</c:v>
                </c:pt>
              </c:numCache>
            </c:numRef>
          </c:val>
          <c:extLst>
            <c:ext xmlns:c16="http://schemas.microsoft.com/office/drawing/2014/chart" uri="{C3380CC4-5D6E-409C-BE32-E72D297353CC}">
              <c16:uniqueId val="{0000000A-4D05-480C-893A-1E24C167139D}"/>
            </c:ext>
          </c:extLst>
        </c:ser>
        <c:ser>
          <c:idx val="1"/>
          <c:order val="1"/>
          <c:tx>
            <c:strRef>
              <c:f>Pivot_tables!$BM$5</c:f>
              <c:strCache>
                <c:ptCount val="1"/>
                <c:pt idx="0">
                  <c:v>Profit</c:v>
                </c:pt>
              </c:strCache>
            </c:strRef>
          </c:tx>
          <c:spPr>
            <a:ln>
              <a:noFill/>
            </a:ln>
          </c:spPr>
          <c:dPt>
            <c:idx val="0"/>
            <c:bubble3D val="0"/>
            <c:spPr>
              <a:noFill/>
              <a:ln w="19050">
                <a:noFill/>
              </a:ln>
              <a:effectLst/>
            </c:spPr>
            <c:extLst>
              <c:ext xmlns:c16="http://schemas.microsoft.com/office/drawing/2014/chart" uri="{C3380CC4-5D6E-409C-BE32-E72D297353CC}">
                <c16:uniqueId val="{0000000C-4D05-480C-893A-1E24C167139D}"/>
              </c:ext>
            </c:extLst>
          </c:dPt>
          <c:dPt>
            <c:idx val="1"/>
            <c:bubble3D val="0"/>
            <c:spPr>
              <a:solidFill>
                <a:srgbClr val="DC25FA"/>
              </a:solidFill>
              <a:ln w="19050">
                <a:solidFill>
                  <a:srgbClr val="DC25FA"/>
                </a:solidFill>
              </a:ln>
              <a:effectLst/>
            </c:spPr>
            <c:extLst>
              <c:ext xmlns:c16="http://schemas.microsoft.com/office/drawing/2014/chart" uri="{C3380CC4-5D6E-409C-BE32-E72D297353CC}">
                <c16:uniqueId val="{0000000E-4D05-480C-893A-1E24C167139D}"/>
              </c:ext>
            </c:extLst>
          </c:dPt>
          <c:dPt>
            <c:idx val="2"/>
            <c:bubble3D val="0"/>
            <c:spPr>
              <a:solidFill>
                <a:srgbClr val="6921B5"/>
              </a:solidFill>
              <a:ln w="19050">
                <a:solidFill>
                  <a:srgbClr val="6921B5"/>
                </a:solidFill>
              </a:ln>
              <a:effectLst/>
            </c:spPr>
            <c:extLst>
              <c:ext xmlns:c16="http://schemas.microsoft.com/office/drawing/2014/chart" uri="{C3380CC4-5D6E-409C-BE32-E72D297353CC}">
                <c16:uniqueId val="{00000010-4D05-480C-893A-1E24C167139D}"/>
              </c:ext>
            </c:extLst>
          </c:dPt>
          <c:dPt>
            <c:idx val="3"/>
            <c:bubble3D val="0"/>
            <c:spPr>
              <a:solidFill>
                <a:srgbClr val="D43260"/>
              </a:solidFill>
              <a:ln w="19050">
                <a:solidFill>
                  <a:srgbClr val="D43260"/>
                </a:solidFill>
              </a:ln>
              <a:effectLst/>
            </c:spPr>
            <c:extLst>
              <c:ext xmlns:c16="http://schemas.microsoft.com/office/drawing/2014/chart" uri="{C3380CC4-5D6E-409C-BE32-E72D297353CC}">
                <c16:uniqueId val="{00000012-4D05-480C-893A-1E24C167139D}"/>
              </c:ext>
            </c:extLst>
          </c:dPt>
          <c:dPt>
            <c:idx val="4"/>
            <c:bubble3D val="0"/>
            <c:spPr>
              <a:solidFill>
                <a:srgbClr val="194AFE"/>
              </a:solidFill>
              <a:ln w="19050">
                <a:solidFill>
                  <a:srgbClr val="194AFE"/>
                </a:solidFill>
              </a:ln>
              <a:effectLst/>
            </c:spPr>
            <c:extLst>
              <c:ext xmlns:c16="http://schemas.microsoft.com/office/drawing/2014/chart" uri="{C3380CC4-5D6E-409C-BE32-E72D297353CC}">
                <c16:uniqueId val="{00000014-4D05-480C-893A-1E24C167139D}"/>
              </c:ext>
            </c:extLst>
          </c:dPt>
          <c:dLbls>
            <c:delete val="1"/>
          </c:dLbls>
          <c:cat>
            <c:strRef>
              <c:f>Pivot_tables!$BK$6:$BK$10</c:f>
              <c:strCache>
                <c:ptCount val="5"/>
                <c:pt idx="0">
                  <c:v>Low</c:v>
                </c:pt>
                <c:pt idx="1">
                  <c:v>Medium</c:v>
                </c:pt>
                <c:pt idx="2">
                  <c:v>High</c:v>
                </c:pt>
                <c:pt idx="3">
                  <c:v>Critical</c:v>
                </c:pt>
                <c:pt idx="4">
                  <c:v>N/A</c:v>
                </c:pt>
              </c:strCache>
            </c:strRef>
          </c:cat>
          <c:val>
            <c:numRef>
              <c:f>Pivot_tables!$BM$6:$BM$10</c:f>
              <c:numCache>
                <c:formatCode>"$"#,##0_);\("$"#,##0\)</c:formatCode>
                <c:ptCount val="5"/>
                <c:pt idx="0">
                  <c:v>34078.892534799998</c:v>
                </c:pt>
                <c:pt idx="1">
                  <c:v>42579.657761069997</c:v>
                </c:pt>
                <c:pt idx="2">
                  <c:v>35793.009311599999</c:v>
                </c:pt>
                <c:pt idx="3">
                  <c:v>35087.324923680004</c:v>
                </c:pt>
                <c:pt idx="4">
                  <c:v>67484.515206000011</c:v>
                </c:pt>
              </c:numCache>
            </c:numRef>
          </c:val>
          <c:extLst>
            <c:ext xmlns:c16="http://schemas.microsoft.com/office/drawing/2014/chart" uri="{C3380CC4-5D6E-409C-BE32-E72D297353CC}">
              <c16:uniqueId val="{00000015-4D05-480C-893A-1E24C167139D}"/>
            </c:ext>
          </c:extLst>
        </c:ser>
        <c:ser>
          <c:idx val="2"/>
          <c:order val="2"/>
          <c:tx>
            <c:strRef>
              <c:f>Pivot_tables!$BN$5</c:f>
              <c:strCache>
                <c:ptCount val="1"/>
                <c:pt idx="0">
                  <c:v>Profit</c:v>
                </c:pt>
              </c:strCache>
            </c:strRef>
          </c:tx>
          <c:spPr>
            <a:ln>
              <a:noFill/>
            </a:ln>
          </c:spPr>
          <c:dPt>
            <c:idx val="0"/>
            <c:bubble3D val="0"/>
            <c:spPr>
              <a:noFill/>
              <a:ln w="19050">
                <a:noFill/>
              </a:ln>
              <a:effectLst/>
            </c:spPr>
            <c:extLst>
              <c:ext xmlns:c16="http://schemas.microsoft.com/office/drawing/2014/chart" uri="{C3380CC4-5D6E-409C-BE32-E72D297353CC}">
                <c16:uniqueId val="{00000017-4D05-480C-893A-1E24C167139D}"/>
              </c:ext>
            </c:extLst>
          </c:dPt>
          <c:dPt>
            <c:idx val="1"/>
            <c:bubble3D val="0"/>
            <c:spPr>
              <a:noFill/>
              <a:ln w="19050">
                <a:noFill/>
              </a:ln>
              <a:effectLst/>
            </c:spPr>
            <c:extLst>
              <c:ext xmlns:c16="http://schemas.microsoft.com/office/drawing/2014/chart" uri="{C3380CC4-5D6E-409C-BE32-E72D297353CC}">
                <c16:uniqueId val="{00000019-4D05-480C-893A-1E24C167139D}"/>
              </c:ext>
            </c:extLst>
          </c:dPt>
          <c:dPt>
            <c:idx val="2"/>
            <c:bubble3D val="0"/>
            <c:spPr>
              <a:solidFill>
                <a:srgbClr val="6921B5"/>
              </a:solidFill>
              <a:ln w="19050">
                <a:solidFill>
                  <a:srgbClr val="6921B5"/>
                </a:solidFill>
              </a:ln>
              <a:effectLst/>
            </c:spPr>
            <c:extLst>
              <c:ext xmlns:c16="http://schemas.microsoft.com/office/drawing/2014/chart" uri="{C3380CC4-5D6E-409C-BE32-E72D297353CC}">
                <c16:uniqueId val="{0000001B-4D05-480C-893A-1E24C167139D}"/>
              </c:ext>
            </c:extLst>
          </c:dPt>
          <c:dPt>
            <c:idx val="3"/>
            <c:bubble3D val="0"/>
            <c:spPr>
              <a:solidFill>
                <a:srgbClr val="D43260"/>
              </a:solidFill>
              <a:ln w="19050">
                <a:solidFill>
                  <a:srgbClr val="D43260"/>
                </a:solidFill>
              </a:ln>
              <a:effectLst/>
            </c:spPr>
            <c:extLst>
              <c:ext xmlns:c16="http://schemas.microsoft.com/office/drawing/2014/chart" uri="{C3380CC4-5D6E-409C-BE32-E72D297353CC}">
                <c16:uniqueId val="{0000001D-4D05-480C-893A-1E24C167139D}"/>
              </c:ext>
            </c:extLst>
          </c:dPt>
          <c:dPt>
            <c:idx val="4"/>
            <c:bubble3D val="0"/>
            <c:spPr>
              <a:solidFill>
                <a:srgbClr val="194AFE"/>
              </a:solidFill>
              <a:ln w="19050">
                <a:solidFill>
                  <a:srgbClr val="194AFE"/>
                </a:solidFill>
              </a:ln>
              <a:effectLst/>
            </c:spPr>
            <c:extLst>
              <c:ext xmlns:c16="http://schemas.microsoft.com/office/drawing/2014/chart" uri="{C3380CC4-5D6E-409C-BE32-E72D297353CC}">
                <c16:uniqueId val="{0000001F-4D05-480C-893A-1E24C167139D}"/>
              </c:ext>
            </c:extLst>
          </c:dPt>
          <c:dLbls>
            <c:dLbl>
              <c:idx val="1"/>
              <c:layout>
                <c:manualLayout>
                  <c:x val="3.9490049751243796E-2"/>
                  <c:y val="3.3320171428346547E-3"/>
                </c:manualLayout>
              </c:layou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19-4D05-480C-893A-1E24C167139D}"/>
                </c:ext>
              </c:extLst>
            </c:dLbl>
            <c:dLbl>
              <c:idx val="2"/>
              <c:layout>
                <c:manualLayout>
                  <c:x val="0"/>
                  <c:y val="2.9988154285511891E-2"/>
                </c:manualLayout>
              </c:layou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1B-4D05-480C-893A-1E24C167139D}"/>
                </c:ext>
              </c:extLst>
            </c:dLbl>
            <c:dLbl>
              <c:idx val="3"/>
              <c:layout>
                <c:manualLayout>
                  <c:x val="-6.5816749585406306E-3"/>
                  <c:y val="-6.1086275278103954E-17"/>
                </c:manualLayout>
              </c:layou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1D-4D05-480C-893A-1E24C167139D}"/>
                </c:ext>
              </c:extLst>
            </c:dLbl>
            <c:spPr>
              <a:solidFill>
                <a:schemeClr val="tx1"/>
              </a:solidFill>
              <a:ln>
                <a:noFill/>
              </a:ln>
              <a:effectLst/>
            </c:spPr>
            <c:txPr>
              <a:bodyPr rot="0" spcFirstLastPara="1" vertOverflow="ellipsis" vert="horz" wrap="square" lIns="0" tIns="19050" rIns="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spPr xmlns:c15="http://schemas.microsoft.com/office/drawing/2012/chart">
                  <a:prstGeom prst="rect">
                    <a:avLst/>
                  </a:prstGeom>
                </c15:spPr>
              </c:ext>
            </c:extLst>
          </c:dLbls>
          <c:cat>
            <c:strRef>
              <c:f>Pivot_tables!$BK$6:$BK$10</c:f>
              <c:strCache>
                <c:ptCount val="5"/>
                <c:pt idx="0">
                  <c:v>Low</c:v>
                </c:pt>
                <c:pt idx="1">
                  <c:v>Medium</c:v>
                </c:pt>
                <c:pt idx="2">
                  <c:v>High</c:v>
                </c:pt>
                <c:pt idx="3">
                  <c:v>Critical</c:v>
                </c:pt>
                <c:pt idx="4">
                  <c:v>N/A</c:v>
                </c:pt>
              </c:strCache>
            </c:strRef>
          </c:cat>
          <c:val>
            <c:numRef>
              <c:f>Pivot_tables!$BN$6:$BN$10</c:f>
              <c:numCache>
                <c:formatCode>"$"#,##0_);\("$"#,##0\)</c:formatCode>
                <c:ptCount val="5"/>
                <c:pt idx="0">
                  <c:v>34078.892534799998</c:v>
                </c:pt>
                <c:pt idx="1">
                  <c:v>42579.657761069997</c:v>
                </c:pt>
                <c:pt idx="2">
                  <c:v>35793.009311599999</c:v>
                </c:pt>
                <c:pt idx="3">
                  <c:v>35087.324923680004</c:v>
                </c:pt>
                <c:pt idx="4">
                  <c:v>67484.515206000011</c:v>
                </c:pt>
              </c:numCache>
            </c:numRef>
          </c:val>
          <c:extLst>
            <c:ext xmlns:c16="http://schemas.microsoft.com/office/drawing/2014/chart" uri="{C3380CC4-5D6E-409C-BE32-E72D297353CC}">
              <c16:uniqueId val="{00000020-4D05-480C-893A-1E24C167139D}"/>
            </c:ext>
          </c:extLst>
        </c:ser>
        <c:ser>
          <c:idx val="3"/>
          <c:order val="3"/>
          <c:tx>
            <c:strRef>
              <c:f>Pivot_tables!$BO$5</c:f>
              <c:strCache>
                <c:ptCount val="1"/>
                <c:pt idx="0">
                  <c:v>Profit</c:v>
                </c:pt>
              </c:strCache>
            </c:strRef>
          </c:tx>
          <c:spPr>
            <a:ln>
              <a:noFill/>
            </a:ln>
          </c:spPr>
          <c:dPt>
            <c:idx val="0"/>
            <c:bubble3D val="0"/>
            <c:spPr>
              <a:noFill/>
              <a:ln w="19050">
                <a:noFill/>
              </a:ln>
              <a:effectLst/>
            </c:spPr>
            <c:extLst>
              <c:ext xmlns:c16="http://schemas.microsoft.com/office/drawing/2014/chart" uri="{C3380CC4-5D6E-409C-BE32-E72D297353CC}">
                <c16:uniqueId val="{00000022-4D05-480C-893A-1E24C167139D}"/>
              </c:ext>
            </c:extLst>
          </c:dPt>
          <c:dPt>
            <c:idx val="1"/>
            <c:bubble3D val="0"/>
            <c:spPr>
              <a:noFill/>
              <a:ln w="19050">
                <a:noFill/>
              </a:ln>
              <a:effectLst/>
            </c:spPr>
            <c:extLst>
              <c:ext xmlns:c16="http://schemas.microsoft.com/office/drawing/2014/chart" uri="{C3380CC4-5D6E-409C-BE32-E72D297353CC}">
                <c16:uniqueId val="{00000024-4D05-480C-893A-1E24C167139D}"/>
              </c:ext>
            </c:extLst>
          </c:dPt>
          <c:dPt>
            <c:idx val="2"/>
            <c:bubble3D val="0"/>
            <c:spPr>
              <a:noFill/>
              <a:ln w="19050">
                <a:noFill/>
              </a:ln>
              <a:effectLst/>
            </c:spPr>
            <c:extLst>
              <c:ext xmlns:c16="http://schemas.microsoft.com/office/drawing/2014/chart" uri="{C3380CC4-5D6E-409C-BE32-E72D297353CC}">
                <c16:uniqueId val="{00000026-4D05-480C-893A-1E24C167139D}"/>
              </c:ext>
            </c:extLst>
          </c:dPt>
          <c:dPt>
            <c:idx val="3"/>
            <c:bubble3D val="0"/>
            <c:spPr>
              <a:solidFill>
                <a:srgbClr val="D43260"/>
              </a:solidFill>
              <a:ln w="19050">
                <a:solidFill>
                  <a:srgbClr val="D43260"/>
                </a:solidFill>
              </a:ln>
              <a:effectLst/>
            </c:spPr>
            <c:extLst>
              <c:ext xmlns:c16="http://schemas.microsoft.com/office/drawing/2014/chart" uri="{C3380CC4-5D6E-409C-BE32-E72D297353CC}">
                <c16:uniqueId val="{00000028-4D05-480C-893A-1E24C167139D}"/>
              </c:ext>
            </c:extLst>
          </c:dPt>
          <c:dPt>
            <c:idx val="4"/>
            <c:bubble3D val="0"/>
            <c:spPr>
              <a:solidFill>
                <a:srgbClr val="194AFE"/>
              </a:solidFill>
              <a:ln w="19050">
                <a:solidFill>
                  <a:srgbClr val="194AFE"/>
                </a:solidFill>
              </a:ln>
              <a:effectLst/>
            </c:spPr>
            <c:extLst>
              <c:ext xmlns:c16="http://schemas.microsoft.com/office/drawing/2014/chart" uri="{C3380CC4-5D6E-409C-BE32-E72D297353CC}">
                <c16:uniqueId val="{0000002A-4D05-480C-893A-1E24C167139D}"/>
              </c:ext>
            </c:extLst>
          </c:dPt>
          <c:dLbls>
            <c:delete val="1"/>
          </c:dLbls>
          <c:cat>
            <c:strRef>
              <c:f>Pivot_tables!$BK$6:$BK$10</c:f>
              <c:strCache>
                <c:ptCount val="5"/>
                <c:pt idx="0">
                  <c:v>Low</c:v>
                </c:pt>
                <c:pt idx="1">
                  <c:v>Medium</c:v>
                </c:pt>
                <c:pt idx="2">
                  <c:v>High</c:v>
                </c:pt>
                <c:pt idx="3">
                  <c:v>Critical</c:v>
                </c:pt>
                <c:pt idx="4">
                  <c:v>N/A</c:v>
                </c:pt>
              </c:strCache>
            </c:strRef>
          </c:cat>
          <c:val>
            <c:numRef>
              <c:f>Pivot_tables!$BO$6:$BO$10</c:f>
              <c:numCache>
                <c:formatCode>"$"#,##0_);\("$"#,##0\)</c:formatCode>
                <c:ptCount val="5"/>
                <c:pt idx="0">
                  <c:v>34078.892534799998</c:v>
                </c:pt>
                <c:pt idx="1">
                  <c:v>42579.657761069997</c:v>
                </c:pt>
                <c:pt idx="2">
                  <c:v>35793.009311599999</c:v>
                </c:pt>
                <c:pt idx="3">
                  <c:v>35087.324923680004</c:v>
                </c:pt>
                <c:pt idx="4">
                  <c:v>67484.515206000011</c:v>
                </c:pt>
              </c:numCache>
            </c:numRef>
          </c:val>
          <c:extLst>
            <c:ext xmlns:c16="http://schemas.microsoft.com/office/drawing/2014/chart" uri="{C3380CC4-5D6E-409C-BE32-E72D297353CC}">
              <c16:uniqueId val="{0000002B-4D05-480C-893A-1E24C167139D}"/>
            </c:ext>
          </c:extLst>
        </c:ser>
        <c:ser>
          <c:idx val="4"/>
          <c:order val="4"/>
          <c:tx>
            <c:strRef>
              <c:f>Pivot_tables!$BP$5</c:f>
              <c:strCache>
                <c:ptCount val="1"/>
                <c:pt idx="0">
                  <c:v>Profit</c:v>
                </c:pt>
              </c:strCache>
            </c:strRef>
          </c:tx>
          <c:spPr>
            <a:ln>
              <a:noFill/>
            </a:ln>
          </c:spPr>
          <c:dPt>
            <c:idx val="0"/>
            <c:bubble3D val="0"/>
            <c:spPr>
              <a:noFill/>
              <a:ln w="19050">
                <a:noFill/>
              </a:ln>
              <a:effectLst/>
            </c:spPr>
            <c:extLst>
              <c:ext xmlns:c16="http://schemas.microsoft.com/office/drawing/2014/chart" uri="{C3380CC4-5D6E-409C-BE32-E72D297353CC}">
                <c16:uniqueId val="{0000002D-4D05-480C-893A-1E24C167139D}"/>
              </c:ext>
            </c:extLst>
          </c:dPt>
          <c:dPt>
            <c:idx val="1"/>
            <c:bubble3D val="0"/>
            <c:spPr>
              <a:noFill/>
              <a:ln w="19050">
                <a:noFill/>
              </a:ln>
              <a:effectLst/>
            </c:spPr>
            <c:extLst>
              <c:ext xmlns:c16="http://schemas.microsoft.com/office/drawing/2014/chart" uri="{C3380CC4-5D6E-409C-BE32-E72D297353CC}">
                <c16:uniqueId val="{0000002F-4D05-480C-893A-1E24C167139D}"/>
              </c:ext>
            </c:extLst>
          </c:dPt>
          <c:dPt>
            <c:idx val="2"/>
            <c:bubble3D val="0"/>
            <c:spPr>
              <a:noFill/>
              <a:ln w="19050">
                <a:noFill/>
              </a:ln>
              <a:effectLst/>
            </c:spPr>
            <c:extLst>
              <c:ext xmlns:c16="http://schemas.microsoft.com/office/drawing/2014/chart" uri="{C3380CC4-5D6E-409C-BE32-E72D297353CC}">
                <c16:uniqueId val="{00000031-4D05-480C-893A-1E24C167139D}"/>
              </c:ext>
            </c:extLst>
          </c:dPt>
          <c:dPt>
            <c:idx val="3"/>
            <c:bubble3D val="0"/>
            <c:spPr>
              <a:noFill/>
              <a:ln w="19050">
                <a:noFill/>
              </a:ln>
              <a:effectLst/>
            </c:spPr>
            <c:extLst>
              <c:ext xmlns:c16="http://schemas.microsoft.com/office/drawing/2014/chart" uri="{C3380CC4-5D6E-409C-BE32-E72D297353CC}">
                <c16:uniqueId val="{00000033-4D05-480C-893A-1E24C167139D}"/>
              </c:ext>
            </c:extLst>
          </c:dPt>
          <c:dPt>
            <c:idx val="4"/>
            <c:bubble3D val="0"/>
            <c:spPr>
              <a:solidFill>
                <a:srgbClr val="194AFE"/>
              </a:solidFill>
              <a:ln w="19050">
                <a:solidFill>
                  <a:srgbClr val="194AFE"/>
                </a:solidFill>
              </a:ln>
              <a:effectLst/>
            </c:spPr>
            <c:extLst>
              <c:ext xmlns:c16="http://schemas.microsoft.com/office/drawing/2014/chart" uri="{C3380CC4-5D6E-409C-BE32-E72D297353CC}">
                <c16:uniqueId val="{00000035-4D05-480C-893A-1E24C167139D}"/>
              </c:ext>
            </c:extLst>
          </c:dPt>
          <c:dLbls>
            <c:delete val="1"/>
          </c:dLbls>
          <c:cat>
            <c:strRef>
              <c:f>Pivot_tables!$BK$6:$BK$10</c:f>
              <c:strCache>
                <c:ptCount val="5"/>
                <c:pt idx="0">
                  <c:v>Low</c:v>
                </c:pt>
                <c:pt idx="1">
                  <c:v>Medium</c:v>
                </c:pt>
                <c:pt idx="2">
                  <c:v>High</c:v>
                </c:pt>
                <c:pt idx="3">
                  <c:v>Critical</c:v>
                </c:pt>
                <c:pt idx="4">
                  <c:v>N/A</c:v>
                </c:pt>
              </c:strCache>
            </c:strRef>
          </c:cat>
          <c:val>
            <c:numRef>
              <c:f>Pivot_tables!$BP$6:$BP$10</c:f>
              <c:numCache>
                <c:formatCode>"$"#,##0_);\("$"#,##0\)</c:formatCode>
                <c:ptCount val="5"/>
                <c:pt idx="0">
                  <c:v>34078.892534799998</c:v>
                </c:pt>
                <c:pt idx="1">
                  <c:v>42579.657761069997</c:v>
                </c:pt>
                <c:pt idx="2">
                  <c:v>35793.009311599999</c:v>
                </c:pt>
                <c:pt idx="3">
                  <c:v>35087.324923680004</c:v>
                </c:pt>
                <c:pt idx="4">
                  <c:v>67484.515206000011</c:v>
                </c:pt>
              </c:numCache>
            </c:numRef>
          </c:val>
          <c:extLst>
            <c:ext xmlns:c16="http://schemas.microsoft.com/office/drawing/2014/chart" uri="{C3380CC4-5D6E-409C-BE32-E72D297353CC}">
              <c16:uniqueId val="{00000036-4D05-480C-893A-1E24C167139D}"/>
            </c:ext>
          </c:extLst>
        </c:ser>
        <c:dLbls>
          <c:showLegendKey val="0"/>
          <c:showVal val="1"/>
          <c:showCatName val="0"/>
          <c:showSerName val="0"/>
          <c:showPercent val="0"/>
          <c:showBubbleSize val="0"/>
          <c:showLeaderLines val="1"/>
        </c:dLbls>
        <c:firstSliceAng val="180"/>
        <c:holeSize val="70"/>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view3D>
      <c:rotX val="15"/>
      <c:rotY val="2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4.3640103073676155E-3"/>
          <c:y val="3.5684222014849875E-3"/>
          <c:w val="0.99563598969263234"/>
          <c:h val="0.81918684989778878"/>
        </c:manualLayout>
      </c:layout>
      <c:bar3DChart>
        <c:barDir val="col"/>
        <c:grouping val="stacked"/>
        <c:varyColors val="0"/>
        <c:ser>
          <c:idx val="0"/>
          <c:order val="0"/>
          <c:tx>
            <c:strRef>
              <c:f>Pivot_tables!$AF$33</c:f>
              <c:strCache>
                <c:ptCount val="1"/>
                <c:pt idx="0">
                  <c:v> Cumulative cost </c:v>
                </c:pt>
              </c:strCache>
            </c:strRef>
          </c:tx>
          <c:spPr>
            <a:solidFill>
              <a:srgbClr val="D43260"/>
            </a:solidFill>
            <a:ln>
              <a:noFill/>
            </a:ln>
            <a:effectLst/>
            <a:sp3d/>
          </c:spPr>
          <c:invertIfNegative val="0"/>
          <c:cat>
            <c:strRef>
              <c:f>Pivot_tables!$AE$34:$AE$36</c:f>
              <c:strCache>
                <c:ptCount val="3"/>
                <c:pt idx="0">
                  <c:v> Furniture </c:v>
                </c:pt>
                <c:pt idx="1">
                  <c:v> Office Supplies </c:v>
                </c:pt>
                <c:pt idx="2">
                  <c:v> Technology </c:v>
                </c:pt>
              </c:strCache>
            </c:strRef>
          </c:cat>
          <c:val>
            <c:numRef>
              <c:f>Pivot_tables!$AF$34:$AF$36</c:f>
              <c:numCache>
                <c:formatCode>_-* #,##0_-;\-* #,##0_-;_-* "-"??_-;_-@_-</c:formatCode>
                <c:ptCount val="3"/>
                <c:pt idx="0">
                  <c:v>131268.74200539998</c:v>
                </c:pt>
                <c:pt idx="1">
                  <c:v>80084.997369999983</c:v>
                </c:pt>
                <c:pt idx="2">
                  <c:v>123747.83775599999</c:v>
                </c:pt>
              </c:numCache>
            </c:numRef>
          </c:val>
          <c:extLst>
            <c:ext xmlns:c16="http://schemas.microsoft.com/office/drawing/2014/chart" uri="{C3380CC4-5D6E-409C-BE32-E72D297353CC}">
              <c16:uniqueId val="{00000000-3516-4675-9E5E-296433C3E7CA}"/>
            </c:ext>
          </c:extLst>
        </c:ser>
        <c:ser>
          <c:idx val="1"/>
          <c:order val="1"/>
          <c:tx>
            <c:strRef>
              <c:f>Pivot_tables!$AG$33</c:f>
              <c:strCache>
                <c:ptCount val="1"/>
                <c:pt idx="0">
                  <c:v> Shipping Cost </c:v>
                </c:pt>
              </c:strCache>
            </c:strRef>
          </c:tx>
          <c:spPr>
            <a:solidFill>
              <a:srgbClr val="B1F5F1"/>
            </a:solidFill>
            <a:ln>
              <a:noFill/>
            </a:ln>
            <a:effectLst/>
            <a:sp3d/>
          </c:spPr>
          <c:invertIfNegative val="0"/>
          <c:cat>
            <c:strRef>
              <c:f>Pivot_tables!$AE$34:$AE$36</c:f>
              <c:strCache>
                <c:ptCount val="3"/>
                <c:pt idx="0">
                  <c:v> Furniture </c:v>
                </c:pt>
                <c:pt idx="1">
                  <c:v> Office Supplies </c:v>
                </c:pt>
                <c:pt idx="2">
                  <c:v> Technology </c:v>
                </c:pt>
              </c:strCache>
            </c:strRef>
          </c:cat>
          <c:val>
            <c:numRef>
              <c:f>Pivot_tables!$AG$34:$AG$36</c:f>
              <c:numCache>
                <c:formatCode>_-* #,##0_-;\-* #,##0_-;_-* "-"??_-;_-@_-</c:formatCode>
                <c:ptCount val="3"/>
                <c:pt idx="0">
                  <c:v>3295</c:v>
                </c:pt>
                <c:pt idx="1">
                  <c:v>2496</c:v>
                </c:pt>
                <c:pt idx="2">
                  <c:v>1229.6600000000001</c:v>
                </c:pt>
              </c:numCache>
            </c:numRef>
          </c:val>
          <c:extLst>
            <c:ext xmlns:c16="http://schemas.microsoft.com/office/drawing/2014/chart" uri="{C3380CC4-5D6E-409C-BE32-E72D297353CC}">
              <c16:uniqueId val="{00000001-3516-4675-9E5E-296433C3E7CA}"/>
            </c:ext>
          </c:extLst>
        </c:ser>
        <c:ser>
          <c:idx val="2"/>
          <c:order val="2"/>
          <c:tx>
            <c:strRef>
              <c:f>Pivot_tables!$AH$33</c:f>
              <c:strCache>
                <c:ptCount val="1"/>
                <c:pt idx="0">
                  <c:v> Discount </c:v>
                </c:pt>
              </c:strCache>
            </c:strRef>
          </c:tx>
          <c:spPr>
            <a:solidFill>
              <a:srgbClr val="7030A0"/>
            </a:solidFill>
            <a:ln>
              <a:noFill/>
            </a:ln>
            <a:effectLst/>
            <a:sp3d/>
          </c:spPr>
          <c:invertIfNegative val="0"/>
          <c:cat>
            <c:strRef>
              <c:f>Pivot_tables!$AE$34:$AE$36</c:f>
              <c:strCache>
                <c:ptCount val="3"/>
                <c:pt idx="0">
                  <c:v> Furniture </c:v>
                </c:pt>
                <c:pt idx="1">
                  <c:v> Office Supplies </c:v>
                </c:pt>
                <c:pt idx="2">
                  <c:v> Technology </c:v>
                </c:pt>
              </c:strCache>
            </c:strRef>
          </c:cat>
          <c:val>
            <c:numRef>
              <c:f>Pivot_tables!$AH$34:$AH$36</c:f>
              <c:numCache>
                <c:formatCode>_-* #,##0_-;\-* #,##0_-;_-* "-"??_-;_-@_-</c:formatCode>
                <c:ptCount val="3"/>
                <c:pt idx="0">
                  <c:v>5.8499999999999943</c:v>
                </c:pt>
                <c:pt idx="1">
                  <c:v>15.109999999999983</c:v>
                </c:pt>
                <c:pt idx="2">
                  <c:v>6.4799999999999933</c:v>
                </c:pt>
              </c:numCache>
            </c:numRef>
          </c:val>
          <c:extLst>
            <c:ext xmlns:c16="http://schemas.microsoft.com/office/drawing/2014/chart" uri="{C3380CC4-5D6E-409C-BE32-E72D297353CC}">
              <c16:uniqueId val="{00000002-3516-4675-9E5E-296433C3E7CA}"/>
            </c:ext>
          </c:extLst>
        </c:ser>
        <c:ser>
          <c:idx val="3"/>
          <c:order val="3"/>
          <c:tx>
            <c:strRef>
              <c:f>Pivot_tables!$AI$33</c:f>
              <c:strCache>
                <c:ptCount val="1"/>
                <c:pt idx="0">
                  <c:v> Profit </c:v>
                </c:pt>
              </c:strCache>
            </c:strRef>
          </c:tx>
          <c:spPr>
            <a:solidFill>
              <a:srgbClr val="194AFE"/>
            </a:solidFill>
            <a:ln>
              <a:noFill/>
            </a:ln>
            <a:effectLst/>
            <a:sp3d/>
          </c:spPr>
          <c:invertIfNegative val="0"/>
          <c:cat>
            <c:strRef>
              <c:f>Pivot_tables!$AE$34:$AE$36</c:f>
              <c:strCache>
                <c:ptCount val="3"/>
                <c:pt idx="0">
                  <c:v> Furniture </c:v>
                </c:pt>
                <c:pt idx="1">
                  <c:v> Office Supplies </c:v>
                </c:pt>
                <c:pt idx="2">
                  <c:v> Technology </c:v>
                </c:pt>
              </c:strCache>
            </c:strRef>
          </c:cat>
          <c:val>
            <c:numRef>
              <c:f>Pivot_tables!$AI$34:$AI$36</c:f>
              <c:numCache>
                <c:formatCode>_-* #,##0_-;\-* #,##0_-;_-* "-"??_-;_-@_-</c:formatCode>
                <c:ptCount val="3"/>
                <c:pt idx="0">
                  <c:v>6301.754294600003</c:v>
                </c:pt>
                <c:pt idx="1">
                  <c:v>28333.074329999999</c:v>
                </c:pt>
                <c:pt idx="2">
                  <c:v>44010.946644000011</c:v>
                </c:pt>
              </c:numCache>
            </c:numRef>
          </c:val>
          <c:extLst>
            <c:ext xmlns:c16="http://schemas.microsoft.com/office/drawing/2014/chart" uri="{C3380CC4-5D6E-409C-BE32-E72D297353CC}">
              <c16:uniqueId val="{00000003-3516-4675-9E5E-296433C3E7CA}"/>
            </c:ext>
          </c:extLst>
        </c:ser>
        <c:dLbls>
          <c:showLegendKey val="0"/>
          <c:showVal val="0"/>
          <c:showCatName val="0"/>
          <c:showSerName val="0"/>
          <c:showPercent val="0"/>
          <c:showBubbleSize val="0"/>
        </c:dLbls>
        <c:gapWidth val="200"/>
        <c:shape val="box"/>
        <c:axId val="707319695"/>
        <c:axId val="1016158815"/>
        <c:axId val="0"/>
      </c:bar3DChart>
      <c:catAx>
        <c:axId val="707319695"/>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016158815"/>
        <c:crosses val="autoZero"/>
        <c:auto val="1"/>
        <c:lblAlgn val="ctr"/>
        <c:lblOffset val="0"/>
        <c:noMultiLvlLbl val="0"/>
      </c:catAx>
      <c:valAx>
        <c:axId val="1016158815"/>
        <c:scaling>
          <c:orientation val="minMax"/>
        </c:scaling>
        <c:delete val="1"/>
        <c:axPos val="l"/>
        <c:numFmt formatCode="_-* #,##0_-;\-* #,##0_-;_-* &quot;-&quot;??_-;_-@_-" sourceLinked="1"/>
        <c:majorTickMark val="none"/>
        <c:minorTickMark val="none"/>
        <c:tickLblPos val="nextTo"/>
        <c:crossAx val="70731969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legend>
    <c:plotVisOnly val="1"/>
    <c:dispBlanksAs val="gap"/>
    <c:showDLblsOverMax val="0"/>
  </c:chart>
  <c:spPr>
    <a:noFill/>
    <a:ln w="9525" cap="flat" cmpd="sng" algn="ctr">
      <a:noFill/>
      <a:round/>
    </a:ln>
    <a:effectLst/>
  </c:spPr>
  <c:txPr>
    <a:bodyPr/>
    <a:lstStyle/>
    <a:p>
      <a:pPr>
        <a:defRPr>
          <a:solidFill>
            <a:schemeClr val="bg1"/>
          </a:solidFill>
        </a:defRPr>
      </a:pPr>
      <a:endParaRPr lang="en-US"/>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_xlchart.v5.1</cx:f>
        <cx:nf>_xlchart.v5.0</cx:nf>
      </cx:strDim>
      <cx:numDim type="colorVal">
        <cx:f>_xlchart.v5.3</cx:f>
        <cx:nf>_xlchart.v5.2</cx:nf>
      </cx:numDim>
    </cx:data>
  </cx:chartData>
  <cx:chart>
    <cx:plotArea>
      <cx:plotAreaRegion>
        <cx:plotSurface>
          <cx:spPr>
            <a:noFill/>
            <a:ln>
              <a:noFill/>
            </a:ln>
            <a:effectLst>
              <a:outerShdw blurRad="50800" dist="38100" dir="2700000" algn="tl" rotWithShape="0">
                <a:srgbClr val="CC00CC">
                  <a:alpha val="40000"/>
                </a:srgbClr>
              </a:outerShdw>
            </a:effectLst>
          </cx:spPr>
        </cx:plotSurface>
        <cx:series layoutId="regionMap" uniqueId="{E6AA392E-773C-4B40-BF30-7D041BDE2445}">
          <cx:tx>
            <cx:txData>
              <cx:f>_xlchart.v5.2</cx:f>
              <cx:v>Total Sales</cx:v>
            </cx:txData>
          </cx:tx>
          <cx:spPr>
            <a:effectLst>
              <a:outerShdw blurRad="50800" dist="38100" dir="2700000" algn="tl" rotWithShape="0">
                <a:prstClr val="black">
                  <a:alpha val="40000"/>
                </a:prstClr>
              </a:outerShdw>
            </a:effectLst>
          </cx:spPr>
          <cx:dataLabels/>
          <cx:dataId val="0"/>
          <cx:layoutPr>
            <cx:regionLabelLayout val="bestFitOnly"/>
            <cx:geography cultureLanguage="en-US" cultureRegion="CA" attribution="Powered by Bing">
              <cx:geoCache provider="{E9337A44-BEBE-4D9F-B70C-5C5E7DAFC167}">
                <cx:binary>1H3pc5y4Fu+/ksrnhwchCYlbd27VCOi9246zOMkXqmN32BH79te/03TbbTOdG09dv3rVPVMEkA4c
+KGzS/73ffuv+2i3zd+1cZQU/7pv/3zvlWX6rz/+KO69XbwtrmL/PpeF/Fle3cv4D/nzp3+/++Mh
3zZ+4v6hqYj8ce9t83LXvv/Pv+Fq7k6u5P229GXyodrl3e2uqKKy+C9tZ5vebR9iP7H8osz9+xL9
+f6vaPtjG2/fv9slpV92n7p09+f7F53ev/tjfKm/3fZdBJyV1QPQYu2K6TrRdNVQhx9+/y6SiXts
Vrh+xYmKsaZqxuH3eO/NNgb6VzA0sLN9eMh3RQEPNPz7jPAF93B+9f7dvayScv/SXHh/f77/nPjl
7uHdx3Jb7or37/xCmocOptw/wuePwzP/8fK1/+ffoxPwFkZnniEzfmW/a/o7MHm4TYotsPdmyJAr
bhhcxYgeXjx/iYyhXRFsIEopPyBHH+99ROYVHP0CmifKMTa3F4nNJJK5//CGg0bjV9SgFGnYeIkJ
B0w4w0Tj+Gk0Hb6HAyav4OQ8JE+EI0Qmlzpa/F4mb4gIJleagTWNI3IYLOwlMAihKxBz1NCpPiCD
xoPltwydB+av/Eg4Auav7xc5VK7znSuTx3fzv6sXgq8MzHWuY/1JfTxXL0hTr0CAIYRHgPyekfN4
PNKN4Li+TMm19oti/3+a+m+HyV7laypn/KhXjLEQM65glGgq0bSDENMf730QYq9k6jw+L4hHIK1B
kV+g6n80z97Jn+9MGVXxD/8tJRu/MlTCGKNHA2wk2Ri7UpGucc6OcI7MgH/K3XnYzl9lhJ9lXiR+
5jbyf8o8eVPU2JVGia4b6GhWg3h7IfcQDDLENAbYnjOrX8fTeaye044QMv+6SITW26LY3ntVsSvL
N7SwiXYFEGBKdRgzz9FhYCyoVAW352R6PzfjXs3PeYBG5COM1peJkbWLts023z3qiv/ddsDGlQpq
SgeEztoOjF4RsCwIRuAn7X9jyfcKjs4DdHqWETaWfZHjZy6bN9RIMGxURnTKCHlycp6PHgNfwdhR
daQe20f2w++4OY/JgWqEx/wyx4opk2R3X/r3Vfl2w4WgK8oooiC0DrCgkVADsw9z8JC00Th5JTfn
YXlBPELH/HSRo2Wza94tdnmx694QHPUKYUM1KEYHcLQROORKB4McAokHUWaQx3sfbO7X8XQeoue0
I4Q2i4tECKxsmW8f5OM7egNdA1a2wSkFp+fs4EEqvaKEcazjx5segHkNK+dhOVGOQDGvLxKUj7Iq
vXfWNpTlWyobAlFOHRHK2GFkjNwfGE5XGgYjGumjIfNafs6j85J6hNBH6yIRmicP/vZNo27GFTg4
BjgxR6k1jiToV6BvuKobR5U0gugVDJ1H54lwBMx8c5HATHcyd9/U/dSudAK6nrPzQQOOrwghmBH1
mDsYSbVXMHQemCfCETDTyzTU9qrzm8zDR5n/vysaMJ4NbGjgs4wEGXgzEHNTCadHEwDan/ucr2Hl
PCYnyhEom28XOVrmD1vvDVU/IVeYGyrTyPHFj/JsCIFtRg3MwDZ4CclvGTmPx5FsBMb8QnVKFPmJ
9N8yKgOmMmBBwBg7aJURHty4QgQSCvQpfj1C5RUc/QKYJ8oxNpeZZVu+dUaaQ3aTgEph7KyRbHAY
SSro+8eAzUiE/Z6f87g80o1QWX68SPG1BKle3Ydv6FxidkU1hjWIhr30KjkF+wvAIuSYfRvZX69h
5ReQPD3EGJTL0Cn/Pc100LsHZf+i5z8trjEgEoYpUymEwF6EyCC0iTjWoHTjIONG9teo4uXX/JxH
Z0T+4hEuo5xmJSu/eGNnRb0yOLiLnMLLfgEGgkIbxKF44AjGaJS8ipfzQDwjHY2T1WUaxOutn7xh
iJ/QKwxZMkKfaYzn0OjGlYbA+4d482GcjKD5LTvnYTmSjSBZX2Zwf73Nu2ibPDxaQf+7j4IhGLZX
KHTkzjP9iqkI6myMIxojqfUaTn4FyOMzjDGxLlLHX4cR+ChvWqcJ8UeOQZEfIynqKLpvgA2g7qvO
HuNkgN1BbRzilK/h6Dw2J8oRNtfLi8Rm7d97vrt9yyInqNRkhBmMn/cgwQxjWIUw2T5Ytv+NEmKv
4eg8NifKETbr+YViA4mx4m0DyDqoGANBqewx1DUeOOQKGTBwoHjw5YhZ+6/g5VewPJGOcbnMAOW1
579lxEW9IlC3DLAc/ciRQQZVtEw1wMHXjuNlLMt+w815UA7PMMLjenah46QoZJX7j1/sm+h8rDPw
R8j5BOW+2pwxSH/RY7HF32TY7zk6j8u+IvDwLCNs1peZB1vLpHzTLAuBCj9I6iMDwvXDbzRckAq1
ZASq0XU8No9/z8ovMHkkHEPy6SKHy2b3I98W4fbthsu+2EJjCDN2KCdXR/l8w7gCX3OffTk/OeM1
HJ2H5kQ5wmZzme7Lp91eVxa7N/QqMYU5S/DqIR52sLfGYbG9SQDBF/I452mk+V/F0nl0npGO4Pl0
mZp/s6u3bzl1Bor6MNUJWGTHGTIjcwwhHbItFO+n1wzCDtqf+zG/5+c8MI90I1Q2Xy5SoH3xIV/8
1gXLoEEMlRvnlQzjV7oBtZhEO9oHI1xew9F5ZE6UI2y+/HWR2Gxk/v+iDoZBxl7HKocyssPvZRAT
UIFq2P0UqPM282u5Oo/RS+oRTpvLjNHs0+KzbZwWnv+WVcsw40nnVEfgv5y11qC2HGqZdBhqx5kB
I+XzarZ+gdTLpxpDdZnuzt2uKN+d5MTzdMiLB/yn6RmQaUSjELb5RZWMCnM0MIO6zaPMG8U7X83W
eahG5C+e5M/3d5epmfaf73rX+vdvGC+AyZ2gdjBD5Ghs/80B0q8QBD9Be4200uu4OQ/Pc9oRNpv1
BWsmc5tLqNnYPtpVbxA7gNg0hgIZCkHO4TcubYKKDU4JYlAaMPzGIm/QmK/h6xdIjejHaJkXidYN
OEZFF9XbN7XziArJTpiXdkRCHecRYDohx5zvSzwOWILv9Nz+fi1X55F6ST3C6eYy7b1bD1aheDcv
3jYHBwEGmNSpGY/hNmPkw+7NCMShtBbmtA+/kW56LVfncXpJPcLp9jJzC5/Lrff4Lb+BzAM/VsMM
htHx/Y9k3rDgAIOiAk0fRUp/x8d5RA5UIyQ+X2Y47uMwU+A18v4frmUDiw2okJzW0Mlee15NwPey
D0qeAZvDmBkh83q+zmM0ph+h9fEy9dCnXfumy9og8FMxJ4DCwRgAk+05SBA5xbDcECigo1E+UkC/
Zec8NkeyESSfvl6kafBll8cQoX87aQY10CosMAD/jUxrBhMJdE03dLCuhx99vOmhrOAVnJzH44lw
hMiXyxRpd1sIIyRu+aZrp0DIBxZGAf/0F1OfhrVTYJ7HY85u5Py8jqfz8DynHSF0d5lm2p1f3Muk
8N+27kOHYUExLJ52+L0UZVCpDlW5EMk2zq8G9SqWfoHP6WnG8FymdXbXSVjpzn2ULv+7gbafaAOV
Npr+i+XTIDsHKw8hQiBM9wjec0fnFQz9AprHJxkD8+3/j6759aJ3T+sCWttyaw8LCj5b9+6/tw7P
DqscjkiPvuJZ+A5vd/7w53vQ/KBnntYp3F/jSHjQKqNFBU8ku21R/vle4ful8WBZQnBj9wkJWPrm
/bsGYoT7JpijwGBhNog1APSwBfMh2ccHYKlDCutJMMr2a+pB0SnUa71/B5UHQxNMItWgRMigug4V
drCs3tMyjjcy6mBJrKe3cTx+l1TxjfSTsoDHAcGbHrrtWaUELgO1esCGqsHCieBOQ/v99ha+733v
/xOgVCMFJsqsjEtjovE2MHFvLBW/kbPUnaA4TWZF5qrCLeJYtBHzzb52QoizP72z17LBIC6z197q
vr75JRs9KvKu7mtllqUyFV2k8WXpVD9YoT4YSWm5WaAJv0gVuwo5M0tVCSxPa/HsN2wAGOO3YYAe
g1XxMGSQoNb3JRucoKAwauzM1JyklhORyO6Qos0Vx8Q1mzeN/Brqzo3uG1+jLleEJ0szRbEm+iRR
pgWu6w2swpnZv2EL0id/YwxiuyAfYPVOSKtAaetLxtqwoBliuTNjdZeIWK3klATZNZIeX8Ww3JJo
W9Ja0vOURd5rqmBdi6w20EgqsqIKRV3r0oZkpz51KndRp9JYoTbKV4xNw9bhq0JL+hk14ptGamTV
PW2ilOWWR5vQSjve2UkjqVkZXnvdZ3638JXuzsnidNk6eSuwr8i12ymh0KW6UzKuL8gH6t5m1K1M
o22mnV4mQukbZe6i5Kfh8NYkuFDNzAnsoixmLIvWDooKW1exZ9Z5WK7VuHioW0PQvklNeOxkrQb9
Ry5zZ6J0945bmrgI5KQtbeYunLopp5xF0gq7eumGc8Rt6de1WeoxnmRKtmHBg9GFNyRovGUURsbU
yMpe4CzqlonWfHLcOpjwqtLtwliqSmwGmpasIpXoE2QElaBsBgvINSvph8E89xJLr4tIhB0nE41Z
0onm3EOzKAC2wvhnl6nxXEn1TGDP2JV7QBKvXTf+XUz1btqWVWz1bl0IPXCtsM8isynIAgoAS8sv
+bSpkTPNOn+XxIorWqbbsZH9ZEl/Iw33JsPYDIijibbOPgQfkyj70bA4N4s6yc1AGlYO4uQ6LDrR
p34DvQyrcGlnUpyWJsvrlRuTaaF4itCrvhMKIROcaze9k89YEroCGfQjwro+1VAwrysvmLp13ojU
6ywaN5+hHq4XSpdVttK60SJtsx+wyMrEYTeoZ99d1iuTlGJNKJ5zZ7R+ZKWolaaC1Q9lW25YGO0Q
6YgoYxyIPO6ZWeC2EWpTe1bCvqH0o4/iVhhJ518H6g+3TrEZUovxXqheHMIAaNUpDptdK0OTpmUk
isJA0yRmoQjSKJowXpmxk7TrqkPFhLsVviFx0ltR7sFX0XnTNs9TEcT6fecianYBKk3ZNT8jSCub
IeocEVUKF0jXHauosniKIrecYN9lVkBSuk6cfEXDxrH8rKAgArR8ZkR4IStMLU8n1UKhsCEKo5EY
dtWgqRanTVx61MoCPxXDOYVmPzo/6u1Ya0t4m9617hZ0krtpuRhO1W6uRWI4HjZllXxGhhY96zKc
D/f0A8WJdjh3Ohz2ctr200ChswrM0EWi1X5vNi25cx1Pt4dzVdcni2GPaD2zSRfdaV6CertUsmTR
+EQWy1NH1ASRkDnTraF52EgDeb057MInY4T7V5qbiYIScyA8nDxsh16+EXLRN5gciPL9jU6X6/WK
40YMpM846VTVmzkdsstCdQXJUHDg8MQbdxUeisN9hrPdwPxweTYwNuxmA7sgQhIzcHxB9EgVNDB2
FSbweSnweSou+tGEHRYagcHj0rIzczdblp7LJ3Xg3BSOOm0a1bE7N7fyNm8WXlt/8knxEFfXtdMF
X8CBXSWxvkiapP7Asv4LwdXPsm0WaSRj06BKJJzUK+2oq+IZ7otewLhQ5woIdoFcl2+iPJ85qntL
FF2zqe8FombBbYAdEej42glVY9Zl5QfN5ca0TqrvUWTYrPKw0IucWJ4RJYK6qT5FnGy8pHNWSfId
8lXrNuWhVQadFCC/G+EY6a6sWSQSPZ8l2G9MR8tb06dBZHoq+mgkqj+VdbpRWsdb9F40J3XXf9Kw
nDpKcV+wzu59otl50rRmTGUI4jn7kPQlF61TtFbqkUr4ODVEbATUUlmnCL9LXavrI4tpaO6UfgDi
QC3swjNUW0ZxJcK2MHO/4zbzYw3Eb3+tULTLYPx+y6pr3auk5Su4n5QPIXP1le7rqZXrSWBpXlvZ
VblXWoY0K530ds7dCS+qapIJ2arlJDY6JozU76xQtp87HYE6S7R8UoOBJ0DBFa1Hb1jvzhqtcywN
ZgRP/Oohb+Id6fsftZp/pkqe3Co1y2aaYsyMEFSd2/jpdRKpscBuwUy1CuSS/NwvxSecshOyzBJR
e11kZmG9LVo9ECyvkImZL21dBz2q5trSCysQxuqiLWCE5TQ069KVou4RaNIYiVgPMpHVWi2cyiqi
G67KRGiISZGm3k9f1os4Q0uaZw+Ip82kc7mdZtdZ6331Yeq/pbHAm7OsWsSsslnj4zu92ia1ry0h
TRYLP8ramSKVj6jC+bQm8RQjXxcJ0n9ocbbT21YzUz/L7K4niakYUWnJdIn0dh1x0ptE9ptewZ7o
aSGopiSiafPUVANHwGKDldAyPCkYnqOAzjqqrcKom4KJMVN7lVjwYV/rmtdNVBfsTaK76UyTE6Rp
y6yqW9vtPGYVZajcSLBm5nW76xl8XqHj9pPA6Sdu2Xz3pdpbxI064XofIj++hyE+r6n+wQ9ZbLOU
rvo8tkKWfHbKJABrLv+k042sbzmhNm/L29ipAqHk2jav0xn2kthWUu4Jn3tfsZ+auspDU0361jbS
66CPWkBCLrEGCqp1zNDIuFkrWrSCEqkb1WMw9vrbWse3XVx/bRzMTcbbduk5wUSpXWZq+g1YfvOQ
uoXZt3Km+F4kdLe9zRGJJ3pWgcrt8U+Dh/BtactW4hq0ZWzYdZpOeax+b7MiFp6R3pMkLEXDslLE
FXdF5oMWC/2PjaG5wqhrbFXThK11nF63QUFAQ2WeqFrDRm6liHauxuVCi/kNZ9lNoSNftAoRYDh9
a51mDSuAfslDEE1GDN+hssh4nYLU7m5a34UX3fEPTl7YFNWfJK9d+Dw8AmIyak2uGLfM4SBdPA+b
nlvZLaOghPOusKjUZimr7wK1piZ3AxHgPIfBEXkizCZlQqTIsL/S9XjBXMvVa3/mtd1KL1tXUEVd
JRG22r6ulnl/q/WeZnOtcYXrpN9THGaiIuhLULqxaAj+xPol9xGg6HhrVY0+dYG+46267VozVJzP
iqcvQpJvKJi0XiA/ukacCyfoVsTgD0kT38kUR0L1Z8ayq2Rt6THzLOwa0YZFEVFF0rXxJsp0bPtJ
B97UvmU4d2hGkQ62lN7ZoUw/ZaBkZlGtfR16OWmc22nVlmYH6n+jgBEz1VT4bEqNl/AwSJkEYZxs
+sToVlpLRO/F3UZLqV1qSmxHWZSJUDfi3ur1SPh5CqNR612LZQYWauYUgoS56XD1J5vVMutW2M2Y
DcHC25w4cyg/YmtcamzdILD0ZI/aCaty4aeRZuo9qDRHTds1Uj75jMET7jkhatnbeuHEIFUZvL5a
DW0Dh6LJ+9pKK0rhPf10yz65brGETZsHgtT1tvHy2tRCIwLgu9QKeeusK9bhdQ149/CvlAyeuozX
RqrtNKPxTEVpvysptiLNEeAiOaugbPk8VuVN4fv6NEnIOqGhlWl9teFx6NsqTn8qin4dMtwu+tK9
bjSMQemVeIPcWjAnitY/1MAXQCLnqtTnmqyrRUPzNWlQsXFb9QONNHXO4iJepV1seVwpgJYVwtuD
mMZxMHEjzxGqJqXZFaizeVY7ZkrreZcz2419KZRWX1YkM+ZlllabsGiSTeuJJnHCTRF42Qx12Q9f
ugtMnHJpBE24MNr+1qmabkNaThaIZQs3Dn96OvBohFNc1HCbGL6ssKdy09Bwjepub4LTuywBuU8L
dYa0zJIl+8YpoBLlbQq+X1dvtFyd16E6A73ULTyeXEchcuYJ2MImoYlj9X1GQfcrdoa6zooLmS2N
zpsnJW820X5jaM2u4QWZxCp86Hr/JTK6WNBZ0LjgDJVguRAWdqbqOOWGY/+H4bbNzHd4uGK5tOJI
TeeO1j9w2d5Q44fuW/BZNIthU+/3FMk6ZA67RYV6ZA5N2K04KCnw6LxskZIUXsh+L/B0GYnT8XCS
pHkaiWHXG9rBkT/2P3uyIIYV4l6KpJKNWXrwtvWiyxbDnq8F+a8Phy75nmLYO9EOZKfDYe90KU46
kFVRJsEmgxsNFwD5TZWSzx1FzReKauSLYe+0+eU5npAKjMYzdBkIfl+XoeWQPj30GLoxLchU83Tp
OIuLw+0O1zrdyteMx57EW8ZOTeYZFqXKgkP/Z+0uqQxkDxcNuV4fOTqxVVXV95x3mg2mUqmacn/P
MKMgqIfdqC7mkat9jnoVrAInuPaUJALDE0d3Oo2npXTRdaMUhijDrjA1cPHmgVuUZhLWtUgYd6wM
/qaJHbrxjRe4H/yWuSLv4auuokp4eiytnMh43VUsF6SMi0nGnWjN4yKfKF5RiOGwdlG09hUvBq+V
tpMmbcgKFfhLoFIy7TG40hF1NJtEDU0tXa9mfpKjOeccr1iUi17NP7JONB4JZlWdR6vA86NV6uWe
qWLQYcjTzb4p6jnP1euAGWUJZlGXrzpgT7iq5k06Y8bKXq66evEZHPF+VSdKvxr2eK6BkSAN0LT7
BrTfJJgvCjAe5kXmH7u5PepXWO/ySYiQKxI8zVLgpKff/FhP1oEvQ9F34BMUoZqJFDsWL3tkq6Vr
5ljXFnXkuKtyv0EQuygCl86DLEPCa4huRRuiKGsNPJWFm2R4qbk3ESg2eEdwQXDnQb30sl2BNG1X
1I0/ZVDPCHIZeuSu0qxCpWlEF7qaXUQ6xIFYGoObHkGEofW/MC1P1z3nEdhuTigMktx7MPF74lSp
KIwim3GPLONepUulLmdOBp5hH+mhkEYQT/XW3zpZKydl4H/NDd2fulyqKzXi6mrYGza46dQVrP7W
m1qUgL9E/QnEfhQMENR9qElr6JV2RjKByEwkYClfusziRF/CSpmzJOfM6hC7N8CdXzGa5wvIsdnK
/qjafyngX0Cckug1aKrHcx6D0EpbiKJubtMErN6gj8lq+LCGPV437iSgmhQV0jowHMtV1VT6jMY9
XhlNiadhENz1UEaQWq7ZhhSt2L5paNebFK94Ocu9CIw+DR7FbxrbVWU/pyl4lJ0sl4ra5oJRhYGp
xZ2VpsbKatiLXM7BAfMT24jTtR+vWOkXM7+iSmZhqiR2FGV3faUtcr3pbS1rOkHDOlzpWhSuMCu/
5XhqkBZNhrOu0uWWjmOI8EgerNhTz6H7sGF8GejVJ4hHh5OqC8sFrmPDIh1oYn8PlheT0uT7d1ju
P/phgypfmj1CKejWFBxBGix7rzluFN+tJVhAcHzYVZSg23vtiaiU/svQUO1JZFBVLzoOTcPVhvbh
kKm+J3CI0eE2p4bTXYdzp0OjzLBFKjB5T+dON01xES+66g4HvJQi9/zwGeupq4MLQIzJM/5Odzyx
lw2cRzVEzhzIBZhDSwMfl0ECdXrqd7rtiZURt0OXERtD56FfDev/RlW2zgMnnrokUkHvuuAVpOHH
sGIr3niVFedlaRFIjN1ICDjPcIq/yogomyDXEtOFyI8NVrpvhtyja8MLJw0r+o0jjSVW23s1V1Kz
Dw0YDTmtrIRGaCEjTVtB8PHGpb0+A6ve68r+2g3uCqZOI4hZ2Foe3mtg59oc1gwCIQWeLpHcERhG
J3EhHpuqWN37lt53nkx9GTHB+4LbTdP2C+Jr6jQuU/iCNTQlFf/mJJ261qvoqwd+zRSiG+CO4tY3
4VCbAxOlYAWYg9QI+ERBN27fueveSb7Hasfvam+blt4kzVt0zXwR53U+U/L6Q1KDnC1LvzI7cJ7M
nte5HSbhN08Btdw3fbMiGQSSmgrfV6S4D6uIzPeRDrsOSl+UbbApSf2tcPhNTFV9ohDT9cJiGaA7
8NPoMuoiuweMbJDnju1IBCFV3shlxhtTqTzjo0NVzZRBB5Io5pAAaDPL6dwl2P2OcPV00jsFuE4G
+UFTozQztZknMARvNRlSiKB7sVm6eTg1VEmttCmu2xxOJbJsIBrcmogU/rSv9NDUCvVHkxXfS5Wi
CenAsegJnvjp1z6g7se4CKfc0PQJfCTrpgH1L0lwU2eaP2F5e63UzqbuIKADQ5ksolnfkhBcMEVU
pZ5/UI3SzkM/tataSWZO5DRL2vei8a+VUi+mgeosJMyfW7W86y0pNQ8C0FW6Kb8Hjs5XTd2ln0rD
X5QQvpzLOiCiSpzChOAXnXgKCkyUSv2aVOAuyZgkghT9pK5TeosCd5LkpS5qqa8bpUFrR3WmQRrj
RZQkrRU5Hl9mfrPTErebwgbbYGd3s7ZsKhtiZ6FgRt9PnVhTROFUhaipq8zBIJG24yl2CC6xrcZq
aQZMQROP1JmAGJnyIe28TcWbaq4nMUQ5Kj0xaZVqM9kFP4nHw2uVSENw+KIg0oYhyNdMIe1XTQyl
biZepFC7ipof4PWJoNV7O4SlmudZzOch0stDWu6YZj3m5Q7pwnuZdrnvesc//PZ0+J9PMob/h79H
djq5/7txpyNY2uHwB+f+ay9Yb3OfMi3GnfbcPF0LmDlyt8+0vjj4W9b3F3ndw9+v+0Xj65K+sOYl
hsLvpwzm37K+zwvuT7niI9kx84tUDElcou/rzVVYOEiFnN4x84tgGrRKYU1TmAZAYJW6fd3lY+YX
ZlDDYvQE0n2QDeV8nwl9zPwiqOOExYM5hvnVqgaZwH+S+YX5pS9zilBKANU4sDQhBCsRLHtL1Jc5
xSwgUQ9+W7AC+9F0M92RAqdVPw2jdhUMRryxdyu8wQvQjQILjyGwbmJHeH6R2ZlH70kMnzqmK9nk
LRijenPYYOK3C0fjxFbi7nsM7ugCp0q2MJIMEmbDbsKNGtnDbuUk+aF9OAyZk5lKaDhgN7lyIbVW
LlKc3WRx1UwCjpPFsEFFASHSYTc1WDL3Y/Ar62RhoPi4YU97w7kqxu4+nesJx3fiRU9pDIF4FC8k
pO1DMeyWPWRMIY3UHfIYpyTIkIcYDoc9AzWm53T9zKehXLj7DY548mxDK+JNK0KXYPFKiN6Wx42/
P2wUqkx6v1gN51OHtiZEZn0zAwkTiTrxYKsrdQj7Ut5GkB2fODVOQO3VJIU8536XVVozD9tbOni8
4J5ki2zv6w6b4TDwg8RGvvIzV3jVLGGaJrgcBautjipBu2RcWhC94II64Pqn9UMZdzdKhRtLh3Q2
mN3xuvSq6zxQ3UlX1FOeJKlgCgQf88ovpxHkNhzIC4IvAgEHHn+qPAiqgb+zaVBIpx3LbDUN3BvP
1LMyX/ZJmC/Jfq+KXTmtEdo6IeQFsOLbeUPqCQ5DRShhH9uy6SMfkodBVMi5CzbJAaZAz8BBLDOn
Xyca+TLg5/a9PwkLwvPyhshGt0AIQrKnqcDYdiDDaEpV30EpHOSUHR+ycmpeLYY942nvdA6DHQ/p
uqeWoc/p8EQ3nFMNB+KAWVTbeVels1O/31xm3Dxc1tU8yBQOu4f2ECKZ++DDnuuBD7DpgbnT8el+
//xcnhrUDBMwEQbaYRPn6vHVjM7VUdBPFWpMJJuMbnV4BaPXNDpskwASu1VRWgOx16B0mhfOItoP
F3+fZBw2ydNhCD4tjMan46E5T4KwNweaoeXQ6URJ/H7alcwzPa3MIJX098uOzp1un3Yd3G/UPBye
+py4SUoIqiuQZbWGLkPDuX6n6yluZfxf9r5tSU4YW/aLiEBCCHjlUteuvne7u18I221zFQhxk/j6
k9AzUx6f2efs/b7DERgQ0FWUkNbKlZnsVBXcXHddT73uu363676qp3eKc4Mevt4Tyr0XvBwq2+WS
t8DKsJB9q+xkRHH9pKg1LtHfq9Qv5Mky2V05ErKjvOvtxCYZibiVZUjXcI3r1f7a3K5VeRUKT1sL
wp2iDrfDTVqyw5DWX3/vP5237fs6ebvO9kG+rnDd3ta2I//a1wpNj5WyW3Bu8ukk0w+WzKKRp4FP
8lQEtba/touaa5Su16Y/Vl2Ttuhh6zD6d5McD8Ip9sNa9y5QMapC08xBVBQNQ5UXuMK0tqhtSvjj
oGw7dGuz14njeui2iaIi2ZnKvS3HujvV68J3ffm16Akw9JBYatwtpn/YGrbjtjW314Axr9vbydfN
62XmYvzHVXMoPUCOoEgJ17sjmm46bWvbwm2DKer8pYn+aBh6Ny4q1HdHguQbI/Sfi/+0b6gw7qoM
yTTuid7IAOsaXZ/LbR9wevTJrSUj+iDZRMBpAaYP1BHcBwNgbEea4vbvg7/O2/ZaW7ceFn9X0jo/
gI4xn7bFOKX49DIDdedfiOyGll5h1K2BVFYHCLj9Zis9HW1geadtQT17RvG6pH7iBtmbXm+V0y95
JHvHOmV2Nyfa71HkJ44JvRmDkzti+JsZpofrYtuXt+4Pu9EkQUK5nLSXLqdpXTQuvm8D3LJfSRpV
z4fTtlYOaTixVh7N6LuneV0QPZg9H/kpt8UM6HVCYTljy6NKWxaasrWi7Tfffl+z/sh1uqDDbDvH
re+46yRYn5c6K3C+QxVGby6jdJhVHW53YrsxKfMPjDTePkUB9RSMATtta7mr/rFm+Ngm1dgigxWN
WSInwPBAF4ZIAxFgewJehO28RcbK7DL2TdcfqEZ9TrNlfsKNak+uY7mhkp4Xua5yliRQZZYUAsXd
KreHRFtAW/qlCE6o2VtJ4VtzpH3PCsEwC31tzYlaozq2RW/VGs1t28N157a9tWyLZgkQ50mKKpTT
6jT82r62/3HQdpFtu64tvqN0uHz9nQWRYRykZR+iHP3kk1nstDUsS2R7GE4cBDZfC110USpn50DE
gROgn3Rt3xbOGnlta71TAoDYtrczr8cMlo2Wvw6/HqN4x0K62GnEC9metsUyFhhTt1X0MtR75Rru
/sd2FAXtsAXAFv91zHb0f2PfdsjXX9lOSYv5MwsylVz/3LZ2/aqTnt2QGRFE25fa7tb16/61uX3R
ytq7y8OwTkjXBVknoesmCCjtKV2nHjKkK9AAVuI2teCt5pjNrgdua9qrMa9dz7k2f122qJ3m8NdO
DzXBFcH9tz+7HfNf7uOI4SOndnbcBr+CKvT0bQF8BJf6e3XbBpXpHwf93dy7Ln7K/7r9j4v+fegf
21+rf1xbU42nzhrBwFj/9P/Vvh26FG177MnnH3/jP6/+5790/dCVIc8mkOXuj0+wrV4P+eMSW8vf
29vOP07/av/j4zj1nvVIwUqron8s6n9tirZMWGeZw3bEdf/1BFiRpYlc6o/rrpQN9ETdWjjRtrq1
jLVPvv5Ea5AhimJvEKqetoU2KLkt66Iq13ratrrt3JrrQQLTuh65rYGbQGJTN11YXpv5uJbMtvY/
LkcblLvoLKUdbatb+9df2rZLtTwvMqh3YCShjHY9fVv745rXj7RdfWvGz/0ITt0Arra2kknR1+1Z
uT4R2ybLOGkOX88Fn0ppJ9ejbCG9OAV+GmI6BbdvUkiH8y0CmtdY57rwmyGPgma0I093DFNRQIZT
2Q7/WFjTApbiti2WyrVBREVT8EuNbnHSwZrP1mvHZWt4pteY7bop9K4sT64PJNdYY3/qfaC67oog
GMdKwNX6ZUb2mWIir9tur6s2i13ylIlWgXU5vXl5KM5FbwgKbewjNyxIttwaePQHQOhgcETyF6Hw
mtIvhcoTlmGascamPNsjjVWVIcDNK+fEHUzmfPCiqisVssNxj2LYC9jDoevqc8+GHRiI0wl9hyhR
A6sGCmy5cakqgNn/zF03KGJDGIR256TjDEQcMHzx0jOgUP8L2P3/VBrUttn/C7D718t+rmgdJA/r
Of/UaUBwy/BKO/aFrDEHuNs/dRp43Y2NGhv8ivFucO/fdRpXdM6GW5gHXyPX9T3AavR/As5Rb1M8
/JswA1oI/HPxckoG55f1va9/CjMC2jZ+2vr1oRfyV1t2IlzG0F6631B0nLRFh3AMqpdCdDe2k+1N
nheRn4O/Ui/kYnqA0zmQiczvM3DRKjuqwagMfWqDwWiVoNKnXpKqgIakD/Kon8mDP1q3/gyQL2sd
O5K+81sZW8bQjvxaeHeyuRWcS2cqdnU+5ag4sFsLAFXcg84TEk3UTntWs1N5d+tUZZ/UopbJ7A4i
WXqTJ87o3wr6NgOPH9y6jPoSQD1v3XtpWaBkVm6J+mF/AVro75S14NkaxBS5ZUkjEOWO9SQgtqjo
Z6PdLC4XB3S2Q26Dl6oqetu07IMo6CI4SEto5TtT2t9Znd+jmjCFfY/RPhBHs8zg5ZcjGJCtfzcN
fVRU3Is80iS+mecI77Um+4KxLi7z/GkS00OXtnnoB20XqsL/GQg7pq7OE3tKRTz04HpNnbvgU7qP
ZdXh48qXcZjmm6U6t82yHNk8gUQDesEijJPUkomkMDOLgmycY7bkDxY3v1ht3ZQZjwsX1V6R7RAm
7wsUVucSxYq8lvPRGVHSBKnT1A8Vt4/u0gHvJ0uMe3WPau+rnwcgZAD+QzFNRSRrgUgNXRHO9iCj
ribRqHIdeTznoXDAUxq0DjX1P8VU3KrK+k2nFGjnqbXLvUNzhG/uz4CmBxRBvjWZj/7A99no/gSp
FjWnQd4ZfK10UffeOHxLUc+WQRMVQ5rFvKI5ANleRZ3mcVuMD4tl6rgU/uM8sHcL0wZT7d5hN3QY
P6VXhtUwfhvT8sYgBVl5HAfeO32Cl1Ilomc3zJpZ0kkdpkbtLSghhtrsfC9n6AooYTnyM52CPWNF
MnUC5VvAsW0rTqhDltDD1GATU5qd5wB8Kdhhx0Odq52PjG3qsuzM6/7JTUnEbPPTcTG5pDTWuR0k
zlKAa83spEpx1+tqQBGLDJceRKMjphUapnN9kX6LuGhMyU40oCn0Lji9fmsey7wUu6IHs3C0yyOr
zPhU9yBZVN0BA4t4mEEXB3h0Hgr9rKesPqBojczUAuUvc9OjG6Rvy1BbkQ86LJgDu7rLs9AvLXb2
qb6AuelGhSVit+yzePHKOnEypsO2QDHNzyk0K2OKciRImWnu7ddoIoFUqAtN2j/3/pgf87wzcTPO
HyQyadYk1QCOatlpDBe8vYAV8tFYWXA0hryU2iFh4fGdcspTNy/LTWkVN22LvqsJX/ZkWt7zKRBJ
PqmbZmBm16casNJsooGxu7byVeTNM8gcejykaWElKUap3ej1D5NfADL+tIwELa7K3JhQzcOx6Kaw
zdMETFN+bob1S0t97wNA3BEDGQ8OOGSiSw8W9/dunQf7mRArBrjoRzSfs4hVnYwa4izPTo5bE+Q/
CqvvI6hTnrRBZQ2eTQb82PqkQDx98MjUoc3p47KszvPgWghd0m7HvbfKCsitK8cYPL8dcmT3RrnZ
T7CNp33a0tdZFfzQzrix+diBfp2NyOPnKYgcRmjs97O/E04XGdH64Th1cziAWxJrKt/r0XN3zGLj
uZaxVi0F0fcnW0Tx7OoqXogqEz5PENqRwT4wzbvE9QnUMcK7mS0FGv9i4ftk1YACydnyzlMHFo1Y
PlNPKbD2+JTIKbiU4O7jbFqCt1qrw2xD0zLZOQZL/jrgXXuxwECD8iy4C7SCeCpXj2BYHbMq0MDs
6x6hCa9jzIXnvmvqyJJ5d8cVOfRZ8+IAswFTyds7XLfn1vRHlhcfmEBFwpb0sZjFSj/XD3Y3xPni
BEnFtbqZWe+FyPE4GMyNeB2a5rtn60up2XxHfEwofpD+FKWFv6+q2G9UfiH5D6tsUMntF5lwV4EX
TMgL7ctXoSzwxpviPKLzJz3ezoIC9lwnwpZ3ProB5VNznEE0h/EdObjFZOJ8asA7goPNjprx7EOz
tBtBUtxZnS3DIn+3fErvTemfcmOzXTB1Ywi/XJAhev2ee2N7S7zsdTIAzYLCCzPVmliWfh7B+KaI
wb59dJceSqbMviNB95gDyokC3s9vjIIFwZT3OLUuYDQAinuSpyR0vDmPia+Wo9MXy0tr2fd+J/RZ
V9BhZBqCIxmg2l0ueTwUk37LJblgQgMYo5ziZOR90y7QJlaMHCwQe898xB2BzgHs2bTf+1PT3+Xt
kaZNhZG0CvZN2t7Wpft9pGNxFH6djM6g3t1ZlRFEPXbsGPx+jZlvxqzP79IMtOJMQuvjTlAVuO0P
zDX82+KxF0Of62HS51qBO9TQ4GlqKqTLvvpWLfVPSCeDU16kXoy+dFj8ZcfnOKALOPOBcPfK9j6R
4qMIz/lbicJiSGR5Owe2PM0nPizTPnfAETHMqm6yHsUbaZazHBNntqbHZip1SOvgzs/lFDuBLvcB
6cTJx2QMqKm69Ut2yUUXnDBUU0Qi5tZuAj+G6Mh6tvFAR8YM76XnVTvW2c1etdUQ2z7IxqzOMszH
rhsHtYfEaMmtyKscFY7S8MSVTRALrvLTWOY9pqyjAWXrAnnPnrfWPkWvOqoFc+Bk1cUtr+tDN6lj
twQIMzCd4K1X/KyLFNHJu2jzMQLv+90O6vGWrgtjd9/9ctmRdKdlK+OJViDr4qGVQoJ2zcAepMoi
oNT2ZWR8OewUaAxRG1AdLVLU+5qUH5U1YSABGxbzUg0Cvz/yCDXRKnGqXJ1KzhMrXTBa2ra9x3fI
v2Xqdcx/98OHCYY2tgNU95TXPWcwOnksQUPOHZVo5Yl92yKQoDnJQNFY+mg29XCQPKvuIAUxeE30
sWkyBHLaAcMUoYht97fjVE6RMNqChKC9ECaXSHko+1Wt9z0Hayci+fobV7U8d+VToepzmlV2yCjX
R+iW6sSzJUm4rH8hHApOQ9ax2K5A+6kUbsZSEkyaC/0G2tGUDI47xI5ljbthwKPCkLepgUaDdI+y
LU42gPHflDUxAeG9b/I3JjTZc1GwUEJBs5tbXoRpOlmIviApQVyZHgqGOJums9yNVKq4avqfqDFn
IDy5EKCAVDILcyhmL+xGd77U861PuDnbqfAf1i4jq9p90NPj3IGR3y2Vii0+0IQ3S5ekqTkF6Gyg
pRb8FFCFiXmqH0eHD0mO6BZivuyiPYT6VKf7WfK1vOJZe1MBrwVLaSdN09yjFAbCfP9ge0N/L6hq
79YixkJG9wBu4LPvjM8VL8B/NRIyEtJ1Ecs9fSC1463cpiVs6wF8TU85kNnxYc9560Q9+PvoAvIH
xEXVWfOgBQEHh0HDaScsrxLZUHoX8A+RD8AKgMYePNE1Ud7rt6yVN0bQd9fBSDDMOfRzUzXhQRGR
b2d+ZKHmDp4L2Nx+2rBEQmcQaluciK/vWtHY8WS8j8kEYOqIar8s5V021PFEJhq6anSANxw1QhdL
lElTBI9VM33nbX+EtLSMRpNeLNn8sgU7dN1rR4IfnoL8uRn3I0UFafZ/pHP7Kx906BbvgT/emcIc
lgnpxqsK3Clqv0+Fe7SyYa8z51i4wQWx6Z1ls2Oa8mhKB4gWZnAs7TjzJL5eZV0cBBGjAzDbERG0
KzuTz/uh8KPO6vfWonaDNewHcONdMD+ttqSxDeVQCDpGTJblwBz30enTLsTb8H644xL72QAagHzC
gVYdTeCYUfngC/6MmXYIi+LXhMA7rE3/Le2dnRrzIcrH9Fx1854OPmQSM+S6zUguMpZu97oeRGX1
gldSHrQBClvOjx1Lb3zhFnHDyFNL1LmnDPoXaHzDosNM6wQgmvGH1vgn9OzfoxskWVagRCx3UJGB
hADUZ7LHnayhlljYzlfyCZzsb7N6yAK5R499HrJ7t7TBm/OTZcnOncN+cXbfOxCDrH+wc/oDmZB3
BMtZo92djApBQHntWAXmkw/gh4YV6S+zhzke9cq4ZU/KgDU4kWY3W6uiR3MPkkApQg9yR8tPEzFz
6Ek7e31ALtC9RLMH7oIpzl5RHNs2QEKcNZGRxcEMNEbqccwcPYSd3ZJoYcHeBflrocVFsH74iVJM
4ftu2FTB66Qp2IzkXff926zA0hh3mnTfezW9WNCuVpAxEXorLbkzrv5pBea4+B94J8U3KJvSUIrn
Ziwem6r/6Jm+tRBdF2K5yZXcM50fULL94Rj7fqL0whUCFmhsfA4lJ/XMU6P9Z27A27Yy+uZl1YUb
51CS8SimJzGYZESIg4A+8VvXAXvRQHrsJW5TP7tTfcjvpMLkuqRyZwnHxFAkonLbHJGR1VEGfizi
W4lSt/TxNJTDLlX3FhWQraKnSIrw0JZIHjy3C3sd3IkTSM6J1454nMbhzDISRDxq3RksjcdJrg8k
ve9AEYbwG/q6Khnb6pKbJZEE8qgue+zFjJsx6Cfhm2d/Ace4L068GnflQHfu6N7OzXCCNuHO7syd
op4AsgcfCr+77bwuJEjDeFHE3HJvAA18m1wvhOgVVHS3Qc9xTqIv3sfKfiibEKIREXuowJUue+TW
+NZX0xmDUDRN/S84bJyZ1VzAC4/KRd/im94wzNLazUObiA/jObeW8W9d1v2q9LMi4h7CfaAG9JQt
L4Pd7xXkR4jvQub7nzIDQdoh9wHPXiyvPxZeGQciAAaJnjaRELHbrhQp7gDm1FqIe6X9Q+awOGsq
H2i0eZ/ychsym5rt+rp/7y37kfv5d3tlSIhD6Y4/2wzyJe48CWiszdz+wIsbdwBFYzX1zz7d51V9
F0DAansp6IxIt4Q4+qx4aJtqTRhf8Fl/Ezd94GP6AZp/4OsPb+heMwxwS8WTduDPquafQw7B9EL9
l0mwF5v0n8Fg/cgGc4KKCGYGdtwGwU1J2pjPPzMq9nYJ0eraWTK3fG9L+X3wEbzl7FYAXA1F/uam
z01PqtCx1V5BLKK77IJK6FlOsxXpOYBGAoKH0Ij+oXWgTiHmN53xyHmd/a3RwKcqAKpAdmPpkbdh
8F9E5Sa9FdxqBBONdN9mp4sxpqEYNN2OlZPI+n20yu8NfpM0qJ7GNk/KwL4xrIUcNmj2o6UB2CJH
d8cnDBgQBFoktuQq12xOFtf3HHo4IXI4d3QHG0XaEomFU5KQBulTCWVsycg+o+YyQmWVc524470O
GpQg8RGX0CuRElE4HdQFfDm6JK86YAhWf7bYh3cLoPHOp4hGAI5NmH3mPDTFa9FJP5T1OITVmH8q
mu26id0VVQozBIvFbq3d0CBaAq8IpKqGh2ysHjuMrkJA7+IGNDKW/hR1+QqmFYSEeF1kWJUNMJL5
wYDOGnaV9awwbYYpiP1G0VNnO7uWeK+LRK82Uuybwt4pyLpawm+H4EGW3UPlOlApyOa9d9qdV4LC
zJf7haFaCUU+dBOPcwDQCSqWgiv4ObQPnaM6AF8NMlNmQqeGmQJbGb7QeBwy6wBEbkFGjIED6IRd
AiLUEt4c1tB/kJY/kCpaGnLbFPWdGMSRW/aeDPNdM1l3whVgUvcJqZAagczsVi9sbl9Q7T4bb7oZ
nRIqjCwq++YtgOK8FOSJSe2HnbnIxYLAE0J1GHqAxy1KpEStmxgN8voa6IE4tm+RBjJ+GDCY8BJC
bg7B+lzHoMI41LvpxPCWO3vIFJGDsUfXme+V17zl4s4qmnPJMOMi+7MDfTJzdVCBikbnjdQjwmR2
7tFHQATddW4KaZp6s6fyWYa5glMAxohJexdAj7dg0OCxb/vXAeG5KvoPn2cXBMCItOYqAkmjmfiD
q9IhWa/V2OYmB0rRGK6jobAeKI+F134qiGdLZ+v43pwdEDjhV6lVDHHALxsZbZaOv3vqnZregbNI
m9DAfKvI/DDh242YKEhz1nRKfLv7lVW8Dw0lqzj5m+qai0ZNvwY1bHSme87Bde8saRDiww0lz1D3
0Tfr79WN7fvEp9eADh+ir2+Hzt3DeGMPegEr5COVpQh9G5gaxEiXxnzWLPtdlBXUY/X31IOkeFGs
igNnfEwrpMJsKYs47em8xogRKZ04B+MrNMiiQCZBRO+kd5nlPTVz+kDocPLL0gP/uYPqpW2fBvW0
pBH8GAjqS2AaeGMTg7VwqBhUZKTY9UCywz6DwN4d52XXSMCTCmJZ7MjapdsBUAH30h3hPjPbSdDM
bowE/alkH7073yFzRcBUt4jYzEO9HL2geWohpw6raXlTECuGXiv3dpZBZNnc2RZ/H0CvD/UAoqUj
PuHBctLjr6xr1gH8tZ44i53aouiy9X52AjwbBLgp1N11bJXdWaXAFUa/IaFCVh97GWQynN6ObA7J
MLX3bT9dWvTlU+0iQa90F3nF5J+YC4MKUdgQr0JS07UmmTvIKhag222LGKtEfAT7p9/10AADG+ih
D5YpGa3UvlkwfsLxYAjdpt8xJw/uB2YDtwsw1IHJIaAfoMuukhlk+1DAhaNpoEYi5ogMIPTjaQg8
ZM4Q35O+f9ItVcnsZ3ni9tlh5GkOgUz2jIzgx5Kzatf1pTqOEyDzrHbgRJPT0PHz4gKlfxWSjj2X
PLhPSUdRZnPu+czuepiEh4FjvXZB7eJnzJ4XS9+ztHlNXU/iZ6/62NGjFedDxw6lrPS+rtssrClB
3NwEYVFCeuAFecKJ8qNq7l9HeP/EtvG+0TaFjKHRR4V5SzH+5loOwh+kelCHgygM5VrCukdIzMdI
yXKIKaR9YSbUTmR2Hake+ZRPmxYeEeBKTXDd6Loed6gwO8Dswy3sPLwgDvLuqMDafWnrnygyfFfz
LVu5esx7UXIswqbwD42Hn1CkiU0tK4LyFxny3ilcfhN4LiKhtYaTBUjGm6CIABpUkZdn8zFry++5
FHiCxXh0wWpH/CbZsaphalOK7ujUnR9nFkgVaWtuSggg8WuAoBP0qw6/TD/cGeFpVsgisnrl7nMP
OScqlNBCMRq2fGKIoVANdqGzpxMXZ3h5PIGY9KucloOsg34XcHw8xQdMavw+V/q38H1Md99E2yID
aEHadF6skr22ObWjwrWe+rUnK4WyyOBDdGUItP1169Nk9IdQZxzgRmMvofJ2eYXOphZQUFJMT2LM
Y2SquRbJXKv7snSeNWlfc5Nk7F4t8uzJ5k42PqQy6LLuBD5tn87vhvifC9tzH4yeOofdh5UaRP/H
pa1/gfMV10sJTlyAO+iC91Hp5lXO7ip+MseRsrMcuh+Y4i72DHsAYiPDZWru4YamLqsYZ3Z+kn1A
2f3iyx+C9vHoQ0EHYBndIiv3Vdo/Ir8WyKDq19FboUMJ46QgD+KMOJ+1RD2sdvIilBbsAhAkuIfa
lwkI6LGdW3uWQW6Ln0DgARYBPWoUHaDB3M/ae54gG0pXuwdozBdZHSFEOPKMvKTQ/IbUIkdM2W6I
HnM7+yPMQuhwoJCipbP+RFqF0tVYf+dVA7+TGaWimojQrpp3EkCfuszxbJPHuSw+7VlEmemestL5
QZW5lGmFWKuBoku7h8qfX50CSYnnQe7Sv9gzZp9A/bTab6AQ5ccUM28PDU/E8CQDkrbCAYDdDr0x
HzLgsi4YOsguugp1f8yKZerwsKTWDy+zT30pH13VRABBwnzStyhyfeNAC8OF6195rh4KoH6z/4ga
StzZ6c62VIHpQj1lun6m8NshKXT5Zf7QjvXZHVJ5Mw/2EQjzhCyx6DCJiyahMOqSFj+ZVqMUwtUR
4PQnH9JDpbMTsqTYK0B2hxATTwK9dFP9PUN8H7HUfZirea+nbpfZMy5GjprPvyBIfXfT4c223bsB
bM8kF/VTBk0cLz9N8yuDh53bIG5kA+B0zz17glysgCfUsULHWWDyZcZbBUNofBFzgGz/O143rcPe
eHZIijGWNux3+OQ/9UUeMU9+dzRSrQAeJxRwPeoxeu2clwyaqEio/oyXhei9kPKXVYDngpqiWugt
a/OHYvDegyl4SXm9X9wadiXt6kQ1IxiBdYe2xL1vMQWR2/CadSgpltO+e8mEhmx58qNA5Qe+gFo7
6vYX+C9Hopv7qTFJQQZUZcFs8AbS4w73DqoUxWql1Ocwj/Cm07YIVDV/rW2b1rr5176/Nv86bTvj
63pFv4chE0pPwkcoyp+KsiU7e8EtVN3kRemmAFlVIQ1qBSgxL4+Q4YqQrSzWjcq6rV0X/419GsUT
6NsBi8AvpzpunEOTLzwGLQCcs5VL6C/gt2yLbRMG0sPRW17AsJ+Gc7kKQGq7xQV8Ddmjm8M/0E5l
vUTFSoe01o/LtPCXZFuVwgPPdltdBnIHjqfepX6BQTkQWpy2hbUKWr7W+hSdNeUHpw6GvS27o++O
+Lzbx/xa3QiS27Y0wwrYpaEnVRUhhFMnnYFQM5L5H4tt37a5NXh+BiLUtblfD/TAhYkwX8xRyyDl
BWaJnbJ5ZXoaUNEEB29jmQ6MYmKzZzAM/t3HYdu87hNWZx2D8Ycvp/vUmj/r1TWCwz4CUpXqxl8d
JTxYSyyrx4Szuk24q+9EsTpQsAMkpkhFV2MKGFRMq1MFjGB+Vat3hVgXsH47QlXSneXqcBHA6sKs
nhfO6n4hVh+ManXEyGCNMa0eGYqZA4FpBlvdM6rVRwOmnTpq8PxomACQDJPg6rnRavebDe3OaUIS
UK6+HN7q0EFXr45lde3I+NGqq982zCKc1dUjWP09fBh9+KvjB129P3KYgNgwA1GrK8i0+oMgYyxX
v5B+dQ4ZVg+RFGYiqDK0kNF6SQubEW/1G9Gr88iyepBYFX7M9suXBA4l9upVkq2uJaC8wagGPiZs
dTSxZvvBWT1OJpidkNX1ZIH9iVx9UBCHhy989UaxIc3OVreUicI3xcBApfTgpJLCUmWBtYq3eqzg
lPFWwHZFwH5FrT4s6Nj3xerMgjdSpjcVzFpSmLakMG8hq4uLDzuXfvV1aWDwUq5OL2OOkAX/l6sH
DFvdYMjqCzPlcIiZg/47HKNKTLNwj7F6+Mgsxe929ZWZVocZH+hiuXrODBy/irv60DirI021etPk
HlxqbOsZ1SV9cVf/mnxzsgHc1qzeNhOByw3yc+9SA5G+ACM9QiH1SDN44gBig7nQAfasvx1ABMvq
ncNXF51m9dMBkjfEBhMTQlWY7VSr7w5wAJEQWPFAU2tuCdSmZnXpKdZPgtqTheocwhs4/TZhuvr6
6NXhp129foLV9YeuLkEVjIAw39kHwHTPCEASe7WZQUUJTBMUVARqcjgK0lN4v6z+Qtu+r+atxV2d
iPTqSeSfl+LQrD5FAoZFeN/058iXm1Z0iF3L9onB2qiExRHM/v4Pe2e23TaybdlfqR/AGeibV/YU
STWUZSn1gmHLTvR9j6+/M4JK0dbJm1n1Xi9IRANYSpFAxN5rzY0i0n8axyWAu292ZfxUu/jLlAWn
JJtQVFSHYdS+RIKc1IJQKgxYSopXvjqCrqQJzlI1nwfBXcoAMJmAmCxBZNJsGJkkYHaKs6wq2DSg
mxrBcIorPO8wnSJBd3LAPEWC91QAfjIBQPVJ26xSVS8Xrd+sPUGJsgUvygEcVQmCVCFYUrmgSpng
pTzeVcroPgyCOzUBoKq0Bj6GfsP2dmGMBUuw1vo6gKxyQVcNIKxqwbJS7eZey5DOaDVeZFLbLEtA
X/kWDKxB0LBAZN5lzgmUKHqLVS+YWfiTH0sgWqmgacF4a6HDQdgi+P2GK5qINPCtDohLJmhcg+By
KdrBFZwuH2CXJchdlWB4WcC8fEH1msB74ZxuQIhpe82+9wX/ywNJoejFeBiS2V2OQMI62zhjFJgF
OywEItYJmlgsuGIpgDEd0FgJcEyJopEV5C3YrpEHoUl0pSrwEirPvqCVAUskt5sUu9qav/k+X6ek
r8+uhqMmPlvWLU/8L14L/ywGhDYBRENxeYT6ka07UGkuyLSyjd9M7R4650SQnJxF4bavOYqPpMCc
NAnuWjf+zEs4bLUgsikjbLZSUNpUcG1asTEEvW0WHDdLEN060G4zFoVVBuwtBvo2An9TgcBheNp3
JMLGXOsWTesthiIvl9ro8gdlk2MIbJcBVM4qwXiE0XAqgoPDKm4VNWq+TLOkWhOgwCgAnM4JzO+O
41vAv4hdCn5dHXuPUxONu9DSs0WdW9qhCr71oaY/dxYBF6sBg+cE+6gbjdWUKM+acluxPisLFCgm
CL0UlF4IUq8AracJxp4jaHt1eu+xOBMMvm4K0IopkQZeSl3UBRtoJUwgMPEGDpv5RiwlG0M9TBYp
O11y/mqIfyjg+SpMzTdoEUTqS9yXWEL5eJEhD364jZ0fnDxHqsbmB1e/UdyNhBMW+uTuHHuudux2
YXg15ROKqe+9Gf+Mux+GYBT2glYIu2vHc9e8z/iflVkE9QTZcBSMwxjYoSuoh3CcHGJnbbv5plo5
WETCy60AJU4CmdjCTtQERLGyST5WcMBWSYLr1/oWCuCixY6SP/ddKVCMvmAywma0BaQRfKS7juE2
5gLgWAuU4yygjp7AO8Jl2I8EPUIBfkzQHy6y1gdSaYCFLAQgchCoyExAI23okanASCo6WILcJz9T
w5j0YE3qfb4NlHT+oszxnidSeANc+NYqWigwkCohgKRLPctHtMh+v3S6ahe2GCn9NP85CtRlI6CX
Hk82Qrr2KbaQ6BT+Ed/2rRkAyuSJS2RMwDNzof2yQvCTev3aTaq3tcv6gbCstzNc7S4iKVVb4TlN
gIcaAs/pwekkZ70jMuTeBg4Q36Yt1X0cljPMYACfnkB9ugL6WQDVWTZwQA14oDZc0EwAQjNIoRbE
0E6gQ9PuLoQkGuC6rQRadOSF1gvYaA11FLvrPVEWd1PBI1VMwKQ8bcxtL2ClfqB9r5VxWGSa2C1U
9s+CCPCCRSkmKL3djKr3Q23RZPYdVp0kUd/8SuFXcMqdmZtQYlo0jllKeMJnSx3Zlbqp8n3Cb7as
W69eT67mH5TgZ944yOvcxFiRGNMPEe/dTTKSb0pCxT2FruqeplRZaYMJCnP2zTWU/WSnWs5EqthQ
dqrTdDB4qnjR5upw40DcAR5I8LQ56QiTbuIAgFnXp1urQ6ejDrW/rqrke9p1Cm4i3140wKRXPc6p
fAMVs145LT99okQx0oMAFXvxPCpWdLj0iO65FruA8AsVzedlrnbd0kccdrDrildVUDbjpqur50sT
zcm2NrVhN/mDuWGTTXJRLP5gbYxJEh7kmU0Qeddb8XqyQh8/IhgjwgqczjUB5ywNspWRa1/z2WnJ
HNIvD07vF5s4715otTt1CNFoqOmhCZBGhOIsctm6gEreT8RT+Qrme7Wc80NJsXqIp7W3yP2ZrX1r
g5rWHbtc6x1sZcciL+yM8+uUhTmPrSo/8HA/hLkTQ7HUjyW//aEWh0rxIUtYyrPsSkIXhF2W5suq
tcxkPzRZtK/ATtiN7u3coIF1rTcHeegHH1ZMaUEu9bqdbjfKygG5uvDzWL0ZUtNapIRBVumIVR22
NmxEC26uM6EHVJBh5UyI42xYtXNQHtK+Kw5oS8A18gjkc51914Ja4dWV7LrIve3qkeRiNqIVgV2w
SlQ4Kcgd1VVXIxXIIj4+looSLwrG6GAERcTPGL+xbeXzgIr0MLA9WQK7q5Zx7S5SbSRgYjukp8yp
PBBbKA+t2qHoKPWtZiD6X8xeUh36Uq1WRBc8Io9dddDHwd0WLZSsmNURVvb6kFuNvtQazIpOF5AI
kZ1OnK/4SBEEj7ycnbtTr90c5pszhYfENYntyH8wIuJWWTcFnLtDL/4nBCMJg66JTlXgdfs6Ulfy
Z48JPx3kWRvxbu1iFlHNVN/lfhY91D3fNK1+0wN13nvkfFM9qsHzOvu2UMeNWg2H0DS9RVWynlHm
7q7N+AEidXzRScGvKrc+lnkDelntbfHafq1sImBNBaqpDljOTbr9jf/Rm3no0hNp7XKFtbNAJxSA
MYBhSjTJHoOV5gdQXodhRCoxrKJajTbmg3n2B9Z6k1dto9B+Nfrma5whhFbUZpOVSC77GQeN3hAw
d+L4z/9vh5C1Ly52iDeSym09nX8GUfFRK0aUddDNfzRDPOVR+/PH/3lsv7U/m7/KmHxc926IsO3/
QBmhDILHew2vz0fdCo1CSyY+CY8Qlc4KxIYr8g4vodKfYYEu4TnnajpXvJNLNPc/nqFbRK403QFe
ojv/L+YIQ+O3+aVMg2kj19ZVyiHwOKWOtGSk/OqNQPJW59qQWD8rozhZuWo8jVWqQ5VG5Kb1tv40
mGRis7lG4yFGVZe8rxzV69y4jKYpssj/9drr5L+7VvO+RUERroK+hEopDi68NNJuH21vnKqDIw6f
+uJgLv+aqDRHO2/HHV7g+ng9pKX3azMyM+VAANhj//kclGkG4M/Dui+a1ZTjgx/Qeut4S591B/Z1
TiY1GOeFFobrwqnjjSARvVolWcRW8577YNwgA2uxKavObII5mv3DNFX+QZ7Zpecfcj+w68W1nfia
cdPz/E4mNQDx6U+LFlV4sHKHWTuMqeZUG1G44iDboY2ACv3A9zKJ4t2Ej+GIjrU4puIQ+lgYieiY
MPd/G5BNebCjujgmZaKw5xan5c4LhuQox1KkAOsgHGMESlO/IVfp3sbocjZB6bu3oTibR/wNaLtY
kmrbojGar55aKfdtWiTbRAmJnbBnuu3FwVcSDk4F3K7MUWm3Q9CRyM7sbFXy/N0abQvvtZ1vg1Ix
H7UiataYJYJNDcXsMQxKYq1l81RlmU+4XrX6c4L15WYMMVtYzblT0/bM79Hv8iiKLn1yQHxXFl4U
B3vZtGc9OP/TRfJGqdXvjBpr58C7oiJV0E2HwU1+Pci+Und41X0MyD6sy0/vf3OXUE7c71jJpHdI
icNH3sTWtjFtdiGmHT6OWOgW/cDCO9bJ2FcszQ6apnc3pTP0O1cjn2CNsb3O3bk466Nr4EdNwuck
ZYc6YPFjIVShHNHHdBkPaLXlWfpx1gxKdOm7njmGrrMLpPCAhqp4qTm5tfVCvwuXss1KmEVD5gW7
Xps6FngkcZRmCB+dMcl3c91jChhV91w2ZOZ6VII/wnFYt1WYvbb+pK1CU4lOVqv7x4Ag5cpvJ39T
AOYhZcfSGLGKai340BfIOPTiNpzC4pa3dXE7iUPlkH0avbrcyAEQpqHG94YRJWythVuVb043nio/
fdVZyAAY8Crhvkhf87wXPikqYdwYXfHK15Nf6KNZ52b90Mx7vArZYbZako4mYu5DnKdJsGqTgu3o
MAMrFZ2X8bjRvttlFiK8tKJ1ESr2EmJajBNCeVPabDzBTTJusxHZW+yk89c+BYGgVhHBTHJRLaFp
izw+qKLp3put8XLI2YOPXvRrT0DusahqyGbYV+5Hwi6jqU/b1AlQGOF+YNtZZ2/EW3dj3I3P7I1u
nbwi1cVzRB546vkHcHPvzUw+TK5t/oB3/pxHC6fW4mPba9kJkYSz4nUzvwSko1ln2j/CaH5Ekk2t
FNcb1qqFSagA1n6KPJLNcmqf40gxs+L5F1/g35YiEkV+rs47HHwqCTtcdKYoPsyLRrx9fimJhFUz
6kI7dH8io033FKWAf6KLMDa1XNBTJrrgoUgCy6f256m/tP/r9PO9mmlOcFcBOzSNWX3q0M9V1jTe
ZVEUP0Em9gneLsnh+utU/JnlAReOyTMsS8CfUzNC/vn1gmIP8hS6bbYcFbZJct71so8rrv0WYU1j
Ia/493+jyutTRQWLx8mtExhdxfAQ6XV99BExriy7Lb8FSX8TjEbwNfOUaG+i0N8EtVt+6/E9Bcm3
Bl3bpo0K7F5p0nxVlIzEHNCmuX0cgzm/R5VsnbOwo5iQI3ZFVribbdtca07bveR4vchM4VLIhMCg
DmCSaYj2Fh6aptfeRw8HnHqEnetOjwSE7h3R37jCt5fN/r6KrPx5Fg5m0d95sbOZ2liH45eEr1p7
x0LbefGnXNn1XW2uZXeAmK2Ny+gp8Fy8W+YMVHkIoldDj1f/8unDJ/rp0+c4Bk88DKii4BMfxd8/
fXNsEO9R7ehHrCWGkKUo97GazK+mOtvo73XWDKVvnLvZ5VVeTK9q6tlL9MvNEaOlcQ4D5XniC7vR
hgKpVOonx9pQkyP6hPcz2ae42T0AqGD3qV/OHTsb6bKcdx2O7eq+Nmr+j//N7WSf2sBED7sHxzKL
9dh1w1FtM+uY1G68zoo5eGnt+M4RX27Lt+4riHnPcqoemu9TsY//MrVwUudHoRj3MBm1Z9ufCgLs
WriqyR4jX1ZMZS7ze8hme76Swi8ZBwtxpqYmO9+gC9/Pfh/9PE8Zow2aQ674fV7hNtqNXnfm0s3R
FCrT/OvBK7V9bIiM8e/917mJX6pH2bSt4tiOGdaCZJq6xXXK9VrZZ5Hj0Id03MlL5aDs/3xZ5qln
+AjY8Ipk48/p9IWXJ5xLV6tf7AkZJdWjhu9QaU5zEoTBIiZSHUUKOpOMLG9refUZhUS9VCxqCMVj
fKeHqv700Zq9wHiKoupJ77MYOxMtMSZbOm+q68z/q+tm8S983OX67wX8C7L1MXb998TYtfXxk6Fz
dvZJGXWLWIvCk1sG5pLIMWB5xwxOsk+eXQ+JHAhSc0m0833e300OR9//l1pyDiX6fn2NsHeijhxk
WsPWTE9sen7/Io9hpOhhbSg/olh9bIk1PbjscPFYEoaU32iWBG8dEO8Hlj7s9z/6Xfqbj/5+xuVc
VPoklhBvoxN5v8yX/UbgvKX+t6j2zl6b4l7hy60d/Y9P7eVM9Kkz2MYYPBMKlAbSuvyMyWF5kJ82
eSYn8nbE2mMIP4zsvNycaB+RoRlDBHVhzMcqTQAm9h5RJLEozjCPb0PViFayqeZu+tBqxIzFYCEO
hh/guBuz4hBZr3hdEfxNcG6rtqFAw1CickyyN8jwFGGyx9eMZfL6OsO2fvjWTdO79t4R1oJWs1lk
Xdul8S+rAev3wnvQAPgjstnVdUvVKb32+a9YdlPh8AxyfygBmiplYaFMW8tdZKFBKdaVL7JBiAoq
vPKlRH3zGE3f+sw54NgKTrYt1OMfzdJX+YHjwb+MepFTP3jBtFJ532Ds1o8Umwp2TanqR0ucGaJP
nsm+62hR+hQc/Jgnz4ZoOGv5HB0HxG5Lx9THTVvVzV0yB+8HOVB03sim8K8+OQXzG6tTMVBKCXIt
rtNEp7yNnC0nesnkLf75nWf/9zfFYXNourpnYvNgT//7NyWw+ghQeWj8sHJA9KB7tCNUpPeD3UR8
UmW7RZbI2y9YG8DKb65dVc4fJo16g6JTFlyCKDEptEF61gibkwk25BbT53t/RMQLg7FmLj8NyKtG
6GVtrUfrtvOUdl/MkZPeqlCFV5GevVRjpO2twmrumrFr7gxxJvoL5AG7y1ygLnjjuuSAPEt/Iifv
3TtOdKiH0ngyKBR4L8YqKmBexxrRMs3hS1Gk07rQlWrfDCXccnFG3O/9LP04u45ez4LBIcytN/X2
n/82lPT7r8eY67g26jFXlRXrP1FiQyf003hS6x9UtJobk6pJ0AzDSaHCUwW9AeyabF26HM1HuZd3
0yowXG+ZXtpithyPE4pGDk69n3IXH1UWWj0QnuKX28gBOTeiEt+qLUiY+SUu1biYlT8sPT8XZQ1x
mwAJuEf+Gxj3o55Xr4NfBku0reqjGlKPKUfmd6oQTO116nHu8dcYp4SX5ppCdfWjkeWYKUmYvIo7
homDEaI+msiwz64R1luTQjMIY6rszcQxWY3D9BL1aDNnxRlutJQKoHJGChwfVy3q0lZ+XMXHczQ7
VRhd+MwO1VSSTBZW44+R68RC77BYB32+zAejeUBUv0irMXxE5hE+6gMImshzBQCAvo8Z7VglK230
z5XYP1pzmG90rPUrkuv1g+yLUifbkLOLqfojdpzBR5swNVtOMVH2KV4cYziPmwc5cL1XJjeuEFaR
8yoYdKpwXbVuftsFI/thceZg7Lwtrdw6aFWw/tQvZ8hBcaWcer2IvGtxW4srP24rZ8h+OU2Pxstt
Zdeny3+/beMV//LOdv/rw27ptulalmuTV9MxN/7+JGrtSI2nJPffkgnTqOYgpezmih26yjbdBuBw
kE0k/hrexJhE+MwekMA5w58m4g4HkXeZLieNYpKceZ0ubymb8pZuad2lugFBAqvNbWQaJXpeH5dw
eZA91EacbhPZ7ZSxvwkG5IEpL3WK44or5DhR227hIMrazlo03V6G3++iEUVCe5tZ6yJYk+3BhtIr
XX3UYsqwrOSpPDRK6h8yIPViEFknCYLr5Os0YCb1MVRd6gWn66gsuZ3supz6XcQLCLPexm9S4BKU
AtmUrNlRm/XFSfbJg0VkAf+KmOMOzrFUp3pvhy1m9usceRZ67fsdZNMrLe/CT4IwTv3nv9v8m582
/w7kTNVk+8X+nyeU4X563AUeQHuvxAiVNMiKiF0Y1H9zkfSi1VnJd8T1XeL2HsLUV9kR5SVT5Ttl
gv2A62J+ny/75JVzhP2sf+NJIu4q3lKXe/1+/8s/GsXOnw5/0mTELYXOD2iGcw5Vs7q/rBnEwoEt
+LUncLPkvoyPwi0x8nd5SNrUegQaH8DoKTCh+FR0zWc7PtiVTp0wMTqSA3sUF5igES8XEHHlgmFe
pGBztnJto3gJmTXLLYAPED2HwNGt9FSjTJ9oAqZ9H5WR9+uojK3LUVVM/nStlqj5U4E6aT+X45/+
hA8xVMP8clCC/geaZm0vu+Rg56b9PtbrPzOtye8RCc2rkQKG/CZZgV4hNoJVL1aOcd8ky0mfrLtq
UruDg5QfI4IfvDaOsqz90HiZZx+/T4XxB1cxVuYa1k9lhI9agi8saJU72TVGY8FCtgxXgxXzjusG
EvpUXaWmQATpRyu8u4qCcHeOOCutQIie5hQJ/l8DY+KZp0qZl3LatV/epGtzEK3iejlArJAqxKrC
YiOiWtOhryuiGwmrubgs7nGUvLWTM75MfZHDorGAiZbl9OJ3xR01UYdzEob/8iB0fmfDUw9cM1QT
DL2l4UdgC/MpBtYNPlWKqnn8PtZE+qn1NcL3tM3ROrFOeygwKpRL8ut/Gn3oHeZY7R8J22K4oZ4q
Fn2a8tCXX4Tx/SwbesTnBpOsv5FNRFrWKYitB9kCAd8/9pH/Z5JW3UHvlfKW2Kp5iXNNk7IuhkE5
yBjWJVaVul64Cfs0WV7nGTKK5XUIAzwLM/WNXIRlHivlpExVdOKstIrfmx7gixWeiQ1pL+tkpMWj
DO7LQ5lk91Q9Lm9ly+dPsMZEb0POE9mAuLav8wttMpY9C9QbE24OlhjOMhszb0V5oUHEaWS/CbHj
xmt990vrokj/vd8YVJZDcVQvB42al/+2krMgmP22IdU0Gz4ZtjHq0aP++fw3dSu9aafGLr430+Cu
cpRg+zbrbuNxSqjLIkpTowQbT/KsgHuA6BaJoqE21o2cLJpYeqmy4xnnVE2dk1dE2a70vPCmVYbs
5IDeWjt5Nj7yskCBHUXZNweoSdKVYMjq1F04PQwvZ5pQAqgW5ejc8kQQPyfCRXFxk+3xqppVF71P
OuX3uZA4O/O2y7CBhIAxop86mc1VLsqWzOLVcz3YITB9bEREwT4GenD1KOARQVBVYe2xvGvPRW/v
qd28yygeT3GesFhNpWntrVQxnlvKifi6V567dBrAYPgHHoHJ19K5c5w5wYfDQZ7Jgzvj/Ud92h6K
JtV2sq/2ejJEpOG3l20ziacviEt94FVEj+QmWu7Nr03ZJ/fdH3Mv08QFtlIiS0RE3ZTBdLge5r6c
EFxmuyzDx2UYQYn+9GPKpQ0l61GzfWpBxVioZjAsXZ5VJ0O0ZFfLW+egtkhjRRfPmPf+viBvP8Xq
sLz2ySnkcF61bmq2AzHe+ntsqPl6aEd7b+Q2269yCv7IjNxYEruc4AJl+TM0o0t/4fvFfgpjUJ5E
pP4wCtDLma15UERy3KBm+2SLfsB6ZCs92Be54uQkkZDV41KqsJod+nGwH3OjiJ7aYiMDT3BDZUPG
jyicEooR2UjFtKD/ZVoQbaoYA9g/b44MVUD42IUFRS7S5eIxybPRgbvu6qwcbFt85X5JFYzGkEM/
m43vSGyavWOq7lEeFHeON/j7KCn00WeG7dQvdALhlzk5wvYj3zzrY4ac+6kp51vqBIks41dCevoY
KvN0E/cegVFxmCywaiYrkWuXjRxyMVV6vqv0wrxMCw07gW0LKkv24TbVVlblVRsVfzgYrCbDx1F5
lCTFn2MbJRld0Sxns96hn4dWJJoxbAIEnSVSZtHsXEu761XzJFtJOBdfAutyoezJ7H7nY9W8D7zo
LVaz/IA2H1egOSKWE1uRSWxAPvWpog8D8q/zrn0KZp7FJdf26brOcKeDNSCKnZUANECWfG36Xlnj
ruSVMgX+yUbhskqtRP1DnYO9qnX2j9+nJg5vH4qS+Ser6vtVBPtj61KhkcxLH9664lCphHMhfiI/
TcNb26oyFfQNA7I9uCNKfdXcK9RrVzFnMcfrrfC2VmB2GeGUU2/147pK0Z1tij7/WIVhemfM7evs
eOpXiD3xwcwIjslmXQ7m1knCfC2beFGjteEO/vYymUJFlLTrKbEhrg2U6sVBkUkF+Vr7Si2ppQve
rvORvZuWYT1OVhWdSlt7kW8x2UVu7sD+NrpzCs85Bol5NqeCPKfckGlU3VtQ4J5isGLz9mlbJkf1
irjRpwF8pcV+1CL3xpt9nj5tN0GRi8x9CPoFlxdVR8qpORjiEFB6loQhZ3ORwC4uccd9dMkzOU3O
kE15UFunOfi+hgMowbQQB5271X3HwO4aRS92UaBVnqf5lAyB/9Wb7kKnj15U3/IPFPWCXCOaukcJ
Jsem1qFsFm1+6HPNP8d1jLnO/pZoEygr2x9vvLDIntowPdRpP73K/kj066b6t/0OMfUbUY4cUxfp
0NH2krVsyhSpzIbKgWva9NrXzUCWZmwajWpQlCos0PEmKklvmteD99H0VQvDY2VGWzkaCIvjZXZd
6fFpjvZ+WeGw8OJqja89B3FouKeRbTglyofqDwIHeI9C2z/0RCafys7nyx5Vf5iJYm4h87ebZlbL
PyrdPEW82R9dM/Qul89i2qfLob6vZD9LJZPyVfExqlxkYkISIQ9I69CaZ45xI5usBLS7BnCnbE25
A+ZgZpXodmCmnO4pGjFM4IZlmRCSbFyNSB6pnkYCS/ZZtkYGw3nyuuK3abn1gtMXIWdYKt6DOZ1n
gnvFUvNyZZXoRrSxjC58VL3KF4OV0D74vX33z28IzRIRg1/fEDpbeAFypVSXZVvsKn9/Qzhw8as+
76lD7ZsCi9XYB7WncKjQsnO8nNu+ZR16R+ChQ/yvlhy6TJBDl0Ntldt4AEZO8rPa9lmeXgLRpWi6
fDbXcssFWL3cFkqTruWGzKbS82U07rPiweOrKvULUs8gz7qme6oduHDX/qsUYvhrUM6XmojrNKh7
T/HcnAsd6kyeRE9JPK6dPptfdC3lO0VVAEJc9fTiDXgTPWK8t4k3XKYps9OfIFbrS7ngYXWhbtCO
A6kViQvZJw9yrfQpo3Gd/Gk59al5vTPvKUhfH3eWN9XH/thSoPHOw6gt85JZNDxoiMKfzdqq1mac
tkdqD3hHJZhCCuzF2Utj1LfwBqdvoDUJEFMCNDj7vEsXGkbhOwzc4+Ogqze8tacXo7GyHSJN8gWi
KafpSJmOpdbniwJiK2HtMbu/fpaDKXvqy1HFHiY+zIZdjjsjY48rp8hDKz74sDqfuqFQb67917ny
npcvjWIVl/vFxRQtqX9RU8g7Tc5EorXV2IB5ohBQfJYHPYteZ5zOB9nyB82995MX2ZDXhI6v740W
o/S179N9xjxR/2WJZQnV4KcvEEXPiMogMjJEWO7TTjQZkybzw6J8bUM9uyEuF55S04OT1kwZgCqo
WlYDt2AlO/9uWA5AhPujacwSwTAbzda76+ygP8tGghd9pQNd2MqmMnbaSfXH82WTix7+Z1U4wbGv
XWs3aVa09MfRGlax1wUroyqL1VBP9o5anc8RW581HiUEPPPs3VnmoDnED41nhM7xjeyzRXwgnhRy
cX61la15wuqA1g5t09CXzXkqCkxIue+ZD0jM1/KHynQiD2pih2u5W/aLLnwgkb20i2B4lDNq6JAY
59NiL5uVY7s3gwj0yKZmpCY+a1FK0JzzY2mOq5bV0q1N8aPbuWqJM2qhSvXYDhJt6Ha5vZJDsIle
vdI1d5MXUIMhCEJgXXkPHWXUzqHT9KuZ4M45SKZ+NYqzWPQVvqufwF6xbHcSzeMdGZFKB8dMvWfS
JuLQiPyS7GfTdy9bc6SuyWN7B9dOnPtZ6f+Qj46mCCjYWCrZFr9ecOja2N6Huf/QpmNzkpK1Vs+T
fejVVLMSj3R5UDL/IUmc5iRb1xlS8iav+riHnIFmHIwN3/jF9bkoH3a61oSn1v/xqVs2nV4PT4Sq
ZOP6yJTPRznmdz+uD0t5VpmnvnFr+1Z8v0s3FsV02T6zb0QMEwMUVLUCsYybjsT7Quqjq1YMqtHs
8cZUxTcANfdeavp/2u13HNc2KgitXBcoCH80rfaa217+B0CXYJmT8LgpdTbUumI4p0mPwc84rXOK
LGqq5VrygDnNmFeh6JMDuftoh6wBe1URG/AxiJd5rwfba2huzNMNpYVOfAoe4HuYbx8naRBfeuK/
TsRQqzl3StgnB5tKzCdq8+CCG2pCi52l1GxF6PQ0FJyrCnv+JseW/xDFlnVTqiO4ww5SzLIxwX0r
auJt5OKAp0/9EE93qeJuK0Rsx+vzz+H/xob1Xra8PPr65tyGrrJ2KPO5x6edfmH+i+ab3XfgiwAZ
NJI9luk1N45aGuuqJofkYDGTMwqq7qzauk5OWdc5t7ZvlsukcvS94ha8dEVh6FIUhq7FQTavhxoe
3WCk4f7aRQHVYUud6Wj+qtVNtyXgvSb4Ft7qZCPvRzLZ+O1jmy3V7Gx7x1Tw8LpxvwkrG3eFGDbF
xGgMY3YeAQnOKt662EsWRm94WxC/8w1G9/wIrFrbdFrNh8c0TWhCvvNcOdbbOFv5zzIxcGkg41vM
wQQ1th6/Y4WBddk1/grqLfqvvqgfC+ojerpuP6SNWz1SPBkUWZckgLMZNCAH3PmKt5GDsgu3FQZK
ApJ72VTUlPqtAUyQbEjgj89D+pTGRnqaqxIfhIUeFwSMCgk9Ix0SpiRXqKFJDkWeyk55SMTw5UzV
rWIB2ON9uuyUTR639tY1gYMlfqgDlTTrCPps/DIW8Ov8KvPuenFGHVplqSbltJYDQ1KMO0F2WbB7
oayDH/FYccfpRdfJnI3OM1Y+HyMG+MycEE+VmTH1pHMM5Z2lx2d5CJSnzq/8e4Wg87m18vGgTbjC
PsaN2qQOcTnqK9mnq803txjxegMNmODTTMAqhgCEmpXZK8/Wi2M0qM6tpk3Dkk9K9vY3M0r8bJuh
NF8MtmfngPinwSbjSbbwkv7SEmOsNEg5i5mFpgCA+qslxibbTn5C2kLzXXTxfYdm7vJ9q1KC/iOR
0MtyXQqP86Y/+CaCPb/MsIFrylfLbZY1/usvvtL0Z1XL9/B2lK9mbo3Hyki1xSBmxeXgbOMqLKkl
zmgKeHYVNiXqYmqsL+St9SJN77W2+2Vz0A99sa39+P0niAMj27ZBEi8asAXHcdbPXebMKX+ZKF33
NqlebXCbszyQL70FomsBu2nuLClcqRsyZGEEgdUTi79LZzpZFKDUSaX6QcwrzFbYm+lJfl8afY4U
VhnuYL/Jnmv3dWqoWdm9HEgzDSZGyMJZ8bZ9iTdiFxWqviZGDkPbttOfDeIyrfB/OpkLVd5u2ycr
xQQ5aN18HEtNOwBFGakdTfG+1UXMk0Y3nj33T3j365se8/613xyN+FTM0JiDzDjz8lmqqeF9kZEW
6mIvvWgoz7IV+86L1vv+JS6jEwTF3VdRb0kEbfqg9fDozelWNiPws9s4cuCUirvB65puHF0BFuv6
DS55CvDoukeu2K+to2qSWakdzRZm0fA7372HXkuCJ6x37q7UM2OjRkV1gi1vLNhNbxvMsD+cFD4g
j+Du0Z8DZduFE+V8Irs/p7OLzVdMiROiLahAXlNQz6u5DxGv6Vn/LzFw828Wkw5lPDSXshUU5tU+
7cYMdJ2B5pXpa/Q/lJ3HctxKFqafCBHwZlvesqroqQ1ClIH3JgE8/XxIqkVd3ZnumIUQSFekikCa
c34TJQsble+rZijNfdLqCVaKMM/AKbX3sq50Go1JH3E3WZQNExK6f40aFG03FignPlh2j7DA0h28
LEG17/MGbEV2M9RAXxONAhLgGG1zlBc/s6pNYalfJwXVwDxwhhICH+Q6db7ILrJo5i3j5O3n4D/G
yM8Zxvrtf5xepQVw8Ud8U3dYh2D/gIMGF/2v76up1SYUmSHeYNmiMx9oMdRW9hPafJF3yMOyrEdq
e18jhbmXddgqOmeBnhoM/M5rto5iQG+eK7skcs+ZbjinpHc4AhWziKWtXf666zF7+6gbft/9//cT
sJxbK5i2Mk9pAQhehCaBNXkslsXARPhfJiZlMTGH+I+ibP3s/Dm2LXqIpf/s/FkMGtiF+HT7S3XQ
nJNbFMUFAYJdNiM55IV4vbHMPMPYEoANH1LEw9EDMpamriL/kYzKAoxye4Onoe/KhENk6JoJ5wLD
QPKut78nOCPz1/6Oliqc6XSID6XGlGyXyB+4Q5q/BiNTvhKidS2LOXJRSuHkN9QrKpLIxh3m09lr
lBbNDp96qAayGOO6bgt/PIu4H5+N/EecTfmrwAfkaJju/GTz0TANIuj/aoNRI61ItS+9MK8BjKoD
xwl+A/lhahYFG/kbfBRN77Fw+/zW4QB93/TWXRZgam9ZcbRHnUZb1QN6SFla+tcIkbKFm1TROy/H
W+QWxoOhxsbehvu/aay4/uI67wpWr+9/DfQ77eW/P/+6PWf7/3z+CVHZugMWxNJV3XQlOOqP+P5k
MGui0JQ92wPbjmdTc81NE8aIHiA71fXIMCu24R/DvrqFQWBuZUnWk1lzcIuaW2UZNg2Rd2BgOyFM
vGjsmDNeaEL7dnTkuXCUbPZGbw33VWWX1wITKei/472syouh3/RK3q5kUTaYSO/bdQdgcB7kQM45
NeH0JEvyMvhaCbmLqEoP5Hcd6/CWnKlxtkXnT+shBirJJnMW/W3TkwUY4WWIQCW42fgEki7YV7GD
N0DfW+0Mh5qWuum4K/kSf7zy8lWO2mJrmvUx6FS48SxL29ibmotJ0uvjUibIyJmplf7REM5d5Ahn
HiE756X9jmDMLFtfwo/rZ6qtOtNv2993tWyRZRK9rrt0XefbUHoAvueOyqDetap9/SsOIIufddGI
CwXWMrKmYDk6f4YMWqRfyLKhxBq6eXiAAaI84+D1xWTuv8hS115Ss3CfMt3P0F8PL6SdlGe9C4cj
XlPRsrY65RmSUrS1CbXiqsQaBwEnv2eujm8Nf5AwUa0HJeZShQLdAcRXj7IuKz1oxdm49eOyPyoz
PVopxv7opbpbLj7L8u6zjzv3lkWOfXchQWa914bdxyEOlxz1EPrlk4RRSOCEvDNxLVkMhQfSfCw5
7AWEkj/7WQUMsEbB9FkbNPOiRZa1tFHVXxtzUV7UNrAuuVneZkTvYawthO3aPvHPde+jvPKPbnGF
avAHO25m/R+Tpg4v8gIVG9OG8SoLRAMJOxNZfi46fdrnk8jMhWxxojn5ZKIhL4toQKZHt43PzDjx
/YCWfFqI9CpLpZ1k5C+ieTaK7+UlS0lxTfCr2F78p84sQ/bypbvMkj485/X4vfERZ0zs0pWlMoqN
p1iZ/iiRc/soNZmuPyWJ/0cb9H19Reg1WwWlPR2sEO67vGvFMH3cyTp4mMYCnxIA+rM/sGO5KGMV
mk+6zelgbX/cI4eYbLMY1QmHnPfercZxP2RdetJdHz6eMvp3ncjQBiPVeV9kZbQy87B9yq3KQdyP
vMXQRz9izpPfrFzjcR5aGACobZh9xKGjgYvtJEEGqTvtTlmluO922Pz0cU1/zb3CW5illj0VsMRW
vgsZ6b9PqP9i7roGiCoOj0yqTKY0/wWvSpADzVHMcZ7CFoEUufSKsquWqYjTgwxfDwpM1VJV04Nc
emUr3P5fraqW/mr9HCtbMeZCr7Eob/+38fLj5IBQB2Fs1bU+HvMKJQH8DPPFX4wAbLQiwWEYUYGP
IJYbe+Jk6lGz5Lwsnsrar9HitMWTyaG9A+yqKPoFG6ryZXKj2SMYETRZJFKort3AGJkkabUDByh9
1VZnhNyKF8tCpGes0My1cFoI2hDRNreptlav20/dZN3Lg+CIsQVCRlHzEAvLwoJHrbZBGztPSm/c
R1ClkOMOzR1ayQe1KfI3SwGaH7HNPZtGrh9DT7fWHkKez1ljP8so9++uWYP5guyKBAXKNnNX1xte
ClEqKxiTztl0oSWvtBTuVFx0x9YL2dMhcuOedVKwZ6PFX0HPpnubl/JdNRDdCQf7zSgRe/Eyf8Ie
rIESadv9Ey6u6Fh6eveQxvm4qhBzuKlKiwZxFZqXPFf6DcDg8M6vS3U7dGZ7QvrV2enK4B0818kO
hlIMe/yk1KNbVcVutCEDelERbbuhdO7K2FLWtjtOVx1YMClA0aH0V2A+FrntY1PrnOX1XDwzcRmL
DheQ18hBd6UphfLFmaZX/if1NzYAZ2eqnB8W/sAmauKHgKTNrhL8d3qkhC9jMVa3vKzeh9jQ3maT
sFUTaBXuzxAhtVQsZH02tHhpgG3bDIGjvoWBtQtTN3wU3WXg5d5P3hjvSqjSMKWaCAuNPvlmYjgU
VgkmlxUKU53dlU+Rn+IGZynGsa3y4OwGVrZO1Sp4SYT9LLyp+6Ek8abrLHNj4zKxGznTLNGx6e6z
WdTW6NT+6IBmZUIMMDOpw/KhyVBNTkMje7eqaaOVdYs0SpQunaR0jyT+nY+LLNrk69iDWCGKIzRo
Dqp+C3mrZjG3stPHrTcPN1okSZLoj4+Rnd2oxVlPLdK9rnjNahAqsmNqpB86O9c3KONgHZFhjtMo
Zv7DCN/EFE7f0DNBYLjO1ZteTfkO+Vh3Z+KIcFVCTMUC7AHem6BeyjE5msadrhZPZYa6cMejd0TA
S5yxRHWA8IYD4WhMhfU+xrS9HB4iufuYL8a8S5H1dTc9gPz8VfVZT1byQZZQFUeXPY2aj8/4f9bJ
D5E/YejT18wAJmBHrrWCZhI84gTW3LUoj+lKHD7KKtvCNZxkMvgbqlwP8S0LDPJWNsaWmwEnIxkg
i56ODitefKajxg1iQf0aet2dkU7txcZy5KENo2OQJoSxNLwgKs0y1v0c1YI6HS963WsuFepCD3oX
/NGtG0FaZt6LkSDKUhKmyzwBilefNUEGC+yavMhiloz8/SwrR/rONpBoLoJrjMeO5ROvlFWKsL4Y
qtf+qptsXnRgANVatrLLKI//fT0hzvDPDboLYcQF5UlqlZdT09S/ADiVkWdTEef6E/lPkjEb5lq8
pCZ3axN3u1XzQo4Y6Bba5q/S3PZZmttkz3Ze1od/9Pz3ONmzmT/z90/4PS5KlHorajzO/d4nneLP
Ao+2d1KbHsyka493skZeRsBSWyVGUfyvhgZTwv1HoNh1cZv06vwQJhZMhjlNxwsO/qL2d7IkL2YT
WVsmCjRarRD9+L51u2XvueM2zPE4AbcEB7DzLs4YoUdkxLcoj72LrJJ3SkS6pgsmDJB+NxDdqjd5
Fox3sdeszWzSr/gzARzJqhKLR6UCdpJbD6EWq0f2D4i0Z/o7Ks3pY6S5P6ZWD59qrRebMfe1g+Yn
1h3yvyGI4aDBlElgPTQgfGC01r2Dx9VDUub4XtrFi52L+GR1xAZlcQCvyKxlYXg15OXLiFHLUtEO
doEWppLm2YqYlA7+vrB5zQWKm/iYT1oDZLRRlD1biXbdZ5Bgt+M0fbX0QizGpG/XRKbdp67U7w2S
rd+ynhQKqsr1A9Age4cUM4vrv3sQvyxWLZ4vWIGU2mYqW5IaepadOQOX66xUs2fWsu8QRfwfuv7W
tV1zTWEWmzt8+fCjM0uL6E1qXUVa4EFNpGQN6cJ6VUtlEw5W9k1TUDaXPfjt1cNMOls7NukrrMya
ZZglbMFnyC8h9Q41Oc7KegnIBcxppLji+AGR88MuOEXjcBrUoEK/hyxKqzTwQZvYQrlD6D8Dzbwj
zJy81/CCFz1Q2Be3xMWJTWnyOPaRtsI0Qr2mkdducqDjZ7Rpx93QAmUZoz48+oNV7Aq3cM+EG9NN
XCMJwF8MUQaDhPIYZHazYQ8+nY1qhBuhF8Y+UJXxNRlYA8rBI2bu1+cB/sFC1pt+M62McKDbPHEN
FTalv7upCcKs7TyDKSOGG0Vr/eqWoPmaJd5PlvbkxeQrREShfguQO1inGKmgzFTVd6mW+JBfOv1d
Q3kkUO1vkaoWy6lNPJBRnn5o2jril9Wrl6TI7jI7sb9lafojV0T96FRV+b+2vtZfzAKmKk8zTF0j
nKZaJnS3fyJB2iHRHLTlxifQOt59bT67RsfEi1zGweo9GANpUr1lUVwubAULql5Uxm3QNaQ1qE+m
ZN2PAglTVNGMckj28iAiixHOE38UZatdtMcqKm/e5KYnX4vQ90K99j6tUTMdiHa8Gdl0iyQu13P3
peVUPxsbQekxdV8UKJ7LTGjZnuTPz7Zt1CNqTSRvunL8ghLlfYNi0EM914eA8VeBaYxf+lMV+8UF
QbpfJ/8imdSNmIpgKc/7Mi5Agms4RzrubHbqmO3WKtR8UVlGvHUQ/5qAQhbkKnF//BVMd4S2Ai3d
n1DTCtggqYM4ybIfFOIUDBa+b/4Q/90gu9jY1LHbnjuiUjesM3d4ak0b2U/QhRJ7CMs9Pc1VCqSB
W1g6KRITrkCsS1fPrtOiJanOh6HZUAONjOF7G8Fc1QPrp+NW97HvKq8ICuCSFdfadYKszvyvEYv7
PTzywYzJ4XxzH8MR1jJ/1lF/PxljcOlMHzHjaMgvDbSCRRHY+WtdRy0mt3a2VeoG7xHHfut8U1yj
aooePGizsnr0cneHeAISP/OgfOT0Z+q1fzJDtX2Jip1p+NmrV5T2kSxxvZTFQRkf4N9c4lkQKK/9
Oye2MP0TbXoUGpqlsj7IgwuguurRaHGK9SZtoablxmxbtuDs5E+Ax/+8fNapTivWZoFJqezy2SCL
IEXFGs6Ss8pFM64GPUtvXpWjlkqil4Uy6rcRhgWnoBqLfcK28JCBXDgavKA7I+46NEIylL2DHspE
PGXrMYuH+zT1kKpz8+YpaQsfHw2te1VDzK+zeDS+6v6cAy6LH3WJSVvi40QxWVvXAou6MEYMTpIA
mzzMwI6O77TfuiB6MFAji3/2gCn2MmM2NOQF/C65qXP+rHCjg8/8dpNtZHQ+2oyZFP+7Tebk/j3O
S+oQvUbsZ4KZPeCZKAj6hRfuJAITbqwxq4pCzpo50i1qkRtTpCVQV57I7gEpSdxZg+AnTMV96BfR
G7EQjYliSO5SLzUOKtI2myzWnQe3JosdIc3yI7aXvP3O91qr1MWk5wqar1OxbdkMoB6JXFJQsd+s
9HR8K6oAwcYUl2M1MbYOkbwFgc/gJ5BTlJ2Nn0rZvmGXqb04XVKuKiRgL+hDYqRn6OXe8Dtzkygp
wnZxOvuDN9rRqLXorLZVugb0lbwYIn1GB6D7Acpl0yVm+HVM0O0o7TG8QoxgpqnycBfUvXFzwiTk
WKxb7474wpYZukGaG+IcSZqCPZQCxVdrKWa+gmwAEfTrztTGAX0DhH/V0bKvvWjf6tIbXnt3HDdO
jgysOQOxWg1DyU7xHsdUVCd4TdFSbc3otSti4Go8HjtZ9Kb63DWBuMeMp70JfC/0uRdSoekOKzZE
aeYiwTsin0r4LbdEd0c+ga+ihIz0CZKaIqRV0ZQhlv8bbDV2KAQjOXWRVU7uRLs6DbfkCoxjmgwQ
LgLH25plw8ygIprZaN3s6ohJslr34ksblLeYpyNYlMo6SRJcyvMYgySjD97bCelcJYiw9JruPjYG
SvKNifrZb03jpWy1addlebiWRc/ru6Wi8KZ9tPLfEnlg3/33fbr9r7XPNgwCxDoIfs1T/8Xw1sQE
RdqulEfh4WuT+4axHKupv6giSw4NUp4b6JLFo1+wLTH1zPleggvEigyLo999R3iN+zG5Y1tA96jM
H8sKJeWyMOzP7pmKIpX86BSC6+Gj7/zRGC+gVeNjx/VB1M6n2dw7TY8tEd8fdavh0VMkX9oGu42o
jfOrmdT6ruDcsQsKLb4GsEYxty6CLwi7HwM25XJQL5yEKCg4jQnchD7PBKWVRY+ztrU+Z+dDBK8e
Eyw2JDNBtv0ujcn0d9s8DpSL8z9kZYDM/X1QgnFioGGg2gb/QKD/c/dB+MY3gRM6jwap3VXSjUn5
klr+AohZsgUo1hxdVcDNlLd1RzqynS8fLUg9e0tZKdKGTOQ0ussgs0CS2tNZ4lwkHEbe/YWJ+aso
hDWiHtHa5g6KFNpA3ewNRj7twcHWaYO2d3fUlMo5tQle1g3SGk9IlQQYvvOFZ+UJMQbruxyUKRGD
nLjbqAZnfjmoSQJey9A1npy0ZKufXnS9DL93QqxdJCYxWQqKpT0ChoHd99XBpPPV09pmCZfFuldH
3OaKJLLPbWwqO/iH6h6N0fBsARfYmJNQDl5oPoc+UbIUkM2JEJ13BB8ab5RsEo85nDjWSjH+8IE3
tyYPCHg88B59/CQSz1pHXv1rEIFwlL7nQRxbq9+DRokUqJHqqlHw/BgUzz9pPjZ9/CRfV8Sj6tuk
SAAAbXtztm0G2Bk9T23wVcMs/CQM/FSmMvbY7BJlxGq0XDfDEOzMOQZZGWqxsKrR+4hBIi+1mIFJ
T2VqYfoCflNRNPu17H82M8697dphUxNP2blW7MzVlREX18BMXpE695FHg6vbNPoLMob+naySF1n0
snRD4D0+/VVvNrq+7DJRYzh9n3TGiDopAohkQCATz3efF1mXBH25S/ITM5Tbc25TH/JkBhynvnXS
Zgqqg9/3Qscs76T3tv4kW8dOxbTdewjqodnrWWLgT+1tSNLZD+rghLc6FA/pTAIrzMbbaVlio4yq
G2ulQw+oKOt8J4i/r+Rbq7ljvvNGt/soytbMLve+Nm6tsv1pzUezAaD+hjCOTRVFJdbOFfjPe7/4
boyOcmpQ2D7LDW6obSJHrc4fe17dtVssYVAPXxGcZjuToO4m1Bj1tCYEXc1WjVNmsEKuIDyVcZg9
WFP8Z/3EqW/Irexh7m91mfdm6qd0BOGftXBsky5cm/I3irJyz9bfXQmjV3FwsfgDZOG0yNrWPbdJ
WDwpbbCW58wx78p9Rnx4KRK9exiHsNyWrhFvZKLQTzJjkSWmd0r4yl7y+Fqq2vgM+uzxAwQD1stY
TYaibtgbO4fM75Sz27ccL+O2erXa5BrMsc4+Lg92lltvIhligOJedKn8yN8j691so8Az79M81Rcu
WJXvWIaaSfMzh+vwlhf3BIMLSIT/uVGUv2v+bMpBL2BN+EefvGqdNxVyn0w5gH2Zc0QO4db5ccob
UkZ6pAUb2YqZN9DL8R2rXeSLs28+f84lVIL2LsWE5dRZRYT2WuO8dfg4NGmrfctmz1QPB8NbyiYJ
IKDtbtJIeE9Z2z/KHnUWcWCN0qe2TKtt5+bRXku76r6bg2+yh4PwRIlL7rlkTlu1s95IPV+ECplG
DTNthTD/yLnejql0bGOZoqr/lA3RnaGn1VUuPgUlBpRX+RjPbZ+l1gj+KP0e5/s8iP999fdU59/r
/wy3IfOjkaj7txaSYSmNEqjD+Dh5h1rRRLePMjBJnmf2q76I7aMkRsi7oPM5AJlwnFZx4ytgyXp/
0+XI/kBOgYdPbOJYmYNL9lx9TJwEg0Cmqu1otvHG9nOiwjO0WIKM41njpkXIOa8grEWIGh1tZtZn
x/SeczfRL7KkBgNuDvFjEhG10ezcPzBvYwCZO9YbjOvvDkC5W+k1yl0y9cMig2F2N3pKRQxiuIVt
30D+675bKNW+1UTWwC7040tsdNEywhkgGQNxV8Sw0HEXLu5qz/Hx8xXNHgvHRcYZcj12Vf8w6Op0
SqPuizbp/cNY5foyxqJnY3tkFUrWuu8eNo0G390u0WJlV/nt+1ijA4eWMj7qGIWthObVXzXe9lwv
nRdzNP0tdOB8a1dldwvt8pwC5X1LM2Ml80oqxj9LzGXDqxNXNxyW4/0wRPbRz+GiyAvLJwjFokJu
beYJzbyq/qfQWW/J0ESV9xoWPkKbhlofXWdsL6TEWEqxvsNJARfcGk/TS83stBR+5W5cAaJgAWsb
1aYuce5dX70YwOC+agBmFriFzMYoZcmBZ9wUqvsSWnn/7rp43VRYMK/jqcMKpVa1JTOAePFsDD1r
M+y/BdDh66DCK6czHvvc9H5avXLjULxryc6vRgfGwpjgINlq7UJkobtNzNY7FkMz7GxXOfhTka+1
ERZ72vQLFXT1y5R32MOAi9sUfscJPG8vegl+rwF0+N4l4uqSbP1ByomYjeMtAz90N7BBWlydGqDc
sP3o8B9aYD5OPbSF9DQEYXyTl6pStaOSAOGbqxJFqZdR5lrr0io0DLBH+AeifB3c8orYe/kI8PZR
q730goiS+lQo2nMRaM6dHpfNebTqK0QAIP1ZHHOE+xGrXX5So+Deg9e9D5zZ676OCvOkEID21lNo
Z2/CJmpcdmq9kUVltC9uyfHQ1ntx19l4pQdKnr+ZCp6ctdqFR93rzsA0XfDPqIhJGk3ocVeh2ZSU
YbDNRvGrXjYmBDEJ18xdZBm1sS+KU+Sr3h+fyIzklyqNn9idNHfjEPMmTUI7CNH0z6rLTA00PNsS
JPnOuitumdsb52FwdnjEhdESQS0CeiYQ9LlRRY7/hreqcyin5J0cIz0ECgl7L0KX7KMcoYi7GGFN
Lvwh79e4xVbPbGO6NdB7lrW5aBu2t1Q9fLZz9Jk3kVeOS9E2CvIvtpEfP24ds+OYxI7LXYq5NglY
oFxMrUJxV4rQw20VD5oxti5u1m45fa5Nz/heCI0dXty+C9Pqr1OblUu9cOtNHb1NNUDfmJPO2MXN
T2E+CNcRT00Seif8PeEOYwK8GhI8G9F7r65I+Pk7VWBuWPI6XzOlK6/5fOeY2jVj0j/KKtnYF022
FcIIlrIIuCm7U7T6PSElXDSO9Vgnao+0PwbqsuhEwUTkLfkaK7n9iLawuM+6YpnOpbKAsRkFfbce
1EE5TfMFNNmvuzQx+m0f2l8/qz67ffb1YBST2uCn/x7p2M0RFO/Pyi/dw4Av6N7tfA9K6JDtIlML
ziKKmm1YG8kdqcRxY5RGdZlcnK+8DGkPIYKrx8q8K7IiO6JH3B5CXn+sAgr3ZKCUutFHdboMVVus
fcAf992UID1tCvWxTG91bYE6cKfshq51vOvNut7HgddexqiLiHul9Zvu52e14k1PUrAFWt58iesO
SyLHyK4GadcdQCp115ddsqwKHbodUdS9ZvNpwlLmJUNUS9cxNGwWrbWu1vYPt8weNPYQy4ao4FUY
yhpxkfKnCaksZC58C3p+QxEmxdXKo25Xj+2dy6u0TXQXt0ELrIzquMQW7FB/Ua3mXbez+Gdun0Fp
IrDAy3y1yT2/OVioYP+jNffIveDlkrbFyR3qoxeTE/QDpcFDFoAqhh3Je1UMy7Co0x8q/kILD0vm
J9s18w30wuI4TYZ11sGRrEJPaK+mGM/EQFwSlZ7GlL1pVLv6GoX40ApXrQ6EKZ37vBE/4FYwUZK1
50Tc2Les6eKjEQUo+WX9eJd58/HFst5jrQygZbR4rIVtt7UDtkhIFt1mf9lvHjA53PSy8X7MTAHC
vMa1Ou+7F8ITJEjoEc0bZ7cqspsumgIcQLNTnSDFac+z99oUFyf+lsl2VFv74pmVt4rELFc1xN5u
1KPxlJfA8YfI8x8t02yuTj0cEpipwsD9tCLdGwxteo4Q4NuSQW7XEtwV8F3ihx5Vewn96hA2Byni
tohaAf1qOoyQ0DR9VNU+v1cxATTK1jpadY9BntmLfddpwXpytfwNIsYPsi7DtfKgdhRG+D2a51wr
8bB0UsplpBOHHT3V3vdRj0FSn+T3gS484pVd883GSx2VYu2HQsqiUiPnqVIx69G05M0d63JV5IZ3
zeYLBHtczmIeVN9WdGVBIEhbTbVTrkO/9q6yo+fZ5taNcYj4rEPZDX6LxcQyf4rsllqDfXU/Pvvj
w1Jb2wagGnoxvYwKlr9uUeZnJSAACGeQ/XNvpCcv9r44ieGdI4Pzddg8TIYRLfVJR7DWg+Ve+wfH
c7VzCUFlOaGvDfQEUXwvxQsq79PxUs4X7MzGLN9wOI52JScFPJE7/QW5069GPQw/yc9NIJXZqHDa
rpU0w2vHK9aC2DfTZRpMByVlojYV6zYwj+zUUcGWpLK1JzsOnJ2fKDkijTnvq5a+AoRJV5OLQ62h
luNp8kGPZIblbGLbGNADSoqNi3nwqai6rkdJqXuwCifbybrPi9a4/+nSuDpxNQf4F7sRFAmb5sVt
RLPIHTN67hF1X/WZZVwTL+SIChYCPPc2NiYoAhASwPcgBCn0SiymqD2L2uAISITqISPPtICUPexl
nZZhn9pPLaRixb3GRuT8IBeFC8Ky9QP3PjDYJUe6+lVVlPEA8nQ6mApMkwUemXhPzaGJShFsBJNX
pYnSN6Hi7oah8TADl10C4OEBVHqPzJlhL5PBrdc2GHorjEhIBll0Ussh30dTzvtQqsqqciad1J7n
34+OuA8wOYcbHYSIAykEWJJu62t1cSOeBiVZwctK0Vpo4za7Jii19ZNdjPF5IK5BKKStn5KycO+8
xHzk+bEfpxE2D3Tw/zDEnVkt5pMKVnGKW1U9CWBJEJcNcdX4d235TRbsMFTXhSOSlePU0zVBGmth
aO0AM8GYrh91qH1s9dQFezF3kQ2cFtBIUdCAoaYUcbJUrZwN8KyRNnhOdeq69NddapTJGtlIC5kv
0WCyOff5uGUm4rlK1X6DZD66iBaSk4oKtTvTPP8sLzwG3r6DaWWgLXK2apsFIItvbaUkvP5Mi+xg
nZs24enk883sLdyFbrKudYuDnjTTrohdHYEpmF1dapOFH1CDU3M0VaoRJ3HfuKrjaC0NPwxuIb/1
dnTGdKdwtKz0YIKNNs4hhAsI1lVvqSbLNMhNr9Th4sTmWw+p7xz230ejINHajeXGcwncllHiHBq/
YS8232kJ8jkflbIsL61zR5Z33PRd1K4Jm5KiKGFCCiV985Mw+YKZwKyIorTPzPfaso394AEsSrQ2
49q/2CoPRZR85XBFAr6rAe93FkvLXJQX4emgai2P6AC8Npr0wbEPuVgpItWvRnMfmQ3ERtVGesXn
C0YSAeVk1avTvW/rYjaGVKJlOREPMBMrXUWTYtzkpQqhBLLb6jZaoP6qq9sOU7NBr/ZDWpsf/YSm
3ZHQs09JYXmbEpPzVedo5gHbHnyf0bB+1EK7uReNWKiI4D6aTr/2ElW5zRt1v2u0FwPE6okAAc6Z
c9Eqs2wZjyLeZHoZ413Z44BRIv+P1Waakostvrl+XOAcIMSBdw0z59YcbpilFcvRS6et5fnuMamV
5zAuknsBQ9Ls6uYxGMf6sQCNVBqtdlcGSv3oGcJa9mhUM8NSxIXF32o9oRm/9e+sAlAV1C3/Lo/t
79o0xS9BhpV7pIZkhLwgebFhy6xN0UQ72QojAu3O0CxBr9CKzQQqt4nygLWaes/6AYyF6sHp4S2G
hb2wOWgeHWUCMNhbxs4ymnSFiogNYyppEGwCPQYP3H7KCCXgX+GqK+L6tI6qti0LlnclcSxCLCH6
ncBE13Ks7vXBttTKbv0xtgN0xmpPnG/uzA6v2RQTyHjZmvTE/kwMYT+KwLRYsMZB3cjOuUjJbw4m
cobzz1WDJF/XHYGxj7HD4K8cEtpb2dnoW31V46T10ZramFOR0612H2MjQeKtJyUk/wvJFOKM27bJ
FjOeneV4/aVH+n6TRVN5cpMj6JPoUWmWvaaKR0Vz+sesHp5hUXnnwsyHXdVD3lSMQVy6Fgm6qPfg
DimR/VHXal+rCT21j6oesYI7k2QzJn7o3MacmAGahwdXuOIiPyOvoxTNkzzaurjmZU4u2OJFzgr4
dHrE/1q7h/X2LSc49bUsQ30BysO6ZL4V76LBPbTtlF07K3nq1CR4gY+sH7CwQPHaG4KXOsFgkFg7
DpBzK+CBBtfh1DvI1sKsH7Km6K8BPsjP3demyoKdHhbqqhRWjWKIXa8aeKvbJibJiacFMkheiTvI
OsZS7NdtOt+aWlbpyz86/HFrZhpuWSPhg8C69yFhPtv890jIAuMdvODZ4Gm7+WlxkCXFEubl/9D2
Zc1xIsHWv4gI9uUV6G71Jqkl2bL9QniZYd8LiuLX31NJj5B77Lkzcb/vhaAyswrU6oXKPHlOFosn
GmVzBQrUin+nUYc/Gu3bEBNPpzb5OHfgDnIn1Oho1YzNxjYCMiXMbMV4EJF6PZjK3lF4/LCa8cDf
HIoo/kBBq70wB22TCFSKbxx1nEE2PUK3wBpMIchHYK8DHjPosl0vF43YMFqdpn1AP/w25Ux8dmc7
CmcGULPQKvWs6kh3ATsduuB6Qf97lwSpVEGhA3SVrmeFYbn4eFf4DXegf0Je7e0MAobeZhrRUHLj
oGDy8kGJ33nR7AP5FZv3yEog97qs2kOGrOhnAPcGNBUjwSLm6gC6sOshw6PCoZAHOlsda9zquIn7
FyHr8rPNgGyj9dd5NFxj1iv9i5Cbpda5v73L315tvYM15Gb5PpbAvBv3zZXWZdabuVlmDflvr8dv
l/nnK9E0ukttFFIpOH1a/wSyr8PfXuK3Iavj5oX470utf8bNUusL9p+udnMH/2nuP78uv13qn+8U
9A4dng6NOgBBCB7tUvkxpMM/jN+5UIrCrKpwr7OW8WDm9bLKMl4mvJv2yyuQkZZ6P+v3d7RedY1R
UXeeN6vn/Ur/1+tjM4OtNzczPJ2vV1xWXa6zXve99f963eWK7/8SujpDD4TV8nG7XnW9qxvbOry9
0d9OIce7W1+XIE8h/+U3NnL8C9u/CPnvSwFTP4QCCj++mYn+fpgSZ9MBER/QMBklZYBZ9UDuwAuM
lhWorRuFitvX+q7oIerXdx6eKKWbAicRAxMH8MoJTerdQa+h2RSSOx43pll4Z2B+0UFHpnH2imPr
4Smw0Rt9pwvDCU0UlQL0/QUoMwB6KeXaFjE30nUj5Tb07IHSk06tac6VYNVz053rxNW0SsFFkZGB
5bgvvkZpr+xNUD4HVVnmO9SkkI9Sy/oJqMw7s63YPciWqicF2ZeT5bFH8lFUi0/u1rO7KURbePVE
YXoOKbEEyZYDheiRikekCo+mWJUCiqYGhsvMNH9d6F9eXXfHR8fSIyRRf3FlT4B5SY++xZWBDFzl
8vMMJJbwbXB/nGkMsckkmArv6l4d5luIbSoIqSeE1Pw6jebSgeK8t1WsNk+2tYnmXU2K7BpdhioA
ndIBWUKQlK7jd0G5C5ljlYnduzlAnv4V/s4KcsUCAu+GykHTBw5/qLzZ96OWOvd0VkC7Yhyr4Xxj
xwNRGuL5FO+hmwkTS05jHoOt4a81KIIODba3YIGyx91qo7OkcMY7tEH+cWOnRZrePXbNbB/ISSan
4NtSFXzfAm8PzCTqhBBysvASOQGEvr3FTk6y09l6ALzOPtJwJgI8OnVRTIEi/XUuTevNNApTo2PQ
PCunLSAAY5BmM6TQwa/XP/qthiQJRI0UvGsBoUbazp62mVezRx6r7LHTGufgjO4LmVY76LderJK5
2GsglA4l4Mhb24Rwr5AzybZcg1ZajXQd14nFch1yQIL5U1l3/Y7adOkMPFCXa7/uTesuSPi8xl98
yzn17FL3LmhhgXZgoQdezgQ13IPKDKMAr3lb9gelVWycR4ra/XTONKNTAwqPWDdOR6bpth/3Yxn2
UphYlS3RuTJ4LrIbOF0PRgNdawvZ/NuQ285r8seZi3bsd6GG1IqW06kRG/QFfgqefwinIWdtGmiU
7gvXPiYSFAGFSPVLWYMdSCpprBGJrWkgDeZloO9vQD95CfD5loyOVAtF/6uFBEhYv2GDwGl0rOwY
lSOZAcQn5SlFFRXElaDFowMI2UvoyrFxIc1riE9axjFUw5Y4QC34BqwnPajjmv4iGQq2KeuyEGLx
UOcBUrACHKTMQh553aXhoruQTZO2AU3dkBxCjnZLY3LfrDOp2UMPxeT9aPf8NKrWePI4KsQ+jTOw
0B9d/b4e6qkKFweST8ADTM7wLYG4DQr3+gj+5bgJ1xWGKruudWNL5HqRfn9jttVU2Sn6dBnexEDf
/a5cVUS7aA6QQ9De/cIsPzsoAR6XGBq/m7n8yPAoVYMYoKcAHX7gx1VQMS2L9JWjL2xXSbE5OhRv
Z4JE5dYxuUeeLzNu7DTEDnrcAfn/qeeDO/tIfKJrykMTc2mmynk9VFF/HZox8wfARE7kJPsyd0Q3
ThDP3bxZpyGrHoVj02rBwnZrouEQbVAcZICmkaYAAWvtRnH6z4aAoveBVQ4/VVmFjWnaQ5hnLtp9
bhSu+sQt5A7Uya0CiulkYE6tCsIDMnpA1Q15yHsyuYleB3gY5aAH6TW1DDzdBl/x5Mx3+JnTHtDM
qj/QWQkdUH1Oh/Nq1yHddip1C9xFCPVUgGp9bWqsnYPbRosfjOsBaT38JUB9h6niycqAdKemB6rK
t6uRrZeXnGoFJRlcbb2BpKv609iby9Xe2auiBToGunh81vdzkbY75KnVZ28oQVSpRPYPHXIeyVDy
by6reNChqf8xeotNDWe+ieXOJ4iej0ULPuVYQwlg6EGOVng90klVfGeAr4kv7tZOkZEE0uFqq9FY
VU8tFHbkjGUyrcMTmdRrE9fvpacDj5kW0or2lNxRyO0UuTZaa1OwvmMGeWurDQvdcSb7AZj1auP2
IBrGv87+YSfoE9Hy9mtiZ+D1sPrioe1yaP9CzHBroc/lhWKJruXnWHWcLZRpAH1Q9E7xHQ0/SdQz
0EP1AM0wOYYSRqwa4FUjL3UbkNdxAXQgL82tB9QhVc8wvS6IsE5gok7ud1LlAPl6ZOBb4KfWIXlb
qURF3rKGqkxnAtDUa2D59QbfjIr+AUQl6OCRZ6tjtSXSCwSHtrMzdCtQHB042JgXB3o3fsyo8M2c
o4i6TqBL3KxElxBgOwEjNBam4PXahbwpoK/6cwtYk+GYzcYWgOOl9pR9Rh8U5GDUzzFeABQLU1AN
80H73FoaQFaNeBY1R3+ekheohMfaZ6dSHRQ/1egcF7MKAUS8YeV0WrViVbefkO/9d6tGkw5uDEWB
vg8eHvcWd62dFo3ozAY+ywd/2HhK9TR+TZp5H7fI9jM3m1/qtg4mSYyG/rn6Xh8gGxXLKDQt4tnZ
hsYMeb1cb/GnYEny0pLoyuMn8qam+m7JSlQoFGMNl9U/UFIoUGHwaiDoneFJBeH4fnATewuxK/uj
Mqf39Du8RhQAfu6b1LG2SW+BdNkEOxX3u9lqd/ScPGepcTSdKrh5VkZTJZ7AZ1U1jlZ29V5t5En7
7p1HTPj58ZdHdRR87oy6f86lfKNRFGDRMfsDU7nC79+GKIrGZzrMlbNHc3RzthXo2WGh+q7X3PSJ
Dh4AHk0OLB6NwG2hn1uTHY3RhABMKcppVw58xJcsJsz4/D85ZcECqb+1q0FFB5EYph4aNjhnChF6
xO9td96tE3R7zu/wDYquepoQqbUVMNCnLzHLdef8oanrZFnEAL3jQyJQ+KS7cADDh2x7ZPkUSweg
posQ2Ca+NeXys+I2wQRVhGelCNUMwin10PNnEXd6kHII35JtAuL2BFTUD0/yvZKprU1QBZXq2ZEm
DnT6Nu9sPEXKYYNN35NhfSIfhZsZ+ki9Ei07TI3Mgyijz+AO4UcvjvlRRBNQ6HRKB3y9Kwp0Ld4C
bqPaNw/F0DCqWdz6NAbVWbrRrXlc1lxjyjoTUbDOpnWtTlzvY1mCxk3pvKi8i3c3IXav4hc19j4k
VgcllcEzD+6opMAOzipO6bCOyU+R5HZAlXWNpLG9Ri4uCkVBQgRaDJ4RCqI16Gy9JLQJFCP45dUo
EnvUBKyDQCaqej89OCAYDLNJyzc0HL0EttGYHkZ3dnwODortjSPixY8E9Zb9rb2eDklTaseu6gob
cipYZHKfddHw+1iPGcBJpbP1sLO8gNS+86Nu5nsa0iEf3CfVHLMTjdos0y6DNYUVBIQeajnyzDi+
oDFzndKCheM8DNZdJPo5DbyBgWXAK79qaP9OA3C8zPiI6CD7o+nywpOZ8G2flsAptV0AeA+/dI6a
PKMRALjK6JkORmYzIIis6FBIm9sDqDrPCsRd5BDV+uGhivVDa3rXCfoICIMFIUEyoRWt3DjzCNpY
GQ/sbXUaa+fPNR6tgYB32VC3kwHt2IogHhNxR8OZNQPAaHYa0FBxC+Opaj6WeXG9GliRWqQvbWdv
FCwH6qY2kLRxpW4ZuEQz/GVZHIJiHYpl0pbWFkDE69jcG2iUA1c/AiIZQFE0pIOR2hlwNHUc3jjW
IbRbzG1i2cAIfjQ0Fzo5woghleKi2DSBx94C8DFkvJ+3qMKDut5Nk4uaun4mmvJvXpprQpKHYgvD
jZ9pPpr7b+dTRAJy2iVivcLb9cm5rgFQMLh8AUL3QPW/tRJweOUdJPR8G807Z1dhG3RmxCASsPj3
jmXxIZMYa5+iBzt1ApEY0yMdGFhTz03Ug9aeicfKRpNHmUXlju4JFNOQZLC60zJyUUbrFWvyc3o5
3rx0d+UvvAVSYu/mDnIuly9dpebWHWrVMTqcCrTe5E13AFwQ3FIAwD5NSVCksuAvLbWaeQd7qv4k
1xLURcOmaN10s86JeV34Yoyv65ADZMb/H9dZrz397/czjLMaGBYYytrCMk51r+/GTLf2LDLwvFWM
o3ESLZbBo1dhnArbyA4TWoAhC2mcyMTJu8RQeIumnI3GPPSSyCkUSWvTUJmgHhG2MQifWN6KDRnJ
vVyRwic0IW3QfNX5qZvm12/pRgDn4zemIe6gibGB+l1qBkhqmIe0LS1At/Gdz2L85EFiAmOPvt/J
j1yOcDdNy9jd9bkmmtI9snzKPT4g8YM7FO52qpkBruO/bKp0QP8OnTmdvtgrMO9ALFmGQMH806hb
zZ7mk4kmaHj7hHingBZFzicHH0v3ZOtC2WblhH4O3pyAlWhPs2Y1p18NyUEhAqzWdjejtfZ/j6WV
ijT+6thgROvs50YxlIDOTIBWlrNK2ppCgfjfm/ef46AHqwAVjGSmW2xuuLFoqAPGq1QpALPyOY5M
dOiSMX4nw10AWlBEBmjbyvisOTGaz1BfNs0SGOfJNABgzp4NaY7KIT8I7KUDGlotWu/BkaQAwDzX
r7qGJDyyQCAclcF4ol/WmPFM85g5yXOMZqVXHHJ8bE08x0Dhwi6h97arG+epj2yoSa5DNIfsxxiE
Jjul9xZvDLKyS2ab1gkU4dPjDJoUSxjDESRo4jEycehTBSzYbaqHztjgy2vK7Pw0u9cJNIsOrlEs
U2lE8ycrzzYOoDRh47YFcp2D2NVaalwaNFpthgZ5MtOyIKknbZFisqCp7X4JIYfAAj6Y2apDo4s/
htjSDkgNGxeQmh7ULFHP2sDcNKhfBXrFLky6xMCUs2ZPd8xwvBRC2qU45Ir+5xJpolkL6HSzDuia
680UMbi+M8BiGmDYj2QvmMeCFhIfu2Wp9WbITTeYOcVyI+ty9avm5c6+yvQYhAnY2BlyP+mmyngH
qD/6thRs6f3VqIkZuFvaL1I4MN+IBGn9ErMusTpW27oM1H4yf8bnFFr300ek0F7RUKm8sFpYu3ow
mztWdsULmPy+6QA+fv85YEoheNHFSMsQFZBQ0SdjgMiLyADVxDZCuy3fD005pGDyUvA6JO/N3NoG
PJ0BYx3wwTLOZQ480BS5n4Bv1aJDrIEuHU08YPnqGkUgTZOZZ+R2jTNF9xML887gx5r9WdSWeUhA
8XREJyn+Va0CnUp0htYdSMRghY75dERKiLxChtAZHboeTVKL53Zsp8w42ON3SJrZ6IuWcbQcjZFE
GtAK3R4yEYOuPc7HEm3QOBizlih3U4uE/YzfkWC02sr9syjM8gg0cIPUZ1qWxx6IqCB3Ii2gSb1b
eJt0GFI8W1WOYp6h1YyudS7QASgV0uUQrFHiwUsiqBhD2GrxWurYXWZIA5zRgPeKXWf9aSiz2dfq
NHodBsCRtLEWr1GbWr7H+uo1ciA7WNexBxWFXvEVCz27g4GOJpQNvIMGddqlT9vMsmgZakT1ABqa
d8PVS311/3ZuUcRp4HBsyZns/jQGwGOMLtXwrOA5Z1uynaB8BhS7QM3wyON2Q7YJkMs5XNxySjnW
2qaTK5ho6Np4mt5t3E5p7kCf4m5ytO1+1vPsY48Wg4s6tvoDL9vCJ3tVjmZYqoCRexLUi/ZnPJpp
n6K5ZdCnBKQOcK38M7rber+PvegeWMD5qVHYheyxXrbbIjItJMZwkbRn28EEnIiBZ/M1/WIk2fSD
zzHkCvC1dhkbNt9B/aS9U80yfsJ2EBh6u7J/pF90Bv4TigS9mbjYGWhhrk/W4JtE5xM0HUNQWBTo
gSqQNSL5eTKi1aDYCOEUZ6DxnIeqVZRAiS38mr2dxRVSpWRL385W73KWTfV5qECOlcb2JcHT6x7v
ReOeDmhiN++tLIJqI5QD/RsHDUUWXZqmdPcUu0aA5x2ZMAuY07GIn0DuVz1rXZFtIhWw/7pH41im
NE1gjU7xnU1ZMJti+hJDXWwzd/n7iF6WSP4xgniiiiwNyjSBmmisoOGjAtXmDuw2JT5Fipo8RHLD
0SeeE1oqOMEWEeWENieO3IaQP4rR36Ck1tEDZ+gQetJBXq9w8aEpurNQmg5NIXJP826aXBs14OnY
d2cmpXb1EQlfo/WaJwFg4p67ir6d5kb5iAzWEmGg6ccvBYiH7AwtURXqw5rkW4eQ3FeUnrUjmHXZ
E3gUxT24z++MCrcdqLWot5bQeUixdDDU4iso7LQjjdohndFTOd6Bz71/xOYyGOcOZckIYm4klMt6
5OFqA9mRuWfig6NXIbVAgx4V22HIqYTU5ezqjua7tq2e0aAYFIk2Ks9pJMQGrPu1jU4Z0OLSIbFV
9aBY8gCseYlvEZwCW2vqaCkYvpX4bkSlQHooXPa0/+60iiEC2aEdFn2vrZguqfy+BtmXhRpOYWFb
j8aF6o85YtV2lfScgbuFul8LrUDh3JH9VvWTQqrMmI6FSEx/BgtHSIHkWJeiszjvd9nbUjdhufug
eFrZpztQruhZyEorZMyuHq2mwEbTzLNdp7Mi7PUUO021QOP8oEJn1Oy+8ab0tvqozpAigD41aVeT
jXnjHEzK1F/I8VubKueiww+tqWsMTSm6ngeDmLSQCo8rQfRStnxX6kygXrSNOP9AVcvFvXBH//18
KW+aBiTpFs7poR7s7VgPH9w0BPmlb+lTceZiHJNNrqDV06n+Nsxll3HFkaErRraj0Vsok73I9GX2
ZqcVaUR2iniLJ7spBZLe4umSFOp9sVsQMDWStZoOdRPZm37sZn+10ZnkzzzrtQcaW4qxXPASol//
Oo+5HE1BFMnzFlJaPHc2dZu/j1lXZCBe26Ea9QPKB/ahba375fWgIViv0BaNF2D9i1BlW8LI5FYO
vs/fpi5D8tzYkPH9GsVd62s6Vzc9wzcbsQs0vfEDgPrxIQa0GBhWzScOgj5uy5NpgieUomiSE49g
X5BU5n+fxPr8fC2VaKkGpW+zQrtbkwtoSEGG2c8bezrTOIY8znYUKCWSTZEx7wPRdb3Bt5WzzCY3
csIaKovIvwF7bYB4KPvDROVtr1TCeKTDzEYndHgfb1Zbh/Y6lBDV2C8r1cS2GFLtXAqH0QHZavCt
dsh5V1MEBkcpHJbYuQEx6i8U8M48jNoWdLZlQLZ1DeTkgHvqHWdZgxx2pXlnPcajprzU8HY9oICK
7Tyb/NaBZ47vKL2O+3Xx1sPHoDEHvPk8/Q4MSqCEkbRqIDXsLoZeo8/aMR/6CgKvEIfsLjKATBRA
h8x5b6JQORFgZWuZ+PNa6/I/ryVq9slLM+3g6onv2NZVYjLTaijea9Fw1bVhNUiR9Nkz94NasKdx
LL3HsUxkjgpaMjyGvmqkInoZI3GFWnylXaMdtOM81tjK3Eav16MZqlyfbMKcvMcJ69NoaLTXtExe
pzx1LhPH416bG8mehtS6483OEV1o/Zl6eMrMiy+ZdqQBBSVgpkcvo/mSyr4fsiM62uUjUFOdhWaw
YIB0Xqj1+OTQDIpBB/L1UutS8lIOkriQ3cbNaKxOLlGHPj+5horOqxPHZUpPVrbUqNrGagKQBXD6
j0k53ndzIY5kokMDVqcdRLF1kDkiDJlHcMlniFMtgAdyxWkP7WRmDpSEIbt9R1uJnH7i6JQO4HCM
QqZpmk/bFLLRtoTOVts648ZGC5io+vmqWw+bBA2ggAyBL+wdaRiaRZ19pxZQYpB0Ymh3vRKG1aLb
WJYOiswR4oJbBf2T204WSOe8KbdoM8i3raymrl4R698nDQgalPTSAH1KzuYGJk9D8jYoOS7eFSZP
cHpUaZNl7o1jWUp68xnvZGgbIruFLiJoGn2cGzB1RRoY/d1Rsz5Gg/4FgkzVAzkHpvsgydNf2rLz
noSe7MiclBDiMzj6cCc9tT9OtdrvK7XJQ/Jaca9sYi9DHU1eIIL28XKBZcnJubkAionvLpC6vbsF
lSlQr2hzYScryQMMkXahYWkB0Cc0PSjy8QACT/c0RCINeytNv7Vo5Jh18J9CCM7ccr22QWpR5x8m
pbtQAACUDsguYuNhnQl5wORbq2ET7EXmp2IurS3EXfC2ssBaX0wl+GEkZmWUYJf1QLYKwiugt612
q91LO75tAZREngviYDdTaagQmFLORZ8u9KLeFhZPWYo3kzXEXeMPUp+CDnY9IFFFp10GCBaTh9VN
NjHHSThzJILIcbvEsk7ToVCMLHRo6J19Wg98GPvD2AC69GaPgUY6GROI9sK/TtFyOM79u5iapdMu
Z963MZ7qe3Al6+dO2dIA1NCQebalrjPZ23JHdrLQGZNzeN7rZzzbrOYYgpLgtEOR9adF36232n9a
NIYg1lj1qesEOjqn5J6CNiBW5Nq7acq/LFsUKpzIw83+A43CnyD6BTytdAJfpm/TbEK2+OdYR67W
JumXZQdE3mU/M7Y8BKDJPWZG2SKlU3XPfYEGPlWZ0YxStg54hFvnRdjoTI/V6U9I2LkfNHx/Ioen
Rac567qjbgAICf0i4xmvOfcThak/FPZAOl9yjtXq1zmRpkSnPk4hzZ3XYqNxEYiyxq4YGe0vDN/P
/ggSl4euH0HnocbYfSXl/KV3wP0AvkgRFD24HB0u6hAVlewB0ONpb7tC2elOX19czWux80EfluGB
blmSh4mUP05jr3+6maSxTgHbqllfWAfeA1fozt7kniihOoEHSPQHdc42tyrjY95N94Vwi++5kaOT
Ek9vT+DX7NBjiohEUY2PHR/vKX/2q4i3NX4bgSY2N6jQBRy6Q/4BvBTlIwEdho2K6tZHS/QdGsCS
FwJU1IlqHyZwbC0wh7IxAPWEGsbWmMBeNYBvd9cY1RjUtQm1bYmEyKp0WZTms5AWFUBL0qKEoUBj
p7MsOmhi2GQQLQG0GI8pqsMfY7WtTtA2wA4E4mTLkETqiTdWgwm5EzCsyMcdsktTl6nViZZ4W4dM
EPQMnEzR8DKDvt8G6BGNVyD5iE+zrecPvRTSG5Kk+j4kQEwxz/siZjUKC2y0lgiLqaOfAKTjAWm3
tfsMDVRv+VTQAfQPdVNocEBGTlD+dDVa4MGGzKWCrQvNRtGm9XVwPsgf5NgO62lGek2U5UPZgEuU
dM2HNpsAqPq7o7MV7CWkI0ZGbZmRjx7exdIRZ4150g3wEJ8npKrKulf752t+hxtOuZ1QoCa9uzAa
hfqV5a9QCi2/I9OnBqkn5nsN+KYTGthBEXYNqMZ00xUK8HxK5u4EG7aWypyjLSLLCZEuybcViBSB
MoLGPLlTRXeOKf4e0A9Br7JA692+0NHETn8ZYNYbA+j/12EC08dqBzfOxizy5PUX8ba066lXA9nY
g4usBr1HkXf4lMqcJI1VN+58lI0tCNohd+E12uSbdskgGdsarz0qLx1DEhLJgfukGxqfWDbBswJK
KwV8hzQ0bfOfJ7WaCXBeJc5IUtWgv5UHBTyVgBdCP4PNf9mkI4NMGRRhOGBPqr0RYDduNLc9Zb0Q
l0Qeqsna9E0Ndnc5ogMA/2ba46FTWrxyUB8G1IppBEpH8HEA2QdJ5Pi4mrKpK498VD+TiQ724NV7
V9XZMrNPu2RfddYfkOgZjuD+hIzRMOUjxEHrIQARuoUaE2+Qb5dG8lAknS3hNDbj8o+qUFXgZfLp
hC2TtmnnkfuEtdQ4um/wXA4PjSmGzugAljTwFuSn1Qz63mzwm2G4Tuh6SGy3s/qQ6w6kjBTmOfhO
VnS8ckMXbUQbu2GWG+KlHxPkUS3voqvAciVTA/ZQW1OO5Jy5qqKhEkLr5HVB/3QH0eooIK+Ln5qz
LZyv6CwWLxa4oJ8hB1B3XTcEdac8tBzcYhRZW+jObkWl7mkdvcNHp7e42JBX7wd+0NDvCjZM3BFw
HNljpjcHWpYigIQEYZ/SPtEorUBEiS1ne6LVkLMaQGLfCtBo2dAbNaGHZ2kjtmFzon+I0MyKgkcK
migokd5xvJH3Bmh0z+jKxldzFzcvLcgxfJVDma3GixYh4RNDLqgP1Tib7oa4AuBC5lSxndaCNE1a
sOJhWOp1YvhAM+Rn/CiBr6Ux0WyjmE6YsUwLiqj8KTBxIAIQteVWrVqoAMsSnCJLcJEszRXIAXnj
xO7JRE67B4GN6pl8SxHksAcQOdF8sq2LaNYAjG453JNd7RUOSRpoZqFfXzt1Q1vdNUl0iWbFBPUX
UVrFpQ4iKw0cqXOUfS/xWw5yFelJeg+n0ILJtza0g30ygrsZ4XS6hIK6stoMA8pSkKcOPe81qZl4
WFMAQjHRFhClyh0lDsiR9uYEIey+C/EFazySo9B71Lxr7RUEGcXBqesKX3yevjPLwbtvGHQNSiuF
oEI0z4HaOdkr427tO3MZfW3d9p5zJOT9af7SYMOHV7Vm6CAZ2z9ys/xo8bz6Mij416J/WXzAfqAM
k6roL8NYIyFgWtrZTab5TsTOcGhVj0OVV//blevJfH9lS15ZSZr7RtTIs9TFFxTt3195HPKPWVOq
QVaZ48OcVluQmIGNezaVnVkL5avB8T73hlwHGXbnbkDx753Q8z8eUEfXdgbP1McchGaB07fNJ6sf
XiVoG/P/BLURKp1z/lXRFPU1Hp081PGhf4yLSNmhfzs7pHnWnyeWzRvLm+sXJ4lAGJ2Y2jcIaVxv
Q8NtKFEcfxsMJAFvbkPM3t9uIzXd+qfb6PBgczbwnBwMEz7PLYd8BYoQ5QuoYOuLwfC1Ikemp+IA
LF/liOqeTHja6kOvN4YdDWl6MgOrRENmTMt09HU7fSCnojEAPeYgRXZmMw1HI7Geo1orL9hqAZjA
rGfoCVjPYyyTMBBBOpKti2OJ+pVcVyA5fgbCqLzY0XU6JMFQT0wtZBPMQT0NzLweenmWA/5uKyPQ
pXJkp+OM3EphIHEqPSDngWqPpu5VsFSGpOtgasguoAQyn8AGC0099TuZoS4KqRgZRTo1FFXNQpya
Vr3guSUK0qYBH6bgZncaJYMKHXQ2jng+Bhl0CvrH/eqANAKi1bdoMXWbmkV3kOscAgP5sz0V74oc
3FdgmHBBhgqcNXnBee3tqfBX6jPkeF3Qy9pRtFmAAzNPEj+KuLurU60zQtJ716QRmgrujoTdSSye
zsirg8XNZ9LbMmBnBs6gug6SsIc5MV50YqmVI2GrL0RhSz45Wn0yUn2L/HkeBIaXyMboDDSSARYW
cUtscgYOJXoEXJ4GyTilDXRC5MMilcrpsESbzECXL0rz68ETitiIBk+/PLHvMlMxAFJIxRcAu8Km
8PJXkXYNWv1gJ27aPPXAZNEWi90VkmHMjcQXaV/jNd38A49vHN9hyL1MkrGdDizX0S3ChxTpNthW
byzjSofNADvQbrEqyuQ+1vDDxRhHp4Vwpk+eF8XhZJT6gao7Tv04z6J/vYniTiZri4cCO/iLgn/a
YNgoXLipY4ZulaDAKYVZudFPl1bgX0pljVHHno3Ka5OhOJfCVI1nsOxsFPzeQDPFGk5Kgf0aKdXo
hYbHOT1BE5HUsYHsSwVoetIfycsK6yBAW/EUx4lJa5B5hLToKSmxBi1pIA8GPFJe+mVS51CwGpLn
RrQt6HcAVGqNNHmuQdwPshY3mCewzwatMULTMIqcbWvaV2+ObTVNJdOv5ssIcjposNtY0KRB70Dn
sEb+Kf1CYO7UZnvCn9IvnOWqlXQn8s6yMk5eVMcRnIDffPXSp4mGiaO/n/urYPqs4VstP/FjlTpT
UNme8qLE4m9nYtKvNv52dhOnZNByn/pu2vVVbhyTyQXpjnzTAgfxJJpJPFsjM47NIAqoGuLN2YHu
28Du5Z2d3szRX/E8AxfoPNbcVjeN7SBBBBKT49wn+lHozA4hCW/4ZFsdvxoil6C3Ps1b3UY12yFL
oJB949Dk+gV+cUPmGpD4UrTkgQ5lXbygf9UB4vEvE52B180LwClfbGrSyyRjk/WgTbFdUKD9HJ0m
ALsX9rfVbIg4Xa9QOvX1Co4F7JZkjfMCPU6KDc1Yg22lfI55uVcUsGyieynz23LKtgwqn9CSc/U9
m9X2XpWVXiUpvaM6AGIgK734pe2feuScILPQQrdVRpCj7M29hh6yZRLai4ewh7iZ0OboHnKkzFcK
r/nMGpQjLb1MjmU0Nq/QI1vsnYBKEQSJzE2bd+3nBs+qmlbXT0YVga2oFEAaS/sop6MDKl6nt5Bc
fY7t4SNELuoQ2nv5M1eRbqEzsnFpE9JGZ/9v4pQa6YVKBdf0NCVa4Bkz6PblN5q1m0fBPpl6Io5C
BWaZrHlRasHE8Y3SJAb0KzbDDBJsDyI8Cgjytl2faTsSupgd497SavUpL6f8Me31H2SmKDd11V1l
muKTjFI9Z2eUwMPUivmMZ83qqFn4EkA93nomW50k4YQmx4thGdZzBqHm0AHqekcRNMEUSHdKAdhn
sskJow321iUP4OpxChBfvgFrd/IKuHS3j8ZO3yQy9eXAbjHrvb3GtuiLjP+Vnc8F1GfbyE+mZLjP
K+5uc32sN3WVlB9AY2jcQZfSC5KIlR940qFp2YkdX/EwzOYISYkG9JgUrBng8xlLfk/OvMnmpxwk
ZDEenTh0tsIyrvUXfeDphTuM34257apIw9ns0ODHsvC5Fkd709hpVt+PP8ih1KC7Opb6xA5LOGT7
oDcDESqgp1qwsMzNdG+m9fDKQnsy+auq/A9rX9Zcqa40+4uIYBa8subZQ9tu9wvRI/MohIBff1OF
23j37nNOfBH3hUClklheXoBUlZXJOwhODXlAzagWimFSgwys6oUqaQ1xBZSyULMYoGAWOfIRmWn/
3hPuhcz4dsFQFAHkXmctpvSgglZACGZPvcwYv4T22G2zHPu75XWL6Eg+BgkiJNAC+PAaprft8vIN
h40q6v3gQH0xKbCgc4LMy/yupoEmYtAJyJDONtjdsYc05LZXWbZCDN1DMoXbTsTRjUxC96B3HLc/
qI9My6DF9s9B3TA1J0PIH+T/fx2UCKDFwPaAjya4hzgpG25+GgHqUXNpNd/GNjppKVabj2XYVZ/K
LPxlqFVXw9ok8LCYvIBO0Jqb7j+b1Ls4I2LFL0tTZqg4M/KoWfvaIbRVZfFgedMdWhHVGfd/bVms
LAOZu80DICHmyili894zjXELWen2DCK4/ig5xHJ85vEb4svWWgNg4mlqIKQxVk37zWviAzeAtw0q
wLnBTwCh0ML6BuWd+LNrMnOVId02T9lrivaRlW9TygmAJSGdtylRUn6O8NtNOi4/a5XZg5oRZyNq
8ALoHMjPJcc16Uwq21/9KmsCTawPwtLV0BXxltS+Q4RVLi4DxUUD4uQNNVvRQigcipykFEaaYXVh
ssu7naTFXAQw8DLOUqwFL14J2eAAJ3aI908AqY755GPXf/HRAfg59lNibSNhiXU8sfCQ+P74mUHO
WsiqfuZGlV5yMEQHA3Q9PpNbkmTaARzB0Nm0WVCbvb9PMzPcxShWXKMw2d4kssb/us4nsbaqHLof
1B47W4BWxLY3A0SFoAvqThtLZztgmX6EzhgdiLceoKvuRmfv9sVE9skxZn+iuCeTowAjA+x4q0YH
spOJOv+n/Y/58Rv/8Hn+OT99Tp8QHe9zS9PZ+qhq2xqaa+MH+fvQg8h2NMVNlBl43xvpIXVRpt9a
i4XZBth2xH9aAZIRNWD2saYUQi8pgypMiqf0v6daLO/TzcNTUPq6QwGFcKWGYFeO+hXxeuUbXr4l
G2knCDCfXmWuB1Zvghcbr1LLjowDUqP6jBuTXm4HDvfEhYFl/ilprLcXcFq/uc0wMuXmd5W4gDXE
fcp+u03d8K/Z/ulGw6swwr/Yxa/fmrAxhgLTrasdaNJbDbtPeGLfA+0pUT+MH3qln/MOzBbkyW2r
27uu5YEr0cSmRPm3UwKqw7gF1y35jJrjBi0Hms5EjmX2UVcA+7Lz4Qr6enbPZTidQRtxR9407eDj
uWXNySGdD8eBAbVih1qxz6GD+azXSEmELIwu1ATV364tuuRRgyLdYzFa61HVuGa5ZaLqiVcBNafJ
sPYgY9bn3nyIAYQZynJPvTRlDMGNCzXVlGMOTj6asgS9Ti6i7uJEIWhRNB/BinhlUtxEHXhbACYO
ObgzxVJEVE/QxEuiLTWNLJYnU4dmUd/E5acIeaNHO59DKeTQNqB8XoZz3ugrn4mN0VlQKYxS/35o
UKpmKrXQWvagnWAdgMaiB/vDvz2k153aAa/6PzyAnEJYXKU8/jIHw/59PSQW9OGxZinMDZA4CKm4
lo3jpGj3+1TbEpH+bJv7QaoPkv2mBQusU2rGzmlsZCVMsJoiD9acGTWRMpmbhLAhTE0sndm0YGre
BxFah7zeTdQi1/eBJsoRznGEUurUrG4iz06QH2SPgAazR2aazyjjai8giWWQLG+8DeLbw4Y6O6b5
lxEhq051kqks82vFchOstBidJU66QUl9u6Xhns4N7ETbb/NoNQhSGjvA+5M7Mulej0UViJ939AmG
3hOnGHrAAfXSHCZycKVu9vdkkrWGCiLJsj19BKhrN0fHdHUAQH5/IpD+QPVLeyBLpxdQfZq+hWnS
HygAx0GQu5saUc8BPJlY3RUv2nvqpB8ZsrEQfU/je/qBxVmHso9/DudFXa9j1wR9c5l5hwTvAWB3
vUPnN8Unx0zLTwXWSdaQDbeosfAbd0x75Zgx31MnENLT3gJRwooGvA/H86oAievINp5bpVfLeiTQ
hImX0BqQ3gnsO+C7zxoklVs5JN9Ag/vVFdD3AdGIfyhiqDGyPDe+YCD108Cx1ry1kwI0U641PTUP
joLgG1oz7pEWNxT0gt8jL+wEYd3mWw+sBRIySJ9FllhgO82RwciVkpSSclF2IGvND/Z/+iNneDH9
NhYHlC4PgLBmQCqoyN8fMcCaJfXKSpDQWDo+BAtbigQyCVbNMsEzvO8rcGnI8B4qXuG9ayDLguWx
v+shY3sPjgDE/F2UfknPP5OHGabG3SC+TqPjpKvcj11FH/4zZNJNV45iB27VlORLc9CUTtNCs09d
oelNBG8F1LvDHkVvameH55ILGb+oO1CzNfV1DFbYpwQ7Dyxb/u1Gr4regYK2X3R/dWvUbARkfndT
+5h5NrLTRTVh8+WiNJvowajcZxLACQiT7bopy07QBctPhaHZuxEohFssK8DYK8N7FCFC143pVK9m
Er8msax/Nin07jI2xIE1AALdxtVP4TevoxaXr0VTppDGydjjaOJmrrU4v0Gg4u0qjTF8vIprJ+kG
ebAW9MdfGkt/Y42B0rQ8AbNFHDEfzNCGnGll/majQYqCw4sMSGz43iZH7O0RIjHV0UHKBsI8jv1I
toh/7qTdP0gDrwPfgexwO4ELa/GH9BUgjVzHKrU12vv58NJ3E0RLK/vOGQf3aKnFqgvsxtbIxhRp
7InfkGwfgHb9p3EWjyejpTzTjX0cuOf9qDL9rIPlZDlhrjFb/N8n//CpUn98TrrmC62RabVMC+Wx
h9g8D/UD2aXv3WLLA/Yhn15FBNmBJbxLYWBlt02IndtutKXKg1E+1xGUKiAVYawT5BkhOZdOVyvk
+oocHP856xp7FZcoVm95lK/4pEfbKXHsqwbE7XwwfDM++9ze9EWI8BZ1kIuE3NKqxE22JVuP+r+1
7iQRhOkEv/USdCGdkw3bquT4/ppKQwCSj0csGsfPYM9lkKh0tKNQTdPcNv7AXmqQ15wcD+p9sdKO
NoqJrQQHhf/EtBJMWPXPerS0L+rEy+q3EwP8uBmHIIhjILtYGrnx3Hhdt44Ft2/SgLZA1ibFEQkD
MDqEk7+pTagipEZYrvIa5DuRkqcr1ZnwgPYGkAdt3UDSLx10Y/OffciRDmkKtpNYeS+T0VlcfC3L
zsd2yzrTlrOv4unO1KYzyZBlqTneqT7aYVJfa+LXojan733/bRz4UMByP9hfWsgyBCA+ih9jK/S2
oweMjQSN4cVM/WQjGm48V5r4WlQD1MwT8OBhVfcddM9WMKhBmvl7EMC3wwUFPSmYNTX9eRqGeRBk
VedBbYWAFuAmWthnp6RxtFU+yXSFmFN2isIBJO3U04Xp+HZKXVOmI4DiFNPRGpBAK1VZZaWhEDwx
ILwOLbDk7Idg0NAK3j5odlqvqprHX8ZC3piDWq+gl1977nU/UTL1K/Yc75nlFniYvcG+ZUzPoPvE
4yO+2fqSjZa54bbHHs2UvyRhtJtU/ogOshp9YGti1I1TO7eQLs6c4WhQBuqDz3t37MXjkVqdDsX5
bvSnHUGCqgE65X2LiN6MEFLwIVCy/N3GXTBQkCg1OZPf8D6WUEc0H/n9x/mcFmt0L+vO4N9AeYrO
tPUSYelt/RNY0oG5UUGa0gYosHJcUJUpdLQ60KAQ2k6bxTal/tXQvjTYdh8Tz6+xS9a1Ad9htJ6b
gyzc2yiLFJW7iY9wAYiTEnWgDjDZhYHllPHugzdWy+t2zPvL4uwwReyd1Y8f3CDknmwGp2jBBf4C
ghj/wqvasYIO8YCDb4UvtWmG15Fj37IG/H7rWmAgm11QczUFaRJqeLqMxRp4IogaLM+nwcxrkFlv
6MHUkd0ehX0t865YS+VMPWGODFygcwAEUz47//Hwo9kL0zJAtoiydMV26Cp6xMgsUZdJpzoRHy5d
ZJRGagPVB2yGGkIaeB/84t6o4jU5OomB8iCrZtbBtOVsm2ewxnrfxl1kx0FRF5CbMAz7LsmmZu8k
XX4oLWe8TRCChEZc2rwOkHtkWqT99GSzdyuTfelYMaxoUOGmzV7mBphHfDHeLEw5Dyp090JPBLvs
9ogRufOgELi2Oz8dNyYU+oJCVSq4qlKBDvXQrBC08i+WLQ3gatTWHlwbMeivUHoAQsY3P+yawFzC
6wZ4c4R8gvfBepXIHfTRIG+MdM4NmOHhVmSyuZguFOq5WbgQ3wEFip6047Hy9XtqucpEZ+AtyffC
VeUJaihNQh2lFmVbvQb8joVt+TaLn+fd2hSIpCaGFyab0sZGc8hMEBIul0JuCZ8GCJo9zTaM6T5M
U37lIFXYeJ5MNnRHVeq20pPyEUpu5plabeh3l7IR4P1DHx38RpcbF4iLTVr5bzZUrt6HlebN9yKq
astLPVk38qdbEeTxfBPFstksE8mQ31mQLb7QPAgOg35jZCmCTKBUqRX/lZElv7hM2Z3TQ7ybh2Ct
Jzt3HbYyWsM8tVE5PJlpvOtGz3jNpQEl67Idd+SWIYWeG9jYt1NvHv/TtJOp1YErQcNF0xahLI8W
wQJbTVh7VA2Gm8KZui2xkFEzRWz9QzNWTaIs09sm3Cy9oURQQi9/RXgtPPXQFDryDH8lNe0Y0fLK
9VCIoHpTR3FExjVwiaqpp8AeckXTT02kDJJLVnfZ3IxGqV+iWvs5z4SMxzWNyq/UirjjXPtOf2bT
ND11Je9uGnTEqC82rPiuzf0r9Q1ALt61owXOAFwRjBrNPRZY+xAEK0+JNmnAFI1b6it603hwQRhI
44Qj2sexS1bUV09R8sktftX45e1kCqy7CMv+URZlBlquvD+5itwJsGFrn5p2DS0d8EXNLqimaSzH
uadWWuYmMICJsaVmbwDDXWb+lVo0qMQCPUCAoD9Rk6ZknrhnWfppVLQned9mD5qK2pZ1bO+wwOgh
dxPXhwG1+1dyQVImvkKD4rAM6Aqu71AIAASFmoQOokj4PElUNP3BAnQ5AMOEj1R27QZp4wPNXNu2
FpiaE0Nki/trW0zhXZ1X4R2qJfN9AnmjQCefxkSZXVmLK/XSgZzHY+lH7t3slLV4uLT4DczzZj6Y
knQni/bLoOVapbqMkYLC1s9KZ42CK2BI/Eg3Tw6+nPe1QCEToLWp/eHtPyRjvhEMQfC603epyPu9
i2qhxyh2fsTpVHwvdR+ZA1Y9FaBL+5tD1rInf6zq2QEv3n5fj9h0qRlybJYeGHhkgsSFpn1pRPWF
5Zr1YvLtFBbJS90MzXVIIuC0lVmUMt5lAI5vkYyyXpZBb02s1lNEsqapOs1vxsH0cY8kcYXyPsgj
fTiIEIC3uB+h8ouOVr1b6Qwy7+yKDU9iDf6aLL5pYp2TVdUuzEuo4Tm2D1nXnG8cbqZPvMBSMOmi
7keFWJVm2vYvjjRWzcb01ekQ1MiBz8ZOW2B7iOX30ahbFNup4SHEbubhk6e3T0h59Js0x2q/VVgI
V+EjeGvjdcnElVpMB5vC1GV8ZYwG8B2qV3jyrTeKUC7fOBUQU2ro+3jfG8qt7oPBNAGFNWIBKITv
VY1KboFWBTfII/L2HriisBfomal/EfIT9Yfgdlublj+daGCuBnZU3DINn5o8GY9MlVU0nVdeHXVG
zcgNcZ+G/dmYoLUNFg7wMzaVPJMbeUxaVO06AbLYA8BHYuU5RYOM56jNtQFhnlZBYujyzui9+grs
iwY0K1Knrqwr/D5rJU76e4QVZf49CAHBYZ7b3xn3+IleTqJN/Ctk0HZdjDf9qjWjfgsmvXa9LPXU
AFfm3YlMEjR9W92zAJJGeJSn7vAlzOsDiHe0n4ZjnCFcOr1yMAusGOr9b+DN0vaO0Ps9ykuB2lSD
mIO6xVRvDtMQV7cptMsgG8v4kquq1CwBPFpCEmhuvdsd7pR8XcjiWFrgUlxIZgALha6PJhjYVfXy
SB05fl6bKreR4zdDKLkKfbw0YEh7Eb9qaYiXyBwicOSCFc1vfOuFg/9rmxpy2JITWFvfxphuY78Y
3+0o38umTO5FY8WPZmEBGJ/roK9q0+Qx51V7xhPnlTqnOK4voKi+lIObn60xy9dQxoXAomr6Am/A
gE7pEGopHmGqZxwy9DAIdyqhHndDxt75Bkhcfm+PrLnmwI8GXe/rn+N20NZVY5YHambIWEAdUz5l
htqCAWcbxGCG+RymzQBshe4dWOylJ1SduisshwKRcf48FVF80bXRB4EuYAAQku3WWuVFx0o1lRtX
bnrUxBfEK6GJFrVIhgGFtQaVTXyk5ruboWYDWAzcaAQqmNpvqOwAw1ZdffVdxNRVxDzVWwmklfCu
g19WZ1TEuet3D6QkUAKQSrlylUfYgVKePKBJVH2Nmrc5yEOD4hy4iMCRjAeS/tAhmbaZGtSADFVj
PKCU3njIub9tEaW8kUeRpBYQB/4QIDoFnl2WulOAp814IGfbQmE2H1tgrjCURrRqToQj241dyalY
1a62HXrn1YSm1iEDHVPQKWYYZwrrEzUhUmM9OYK/NaNhTLYJSpXXQ8PdfV1CMIz26i7+6j2vZLKm
jTz1UpN264uz3cnwhKBOGlBWq7M7UAWnZb9NWk8DSLkQR25b3kkHamvOjmUhKLkGZFhpANkpddaO
Q7IbgQGaZ1oG/DknIkVQJVxnMZY9Zg6gW1z02Z2f4Y02TOy+CUuYgCE4Dab3ZTH1qQtJBLuQq6jL
RbpiccHXqdZl27ldR5PiLE+sw9w2Qrx8m6q80hRV4WZ34yCwP1SDgbeb589RYguSuuGYJ6ciktkZ
q523w+SlAPv82Y6ruj8V7YnsNKILfQs0qjpRzVhXpsDmUx9CMJihltIKNTMgm6M68O+vViVAUZuF
BoTOEEZHGhVIuzgpHidndD4NHDCZMbkJrjmfyGJp0wH0EeKOK1Nv6U2Q1oKdyKNERmLdciihtVrr
YkWFUknegEOKhsaQkj2iGMsPqImSWOP6P67ErEbcJYC4tMjC+yJ3UCk9NcWpU4dksNAWY1wAMzQV
Jzqj7soWA8iJrQG8je9jInKnfvKspxp8Pn+eUr/W9s0GUlrJzs6jbE264YdCVYfV+J2szVaXFwEA
/sXJ82yd66Z1GtzqJw8zcTakeDtEqS3OZHM98Os5dn6izkl5CLA1II727kI9AyroQOkMXrVCu1/S
VFPP4pM+Nq/8vbLcRpqBTJSmooPWgaJSeVGLXGngFHfzwDmj9XuuZfp/zkX29ysuc5m/r0gzm2Vp
nVCLjccnHkZNhspbQvB6701sd8yntMNjZenFcuJjk3qREI9zs73YjiYvg8nDA15tx85Mgdgh23zq
AaBySA3jSDY6lG6NemZ1QJkBSEpf4g47CPB2cTY+aYDfe6n2UndN9a20vBcPP4RvoIKeT4AnnU/+
0aWHA3uGVMZRdZdq5P+Y4v+7DyTAUOUF/u6NIxzn3AyuHRDRQxHn8baFTu3MDmExKLvUte5cO/zJ
z6b3KZlM6+Vvg0LPbGd2iH8PGtLaeoksOznLEsWXotCGOzp0CcuhlblaLBMCcXduohbkWaxEX3XF
ZlnWxs5IsEd1pTF+GJqLlRY2VThP2Rvg6tAHFZRQV1AxvbsmjI1dFoIIlmw2MpRB27ES1KBlvelR
U38IGc+fR23alY0JUKuy61bmL3YZVW92Bsa2QwN83bNTYQ/5bl/8/2mvGtSvUfZqTnyp7BUoL6HJ
PM7Jsga0tWfht5+W/Fnem82ud7xhteTPJFKYiMIm3nZJigk7es0jeziRabbHqypERRnl3CYtzM6x
VX9aLi3wwNk1TTyulmnasP84NXWMRj5PTRPpoHK+E665mgxUCHJ3QmAwByTlmteuu9JaXqAOYAiv
cw+eUOMBdS1PhbKRX2uGUFAEgmRHM8xjaYL3WSTYfVDQpCZ9P2B5Os+0mJY5myTb4X3DTtQJHNhD
6uTi3KOMfz0UDCtutZCZVx548dWjjdSsMnngmd5X+QiqLtWk5YpTRsi1yTA7kc31QHAAUPiNOmc3
Na+LVPh2sZXmr2VabfQ+TkuDfA3BrFTyDPsoLINo2h6M1tRJh+592pBjqzDWWFUNneYc6g4rO1rP
eBFwENSk9Qw1Xa+XKERCamJpUi9q2XC/ZGcvwq6nRwXxLhymr36HLVHE9P4MQnGs8ajNlJHO6JCE
JSRis3ZHQ0OwrOO1oYZQe5khrEDwb/Xtwx/2eeYPFxlzPwmYV8otQhz9YWDRo2n3+hcGIVY/dJLv
hUj7VTuk3hWCv90ZNB4oJxwr/6vRXMjBgSrxqmLglG+Gur6U0BFZU4e7s6Ax9Q3Kzs3abWRy8eOo
uMYTsAdIbSXfXfNTXxvTVwtF6Wvo2JZq2RzukCJG7IFDuBPv3PFLods8SDIruitL175SB7YAqK1Q
HRpK7OaOWgP/cmiijmJojsyIQa3oKAjUwOUD2WTnAGU39uNDg8jg1oo0eQvz2LwZrX7P1aI2RSqJ
WrLT4q0GxnwoAkPkMWLMPCKqcqCilqXQhZpQd3aOID+fO8mf7HQYkVo6Oom7/9OupgU7tHasjG7/
wV/Z6QLZpMUnFOTMnX8MR/Uu8se6nD/eUm9DboBElqepznfLtCYw9ZfUk6tG48PFdZHQGYDJv/Uh
XtcoNEseeOYD9ltBsWFo/XJl2Eb9wniLMj7Z5l88DygAKcvvfgbypNIVv4RdrrOsYNAPfUAyKMUu
Jeer2rfCX0idAcadZ9+G5Adq9JonW4hxE+PReG70sjoZyK5uJ8/GohLkA0FUeN13y4xW2pQXv8DB
/Syc0X7xtQHBfUTer66m64fKRuk+w57sPi29fiU73fgy2v1Bukb+S2fTUYx+8wWgTQh0gf2QCR7E
sp8edbNMd6HdZMeG8exme3G0NvxefgGSfjfWWf5TH+PPIk/H514OI3afRnn2DWGfcWdXG9az6oUJ
hAOVq9VNh4R58alpE2dVR6kABbbDT4lnTI8dNx7B0+F8gUYz1JxCuztDP6x+AE3bN7Ljj0FUpm/k
pQRt3X3LYwCpE2+t+SiuAwFmdNWKMrk0RozNvmX131pn46ZJ+R3gGshkKQeTu+MONZTxJjWz8g7F
L+VdFaLACwGHGvF6p7gzoL3mBXWBTzzlNzKhhktDZlr6VhwMWrWPtC7dSgX6wL9auze9PAkQNpZH
S7335o4Q1QJTWN1RK3bD6lKY8WUZlFd4649xAhLP94lKJIzXuJnSrUYQESyo3yYmHxYbPCi89juR
vU2Kj7POxHjqiqB0FOXbTPw2H8mHDh/a9RBNJw6sqzC8IyRsAscFi0eVW9cZszBBGgPBgXRLGIeo
NPkFBRrP1EkmNzYuptW/+XMg3JEmi5yT1nrOiugo7Kr9XCW28WAiaHb+i71vyo/21Ow+Ozl/828A
AFoRewV+N5/9MDUfhgjVVHMkqwx7/sbviiTImbngBiVMApWqFeBf6NoO3BOhfYcvpnrqIcm071DC
ve1Gy/g84cEbCRZ/wysM9Ck8086jcKYbVKo9EGWgIFmNRE63ehrUSF4hMBS59TySHJwQRWA00gKi
4iZSiI6z3yPpmjoDRJFGOrGnf+YAH5EDVnqovYg2RdTaD0CIp1v8M/yzzBLwDUO8em9xq0ZeILag
Fi506FFboFe1zOw7pIu2Y82mCDWJ8QYcXcb31EZlIRCz6bMz6XLtm9K8VTLSdv3Ud0e36cYz8uwQ
H2dV89DgMY/yvL58xTLiU5gB3BvED5NowRhWs1qpitivXNPL1d8+2ySsf322qNY/fLZE0yCyq2q/
qHQrHnix4lbcHefiLNUEar47UtkXN7UH1JHwQy2zTAaIrIJCjsJ1XsuajZWAMWA2ukjbbrwh1gKk
sUvsWju2HSBmtoqHEN86GXmV4B0dOedJqXgN6lAKnW15BLFzVg87a2DlUQMk5CJdMVzojA4ircBQ
FrrueulomvBbwvUwKFo2bK00sg4eq+MHb1QlbSOofoE8OaPEs34hj9G2TOQ3rSdU/8gV9Nij44BH
ibWk9T/E+OdTcprgRCkAlibOVg4xtv1goxsR3HWYhxqUMN80ClbMLd4FRgdkYA9Y0CfXAUTazqbP
5BbqoDl16hoRuB57jSTpumun3PoItXxq+N/cBtz5uxJQRMhYMfHUFsUOpdzI6+HO25pOPO0K1ZR5
vUqhG/KSlY1+zEwXsuPapL/qzvBzTH3vDonm4QY2bVSsK3/L8N0VFwyZKzVtIcod+Y8pe5u2Qtx4
PxWobAe1Nhh2tx4wYytkF5MDbW2pWetpepg3vqoXFRvJhyZimckhbXRkohtUl3oEXI0Spw8Mo3c2
funrZ4fQrnhJ9O4W5Rl3b1eEOs0p6hCnySezO6PIBPQSBYiqzxDoDM1tVKOovGKD3FI/HTSWfE3d
2twNpSlQw4JDUkb9peJNhVL+3AGDjOcOARmTir/5WK4Qq5pzZH+VN3UIFg3gv4TSQlYjeQutdXER
MgSYEPpSq66CRKPMgOZH6h6nWHl1WzC+dYGH0OQQkLFVPXTmASlzqBp2W+y1YYL6Y+4V1tqoATQc
sDJw8Bo/cbrRcAvFly6zcc/Raew91laeQuEMcXM6IEeVS4R0f7c78AuV4PUny4eR1J6yxIBm+Yrm
WsZASAiheHUwC2Zt7CF38yvowbqtDi7wa22E1kUXT4aCe9GBzHQ2xdJauelYbhKsVBj2IKF3nqJi
RS4Z2Ua/bKHfE9ubZYY20Z+wO4lB0+eJMtCgSnb01YHOoszpSjApuDBiP+dvyNpNrQ34rvJymA2l
cz7uyYdMtlP9Hk1TLm3yoWZVFY69Wnpcg1Vrw4WgZCuRMJJl8nZIEY1sUS+Pdj54DQiHop+zLace
cndaVm37QvtFEcgPQcosSaDyE4M8vQOa/Yy948do5h/BTRrsOdGTlmjPQEFbF1MDP6C04hFK8WN6
aca8BPeS0O5RhGaumi42EePJowCMkeWPIco2ACmWwH4kEK5xwvinSJtvVeR2n9sReXvNjfUHLHg8
cE9yHf/HKjvgpdWDBadFNT/LNi5errgfnBLfRSrH83yqWUI7Gi3WVGXWoJJI9dDBlUBmjaDFG7Ab
7BITRXugw3gF8PIeYp3tozfV/hnFgu2K7JoA+WLVxs0tC63pzncGrF/UgBhcAcgYVc7JRn3xJ6+C
nK7Uy6eomtpgACPfmQ6j1Iqzrg6LjZpCCr5ycnNbTQCEy5JfuBtVTz5QsA/cC1e62cbAtaxbt8yf
nKGrnhB5BbyxFg/kGFX5FSgp70atNm1/DGUzzpNArw60qnmM+1DNWakNLR5E8kDNfHKmNbBA9o6a
nVcjPYgA95aaYxJy7MZab22pi4IrNDkgu2GtqBeZeO3YVKC3oF7P7ZNL12GFSr36YLY3hAzuqRNL
1ySonVHfF5pmTWBbzloUZLTHDosDhJKKLLzgtxVe6EyT9WfwZcu9aVTOFJhN2CMAP4IJ3iiwMSyg
zKzO6BBBFeAYJjgszb/5LcNoBLnQsKX5f59queQfU/3xCZZr/OFHHYxLceiNxzCGyLIGlZAqoNPl
AOIPZ11Z9RBAKCE/LR0sASV9UxW/h1B76fbUjEuTzv68QN4hI2kwsBz+92ni5v2D0VXok8zG5apk
dNvGrgLXNu4nkWDvpj7EMoSaswud0pC6Tl+gvNkcNCup7jpIQzpIBZ1LxdhJh3p0gALRwno1mtab
TdJZmm01iBpdRnUHABst+LYVGWol3sfSiCoFWm5g5mWxTzpqt6ccTyK66tIxgl5HujK7ll6MlbmI
e3eT1Ym/mq/4PjGiVCjcBoe3pGvnosQuuTHS9TwVDY7Fa85kfJunyoVRb+JEa2YXX/OvFkiIdmCY
EEdX6OI4n7G8fzv7i41cBs9mOW5sjKND+X622Fw1zTIrdSy2Biyhq9TGHQ96N/+h7hm4qWIwqVMz
dDL/QZiQ0JaZeYuVRwN5tX3cOf2KOhvb8x8qxFuKRuqXeZAUUApEEQ8iX4CIloKXN8+yrqBJaX7U
k3PVXL3+YQt2jRlOSli8MOVnluTgZvL18MDa4YkA6QRDjxQWHZGA2b6YyIPsRTPdUGUe6CM2BLmT
3oFAz75Pk5Rd8UDaUIsO2gQ259zqfvRjlCHT1wGRV/sNX3luCBYDVkSnNrfVfr5xX7v3syw13mx0
1ue2+xrHYx7oVcFe595opxv+YyZEdu84TnYP3mv3zLvpRCaIQ2T3HYD4txDPMqjmDdGK3Pr+PgYZ
0x150aFr+T6zKnmh1pCk2X1bVi8VK8GkoWYm08DBWeFqZnRYbH1ltSsv1bMduVBHLgoUXVQo4iEb
zRk3kBONOjtbL1eNmLB22QAG6mW+yMrNAzMG4LUMDx84rSbvZLvdPQ2jPwm4iAZKpfWH2Y0GNLzp
/BGWPyHDjlKC/eu6mMqwvRt8Fp+XTyZYmAQGaBJRk4ovjHy524aBprnsw1/VmCFgpCboqsiFDv4E
DhBucGP+q2hS1vsQ3SsKsVouq3elt9ca4NaXv7Rve+2oe/Lz8sUhQAref5Eflk83lI5/q6JXmmv+
H/pDraKu421uTrV9BMOGVMU08sBMiCRoVTF8TXn3ycyL7FMKycYj03UgdJUdenb/j7Dvao4V2br8
Kzfu8xCTCQkkE/PNQ3mvKpXMkV4I6ZjEe//rZ7FR39Ixt7ujg6i0cBAm2XsZQ0ur04B1OMCfslxV
kDLayjgTjzWE7qgTs3Q+ryxWHH3D1BaamcazGgZ816bjT23VJ8d2LFmZM6yAFYFycu7wa2F1xVlC
9KqSIb9SVcMh7aVi5e+prmtUton9lM2nAaaurh1fuXXNocQJiB7W1U2wpcmhiRvuEBXhMyrSAAcX
i2bx7kJVzYBQYtQ1xZomB9skPgRG8p0a6XA1n++RwlV3094rowXazLeWNJm0w/bERHai/rRxguAt
DW1+oFKH5eHatfUGciL4Bw1apy5AqiyokapSWGTOROF2OyqGQ2ZsbB/BOupCh9CCGceGK1VoNjxe
nHxgGzoAyHqwnao7fErim6r1n5lvNJdB2PU5G9pvbus4X2Dt3i/hCNhvVIeiV2sLiG4Boxk4ziEr
YjjwgUH9BTqFApK4cbXPGh/QNf0yVTdw4KvzHHohiNHMP764IaG2mXB6N2x+iNTHvkmy2SegnhGU
MBPnxr2Gw86U+0z5a8WS97qs04cMSbZNXcLiB1Fa52HsQKltrAHfRfmqIcj5HpgAQIat+BEa0V0V
9fpLHVQ9/ED15GIZfrOWud7t3NwKEacIGVQDRfcQ9nDGTWDQ+XUcDo9S8cPHcDtGMBiXqLtyjQiX
RsRASRh55L7UoGzBQ5DPIq97gkcFtJxRf+vWjuzzyLGRRkRAbepmgXtP3cCO+JitH7vdZvODry4J
HcDyuIfMN+gd2izuv8W2B3Spoz/DdjgHKJHHm7Krwqe8EQc74947+DzRPAM8+lTbOjumvEdqzej9
9/+MbCOYUdDI1FKAbRsGW2hBgASRSqIn+pUoK5x+tX+o+1M/xTjDczOLPuXZNMvo91AG23zK6k05
NrO/auZgbSm9NrXayJItTS0HzeQ/OTrqTLNEebmh+i6IZsmAxO4pa7JsbUF+4FmPs0nPyookX4aG
LLZAIcGcN0onPSuspVEfVBDQ1h3taewvEScDSw0wBbNPoaOsZ62+HLHzc89yoIOde+F/KbfzoJ65
fu3unRC2I4DKhOkpHkwkXHi7oAbkCdOTDw9BYxEM3QIYKnd/6+b2prfqVWTPOwE2Zwugxr6Om+bB
a/VkCZWybjUVBwixCavAIel281C3fICAa3SgRtq0NgTDQOq6UIlm60L+MZvg7cdsytDUqqmTChEv
qYcz0syC/dChlbw4UalkUbkJnLiYU5E2CPJCmFOVJ5E7AGyOPUoIiM3FaCVCdX+YY+oxDvh5jj/t
xcjh/Zo10J70epFdtZDvSZvBhTvpJgTXatmNNwU8+vwxFt3e5TDtvop22DOYvy7xcLT3Xqm8eSUH
cSjD1HhikEufZOvqJN1BhTJbKKDmvlA3N8rFgTO1lnragFRvvdMdU5YwrsgRs7hUjFX7SjVywVTo
v9fxMc0N57UJIbs6VIO/Y3GUXMeB1F6EKTx0dMCFDD+0tmGEeaxSt74pBHw8r2rfkS1t541wvHMo
OYeZ6wCVUSMdYKIcfvQ14chSw44xWXAkTxso9EL7Q7BFR78MfKq2SS0RLsCvqXX8ZXhvZtXBxV2C
JjRuIIpZq3UJQO/arASSsjWeRBWWEdD3t4e1g+fMJbeRWh/10qY/hlf1i9JC0JX+lpHXBBc4y40e
XGfTYeZrBK1dmCm2r/rQsXkdBi289FS7qaxG2zBkOu9aUMLnyMsNL3nXHUhD20mg3umn7SvLI9hB
gn+htUH8kIB6D+o2fqkig20oHskPWlB/1N1a6VfCWLlskwLKQAIPSlA04h0dsmtF0cHKi7fpiMd/
ipVB7It6xF69gWNB8OjE2SFNNechgODTDk+U8S5s+9exPmJ4W+ieJ3aWDamUn+sHJDJmKS/zDR5/
3REL/u44mFYLf2iRrkM982c562BCQC225w+zKje9ddr28DXT4IMgnTGoNRZvdXYY9Rtg24pLM25K
COsje4E6KlLDrS4t7XKVu3ozJ5Qb4d3wDXyxheVuCd92q9fsYFgzYIdnEcm03pytHKO4ILdWLpMa
Tw+lcf0uCU1t6Y+/lNV//KK6P7UCWAr5HGAl1wGunp1E6mBVDnb2WBTJNwNRxm9+Xq4QiGtfeeyG
C+Cn+lMtJSJ7PC1XSWRbcz0ZtJkrY36QpIhAgWIqm4jIYZ2jdlRFG3uMItMvpCng5ZoNMKIFeHUV
2DXYyiPhjkBcVAcBAPjfGNYRgZz05IyP36TWX/ShYptAmHgkZ1oXbgXT8JbIQ3igN6USMNPhwTcX
d4XULfMtc7xgwU0zPjkhk3tvSMtlVyc1uN7gi8PN85so4x992lQP0vOrteum8VbFJpzSxsmox2DA
cd0vzTeE9oOFaw/Jwmay30BCkDDqtHGSJF+6tqkvqdiCvHdvfXQQhrm24hhw8b66DokLan/ox1vk
NEAwhMPDBc4gH3W5fdTcYJt41vJPnhWugVft2DiMqXg78dgCkMVWuyK6hrPQ+ipbEPc/ROpqg1yv
jlcYXJ4gpFhcPARjpjoqUgPQ7dXGmGs2BBAa0eiPoIE3O6Fnoza1RPiwgDXErWhBQBHn1TgGhgJC
WlrOPBwVxmHV+mSVhbraZhUdmj5056Tobf1VX6dGdEiN0Z4JEfgltHwjmBJmM9y2/B16GzUw/3p0
tmurh9YL/hCR6TdXJgsIDo2P2t776Nt4UDQ29Nq79zjEq2sXiSx8Gw6vgsGZp6v7Z9jFfNQTEAMa
mVM99R+SwF0qbQDHoKrCjWh9b4UkB/J6csBzEblyqNuAFBJG0YaHcfWFeniVL9YBzPlmWGzF80l6
vtJYt/5jmYTnkS8DS8aUzka3IA3nWSXcz+iU1sXnIrUi4t9u6fznfvtb6y9jb52bcapcavV6UMOu
7ZF0hRV6vu8QAVglBTeuCSBhsDlOhm+pe5d1rfvdGPIfhinlYx1xfFmqzj0ABV5MY+o405ZJD6YS
3W+sF8U60LwUsadxDVSPC5523ETOYMwZe7txpm+86gxiEts4h7mPAPO6teISBsV9/cHEvvWDJwPW
5k38KFjJcJ22BbRpYmMVmQAX+2GeHUGCT5aAPeVPhc2/ErVRs77isRV+u41h/uAtNNd8qS38MYm1
BoRxvroVnbLLV7BH9laRrdTB7EG9MrtnQr+naQNrOs/tT1LI9qDX+JDxc5e/leHUweiurOMzZAty
IERwS6RYYSIsLLID2dDEY9Eci9RqNOB2Uiu+FfVHav3T2NDykLmIEwioaskJywSsK2FAq+ed3Oc1
w1JzrG8LC4IBffWS1zI1ftShLe/hR7uAwq2KL54aCQy1f4BStym+JuAQLyCrIe60DK5/vWaHjypK
iyWcpIYjKF/RzspCaz1kqXE2gsycN6blvTR6ch9HqfgBYj/wjU79zcv/Gm57NeAbTahDyB/vCugj
OAjFOPHBrBoX6IHuiW5/qtdFYq3trJjch5xej8/gdu+TBMZIN0OiOPOqtVl7EMMdYEh0a+CZgOGH
doaCDZSoMqD2EVyZ5abf7qlY9elHkaiHeDt8bu1/LlJrwEAP+69j0wEYnTyJF5C2PZilnWydcYEF
NCIc2WQee0cq02bs4qZDsg1C2z9wLD5JzyCo2++umXpnq+3EPRvCE4khGElrrAEbDVbUq4+H72Dp
qTPWtlMvqtZ7A726CL3Glet/5oJ+xdQrKTNrVcvSWCJCCYBwV7Bn34A2HO5r95J4JfS48fA/giOD
HJTbeAi6tMZxAFQc5oilcV+lZTVPedJ9CRzjrXHs8LueVxg+5qHMKMenEgu/WQ6MVjtlMhiyKdzT
qoQ2StsjTdJw/+hy7S3SXDEtKJuQx4c08N5omUYfCBIs15k0mnBHizVH4BoEGT5bkpoX6XrVnRsd
tQKvilH5i+qrrga1Y6wXrZzfulI9bDojvBicfAbB3mEN0kz8bMNePOHSe49d0KBtaLGdgshrTxIE
akANKu89gDWAyaC9odu+u/55ZMj94ZzExnOClc0REkzJEave5IgvkGBjdtqTNHx/bwT+Sulxfo2i
oDlboQ1ASwtn0A4xl3nhMrahVq0xq4NS8nVqZb31rQT5Y4/FEb5aLKHB8hIRMupLGwjXrcw20e6o
5OeOtfj3v/73//u/X7v/o76nZ8BIVZr8K6njc+onVfk//7bYv/+VTdXbb//zb+FIQ5qmgIaF6UB9
xLIk2r++3SMJjt78f3kV9MbgRqRfRZmW10pfwIAg/hYkrgI3TeUI3TpiYzijqgKY9PdV2IOGW9f2
N6TOkT5PvjbaYvqOVa0X7sFYWYe0wmpNs9kAamZGJ2vw4rUkXTnYpYqZ1+f+enIZDP3qpzJ4xCcP
QJjbMiMIzWCBbEwMgxAoE9FGhe7nOuqcx9GC4RrfwZ4Y6NlxYyZxdzTGTRdUxSrFQw+KTH+1RkX9
BWL68cZsGFbsZmwVwCPJZupCY6kzTQA3BTb7+1Mv9N9PvWUJC1eWaSIHbYmfTz3k8VKtLW3rWrV+
v0ESWAE1xYdlLLT8pQiRNBmXE+0AHnQuRXGmHhY4T6BqM8DE/tyrSFxtF3vy0zwtG2U2jK6GWbG2
M83Se4n8Ql8ERtgebVhi7vMMOhk9clNPA0SfcXqtb2NX6E8D4z12ZS6cRlTUH+g240V/V3uBsRNC
xzMXlAb7H65Lx/j15AiGqC/OjgA0xDIt8+eT08owl4DOJ9dpkW5lJnj5qXhChiK9wFG2uYCq/0iP
Q79MtBU98qg49gJcK7n0GbyKdc95Qwy4XlpmnEA1DQ8mLylh1mCa1Re9Lo72uEbES/E+CVj6bGoZ
LIOyFl37VOxL++xpaXEG0H6FhL15TUc1/RzatpA7CN091UEyLFxXGfQfqZUGFH63MkddfkTN4Fpb
+AK8PSOeIzgVbAc7gWq/m4Dy2LnQzDDasJiXLliEXnWFd715/aWv4OfS0rcSzh2/LO3JYU6vTWc3
NpL93NAosJNaBD2w/GUHLvzvRevED9W4QaQwK8wAAmAoxL7VzBpQD3exkyUPes2LlcaHdEmtNLpt
o2l0CvHeuyneKDKdLXVRhZ/E5ZvKHp/KvFpRQ64z7x+uCOH8dEWYjEmO/004ZtugIdvGeDt9elLh
yaL3kJJRVxOvKNjHse7UcsgrE8/Qz5+4U+pvtAgTWtMdlOl2J81zsETTClhBBuGRXGUnl1gyj53s
Yeln4WRZNqtGtzcfIEB47+QBzGXCfE+DqIGK/7Vumkyx0F2XpQTKpjdktLHbge+ZkHxPv0QXGvks
8XugrZAoYhshg+2t+bc+U4Uo6vU/PHt+fuyPJxMCUJZglnR0CNE51s8nM/QKxqOYufd2V/ZIxcbO
jIO/cNZ9zQHoO+bLJnKSl5SZS1rrUo+i8MDSa0ULhVsIzyKNmElwj5tsUyLPMD5ni/Hp+mkDktGx
qeHlhg5UDY8PBJ24h3CaGpJ5EXLIu+osvnAn9GcUbKEGFmsfDcjO+IgSQNZdE3UyD7IMWjauE10s
4Fz+/qw49m+XmCFsZtpch+QuE8YvZwUrKqGSKrLuGexyj8ZomAFpkxAQttHlljRRlRUEiy67+NYQ
LT5JL6cwNCC5ZKqDfh6IsRJS8iSt7No9cHCdVS3KItCgxR2Xc4ICpibkOWCFrPbmiBgM1NquM/v5
1qu0gE6zGawb2zE0lLkBRDF8TW2oWI91rQRDyeuN3+qoXzaGmqbOYz+q60uJpbbQXopR3ntmq0Fc
8RiGr4iuAih1WfmWWvwcHltuARsuav3U2xFlCYNc4Ry8Wh8vgf4Vl1O2CvRy2CQmgCpjPUs7C88I
BBWhmoIvfgj2S4DxTTlrSqe76iOBJAMRGalbfCmNpbGt7eGgFFUIy8EizFMJ5J1b7m5h7p2d6sqH
zPxQuXsZ21+ipK7uqSrFq2sRIYexoiI18AgUKsbf/v4a0c3fbh0HfhsOh7mAYwp8hY/tn55DvcPw
uuuN/N7z+Bh1Tp6DsvDfkxagQ7ez2BmZHx/wPACAoa/nvWdQxEB+333JkFZawTcVKhm25T/8PNIp
GoYPmP7gxJoPjiu0WKw2KBCTglwtFaU/LL2sHq6NZ0NVRCUrf3TEy1ItPUImFlDTsYgvjGoj7VHl
ZizGBcRHc2l2GyqCaPQxJRVhhbz0ATVbSgNXOTGCfFcvl/5gVZ+o12CLY2VUFBNxCIGqYRsJUN0m
6rUZQ0gCTmB8ol7DbS69cw3zE/U6U125rNu4nnZB++lBzAHuWw/tF12364ulO+oubMB/7UDieTFq
HU7hjMUHIBTsB67yretl/AWqItUKz1R3Td2CAPrnGXJdbSWBd2rwBUH1lqjebtMaakAEeBxO02Z1
qhCKzw5lLQbgRmHd2OeN9wDNdQF8DqJ1hV1u+xIZAdAK7DnUL/xvWD4ls3jI3cewGfSFq3XRXQJs
6KZOG31LM5kVMoC3mVoWq3sn60BOhk9W43ZzHaZxCE6DmyzHDdWbRdUvS9Oo59waPuqogfp1GGUw
ZkxzSH8NE6vyTipEUBJRx68QgN+RM2QVVHuzG5wXgBiteWD3HvgTsE+1q4JvOh8Be64bBo5Axq/S
L3elmzyCzBDeMTwOLz0+jOB5AYNrM20ekOdSsLNT6UMaDyVsArJmTUUrj+pt2QA4TkWYMBvnsmSr
oDbSCyLsfJGyyL7X8zS6Y7m95n1n31NV57vVwtXdYWWMdbrISzh3TN3dNkpOepZsKVgL0yCoG0bW
lgJGHmXIxrqqs4GNbhgI4VgsSUi3vWgJv/iFiaBeWm4Nt8h/NHr4ZgSDBOe1dOf4TBfnnBvlWkSl
BjzQALkGsDhXmV+n93+aJwq3XZzlawQsmmXewBIv8bP7bGSjAAYJl+SRiJJoKUwbyyjBLYU62pgw
DqC+1oCnlPRz5OS7/otM08XQp/1jEIKgIXOLI9eCL3asbgUIGilepKO4oRllCxCLul1bVAUycG3T
hscySPN5yZlzgT6ptzZk5sNxJu0PoY7oPCCJ9tXSkSiwUk++g1O1jGIlfqja2TcVMjI0HHAA5yKU
568BaBpWf/8kNH59W2LVIJjB8GKwOOd4pvz8IEQYKq/0TmtgGM8RYm1dpJeIMgC5qbPj1XwDqTBE
RKiugXeUVzUPQ2XlMLyBSr5lZ/wSNAnWA20ef01xVQJcJp5vPYDhV0hUu/7GHiVWSGelhsgqvn8a
Z0miKvVoYEu/YOEIY9y5Kst4WkcYQB/Pa9GHp9qr9DM1MGRAzn9/Gviv69LxNJgM64bxP8uiL+xP
7wO764Dzlqw+fWDabWdkkuKWZ3A+hogXwgCGPkAv83bTR8pYiM7If30Y0IgsAsif7n4vg54dMmXB
/O8PWfBf1jk2l1xK/OUkHh7ity9PME05jAb94DQt6AfXLqCErvxXxISjMSgPtZ1wnTsuW/9VTe/4
ggNK9Xu1gm7jVM2M2n+F1catdxlU9sL08wQaTUsKc8a24z/qJrRc0mjZeyWEg5HyWCQh9+41lX/8
ghGCWLQ1aB6J4mLRj79u/RJY5P3D5zh9P9wiISbe6fgMFviwMCxHMJR/vpzbfuj8YjDDTe+C6mXO
DZiyNAOstm0sNBFAsu/boYWh7kg4aevwDNBb8XTr4WpiQH5I72atcuHaqIPK4HcdrJw8CExHeOeA
BZp6V5PF+a4dW6lIG4VEcG916uAJBq+q/4xPWjMET5jzd9bu//4a0Mfows//XNy80oZKiNBtG5ys
n/+5oFrEPTJZajNxuIxsPkVkENt3jrpKkLiEhkoxbsJBldABR33TJ+C0QaB6FlpQcVR1A2E+ZiNs
rXRj3UPL2cP3Aqi7n8q3duKEyeIfrmb8kYwxGvDpH2MyHf8SxzF0RHiElL9GsRhcfVPb98p1VIdi
V8MufA6kEBBsram++LEDCTwAz6VdgCkpOn9G9UAA2StoMSIB7SfeF4elEcyOTOvEkXN4jJEXpW5J
aiZ75SHsQsXUhCx1GbQMoo4+Vstdle2QMXsH2Cr4EWcnLBrxRkqUgYyUK19GqeE5IoP1vXCjahWz
PD9UUWPvkERu11UhhjO42WqBR7n+PM7TVK7/Yxg+5tE1KD1aSCZm2YkrDy8QKEg2JwDtj1KF6U7H
3c3H8FANBSpVHwftsYDuxol6UTUV+zofNmA/v1E9VVEjbfomdxccy/75tAeqLMcpS941szpJ1Jrq
Pu1M2tW67oNy/6kubpL4ULF8YbY5/CZpCO3KBPlrrUdF/LmO+mhmkY4eaA0CFr8fNayo8U0ombPG
SivfKgYVxAjMMbg4cvAzZZQswPbTzUOQ6QjXh9yFTF6tNXsqpzJV80pxH6vbfhm5pQVXtSHs5xBQ
xhvFquKrXXv2cRDunSU8lMaqOnL5rKyYCa8QM0b+Rom9JuIftx6tyX5ABNvGo12EWC9iJBJx9ray
YbNMczjjRBBOh2hBbR6ph4jycIPYOALQYyPVGaFYInTlnac9xU6/ivt+WExz+FjxBkNwZxdrvwyh
FDeO00uZLLnD7eU0Q+rmFwP+lrdJbT74CxA9szXNKobMPfmR2kmTmekcdEA4UmRuv4nYtJ9KueIA
65Zn6k7zdEjrzyoIae6o6HpSjKwd4DrHQ6BNrqCnEVn6gUYpqbRNkeFvQkdFdYYOOgJy3Sfq7wsf
4hwu9xZ0bvrOfTXS0j9IaMPhGdOsdE+Iewg9intjgBQW/CScZWWZXjLvtHAGx5b4Ql2AMTBAYYMb
qa/r6VIPRLV2GqgJl9Fb1EbRqhuEvxWanj1Fg4sFiB29AQFZLqwq1fdwHe3utaZ557kbvgEXhaVE
UvGTVE54h9WpNaOGxOp+NLmtXXw3DQ9DWUUL2gEi43s5whnTpj9Bqg8y9h3+FLSTyH1IM8eA+moX
raOsddal0LIvsN6e96xwV3pUglrqII2jVfs2yJF7qBEMnOPpEmx5aDNwrHHKEHlks6zzWT538RBz
uUou1Motv1lY+PJfU9HTHOCZYLw6TVXgGs4RozlJp2ZXGGL4K1dHII+KeVKwO1AaN1PfqgM/G1YB
6cotja80m53Z2homu+YcX+H8qmuduI+NPbVNNQmYEDEQb9OhSq1KdvhmgdXKeORGhO8riIiANlTi
pYl47McxjzHRAMm6NR1HnTJxMETyccytJe8AJ06mYx4vhxW0DdIl7TUygWAfbBuZ9HEH44aOG/Hm
djquvztmGtSV2m/HrMICgv3Iu91VSbdqtdBc14WzzZCbAwetzgDs0BosLehnH9UFYKvIiWS+bW4c
apFaCrZiEsHWbepZgdQRmFLBtW3EhYxztEBUr1xfPoeGByNpqmOQF/UO9HOqzRqdzQC1cxMtXHg+
XgBGeA3KHHyOAipvWIJEV/Auo2sew5GydS7UAaABY8lApVpSMWOhfo/B1JGGwAFMLlqvTVZUV0ok
i2t/DivUfps20fxjGOYtvQq4nDqH7rbeRFemzOqu59b61iPO+xr/zDrd0Fz1UDlHnJGkmedZtqd+
NLRQHezYWFduqS7pWHvoRfAy5EO9lUYeLRDZDdai6swdC5P4qLoCK/Vu4SbZVoYp7K1YEs8iL+u/
e8MqSuzyRx8NX/EFrT/JFMmFoHATYMIhfDeUAh+WeqUunQsdmaTR41edS+SKMQiAWXzpVPpbYBoQ
4q+G+J723PWpuQuCztpCGnCdSQvyQvpg76vA+260eo40qQZxS0uaRx9vjZXIFAebDpbZfZg7c+YC
86CVy1xAmCMCyuJNKnaChPaY/kTURnY4yQGAAp6vp9+0Wn3N4ez6xepYOBdt715L6FMuYMPAQPsY
PvYNFn+2+2W/fq3kBXwI0OY8r30CShgEZw5EwU/7g0U3+Hxpma2cPoOCOdTPVwU0QBZuBAudpOFY
cPcNfwMxb+Y2evnilKDae1CN2zDEMp4cYe3yeJy1cPhcDjA6MrqG3yV+iFwOjUQs0vXy/uo6PNvZ
MJNe0oA4WQ96IF9BLYlgkNOWW8D05cPgWGdqH6wAMV2etycvQ3ge7Eb4nY97ih0FoS9hP+C2q7Yd
88JVrhfuq1uspoGGbJZ6PaQ7zhDhgsnfl+lAgJqdaQlOXIgPgqOO/M08HScEcGmX+nXyNEiv3+ig
gq/iqq5fwqyfUQfNAD8P3n3xHuJL+b0jYT5FuypNkLdLrBrOChiIgwUFzAU1aGa5cvDUfK6lIdYS
UqVrL+y051TgLz/uExJ3+WLwZIQULhA/8EjOp9OVwlh9BryLurc0ONS4o4kwjSgCIH4QSHqpBkut
uyErNnAh6Z+GFD4r44kOY+gqQAAzPlqD5gCCF+izAa+kRySrHvMeDh4+8ASbVIWwDZsS38h+m9BO
QDzLQupyFIKhBq7sq9bBnHN8mxZaYN5n40ZGWNvlRqAt6fXpOw0a5FfP6srphZrF/rBOofszp0HU
qwF6t8dy8kglq6sduG60eA2nqb7GMpfvwKCa2UDFPEZC0y6hyvbcbdRzZ6c4OSB7TrHIouCAObG4
W1KrFatooSF1t6XgI5CkP6JMshOVxhl1oCgek3FGyNNBWB3xSzPHfv8ii0ce/CZBCjkAeyoPtdlg
ddrknb5p7fpOHxvAdQOJ7FOz1mUbPPSt7ZAF8LADLkseXFP/62fvWXDZGbpvir+2QkHsu25iBMEc
I5x7tlfNJd6R69xgIpzDjnGtN9I4leCb3A8F845GzO4+OicaEn5dHS+mso54IRiaeQWnm3GyMoEP
KQsuke9E90iNI+DvOd9rK0KbXst4qVclLjPaUSnSr3VW8SWQ6GwJvLMBJS4reI6UZi1jzUlhbINi
3kKS3fXC7EDFztA3wKBhFZW65jUZsmXaJ+Gz8gpkMkZTLyykw2e4Jch1wdyP1iDqwgUUm/ottTbM
fhOpV9zRUE0tB4OBsRDl2RnBl0faT5yIfEcHFY/zgzL+54Oi1hjRRzooDQqfWCyE+drtB3YglOeE
9xyLCRLgMxdfMpNYAHWZZAQ+IUOV5iLAPnaySUzgNtHUieb0x05mHA+LvFJLfNLPAUsKrsCBDI8G
0O5hBXYwlVibYokGNXYqSW5sjYGFUynK+oOh0vZMbW7l3EGvS95RSVfsmkNacioBVflcdzY/UVui
4nfumf6kGs7gMI/ciGiP0y5YEc1wb7gH0gaHwGoxS5wegJDx4Nw6hWYBj+SeWhO852c8FsjTUCv8
33FPRUDa1oo9WrYTzWN2rKwi3CI1lj4Mlh2sQ43xBRVVxKqjLNwvNrN8XMXwKVU91MaokVXYVWqU
zi4ptfShC5t0lQQI0VNr6xrxoezxRJvGVtBJkdEDdY0TSJUjUI+F+7hTr26bJRwfImTfMZEDBYYd
0P9R0ZanyIC1QBTGfIH8enkyc/j8ApSDn4EHjEUPx4bVVJl7Dprykp+DuBFbhB56WMKNczAAQWIj
/lK03rYbgFGHOGJy5U4bn3LfOzGNaynAogM+2LgBO6Gx1fTLau/2QJy5cZ5eqQ5GV69mrAOINVb5
TgvT+PFDqKcJeg7Wgp6WePpifMcBnXI9mDtSkUbo2coLG3ZPNdzDWq83o3BFbV4ftmeEQabu1KPt
YHhdZ4gkUVEi7Anh/uZ+sLtXSOVUB6quNMAacYE2OyqqMhdgGoEuQEXatIX+YFRRdKQ9OQPoFT7e
XqAs4UBpw8wFvDcWuFCicys6tjRY3SzxpMlXSZXaCxrYpFy7b79P/9oyd4ZFD7I5YHmYZQgM/S6M
grXu9cmVupsJErM6G/SPw5dK4BvIfHZC+E3NwRcFH1/N4ewEZW/bMM6hPSKzNbm7VdGvsLNXQPJ1
RypNVTDcQNqw69Yg1H4Mh86/Aeh438yhdLD1ss5eRgI8hx4o2HMTyHjauKUcDRfcnVOnkJmJS8jd
dV3y0c9w6nZV2zD2c7zMX7Sh4kfks6sjkIDxIuwi76u7pTDzrZ2J5m/baTxezTE+/qJ0hSyXvciR
ItrXFbj55I5+K5KIzq0I6hDkZ8bOoCmiM5bfj7dWGlsClrkoHNZtJTJYd6XBf1BK2JIeJNqKwlpT
ShirtmMPI4L7CqtQ6uUG9mPfQq9Yxa2zmjyUdP7Y1H51cYSTXyIjeiIkTBYoubKzzFnVeHUiJTvr
LdAqQTJO1zedrUgr4oOHz5Yw9L0MKKC/upDGVth5+QJSON2yb9Own9lOcobuYbAlgNRURzApq6vK
xWTuBs9vAESyDgroFpM4aRBS9gYByG4C4gx0/4xHaoXFGAyO4esQha1adQpxukxroabJ9ZQdvdBZ
cmTHzsa46aF+cVZx9t7rRbijEtXLWv8YSnW0YZbWLXp8tN2ZBrSOfYhT73u7bB7MsC6XVe6Vq3Ys
Co3bWytQ/pxaUxE4d3khdtRIVVnTLByD8QuV4JcDed4+TvfwYP88G+MrXxXWBU7Z1b0WHms9aS98
tD9vY6TQHbdiM2qjOktpsLHyWwSExv5U54THqqj1QxPEp9tAq+/YjIq/DDQSE2lxDAIfrEWYYvjY
Ew0I4v9P2Xnt2G1Ea/qJCDCHW3Ln2FnduiEkW2Yx5/j087Fax214jIOZG4KVuCNZVWv9oQgPpe66
2a1gnYDogkYIK3IOilLo5yIc7f/rjBX+TnNC0F8d0SMiaUQpVhYC8ICxHqyLLPWTYp0xxvghS/IA
5H8OEpzO90Y+ItQ9uNHTQDx1HSwvE8adst7d8WZoU1S31yt2wrIu46iIJ1sAksoKPCCXN11+pARZ
640pbBcJVL4+eUia5pwZhnKVpXmERzuN2pssNc44XJrSXfYZmbNLHAkcJddD+veZFXv9vkvrD9kj
0+rfPWRxzrLAMqsEW0KzQ4IWEtCCZa3voZZ9G+vMu6trQ742lCZgVgRhoemXo3eHbPx7BGzXv5ZK
h65jZcdhhSgY2mI+mqhfLnr7lK8wBYdH+6GtCKPIDrJuXMWAFLCwn4PaUjEfHW9XOFfbmgI71WPA
0oV5k4fRm7Bhw0N3N2CoxIaeBuGuQOd5bTHhL04GITXZT7YCLnwZcGU7SGWtwrOxRLHdsxTW8jQ0
9n3ZIMtrqxJGf4D5hH8v8BIqvFF//jqLlFlsqrVOiWg1U++frV/9ptK6YHbzU4xj/UFwlnQIP/+N
vKv+VJONlPUNHvSEzdrqoE5x/SHYJuVTZb8NPQseJDjZcq/1X8MLXGrODdDsh05HsWbBx+kbGwkE
0NezZq2TZ7JOtsp+49CIf7e63vh7bNmETeCNQt8riwFJrhOIJKHEfwKAspVVX/XyrLS76Nq7Zrv3
rHR5MbPwqmDS8ed6AmRylCeYwn/WOA1Ovp9W5CG/RJ/04qQ02kMWsoeI5S8nT1tvwazHnUcCJPym
9nqQDcaii5P3PyNcPuntkwrkYNwCxsNYNno5dfvRrbUXfkplP2ZRsZHFrAVpbBG28WWxnVK2aawU
oibW+8BQ9N04JgnYIYZ6IBz9mjvvrHSG9iIv3CQ1gdW1KGwu7BXE2kMivOgEz+4DAmPbSujTzVvJ
QemERahqRZsB1hOp7LAzjW8ohiFpmOZVoHmZ+U2xC6K1SlHDc6uNb03VfsyWkT1ExD9f/mOQos3q
pih1+1pgq60oScpaaRNFoC65YzaxPBmXDTOWfbAN29rlil7sZzDexMeZfGXRaE12VuvkK4sdfqrB
kov6cZ4z86RnnhIgAzW/q4gmBUNv5RdCLsM3MGmFiWeC7CUqU4Fu5k3vnotoL4JP+cUYFNlLDv6v
XoYCF6TQbEE0JB2+mcpVXqHq+t8vK4v/ell6tdlY7mpl1DbkD/Pb1yEx0IOr1OtXTa4xj/tgsoKm
saqLbMBdpLhBfu8vKsK+70XOvcw884pLmH3I59rapWQ+34em3WQrZilxMDGIqs69JCjB3qcBy/NP
MBMjwyZJX7O6+z1SC/PPkbJD9vfIWs+Nz5ES7YTF5ONcdocYr4ofbbGfEKz6q8GJ0q+rwX61UOnY
lsMYX5taSc+NMuk7z7LLZyIt5LacwfyjX3pfjkrL+aMXS/ytIxi/AVUmbsIktapZxO8gwaZPSRuK
IMqz+mc8uqg8kDlLQ2ZUpWrfl9ir0WxpxR25yOHoNuUHi/58U08msSiMl9B7mt3vLDjB1PbxX6vR
SQrr7aPINScISyt+0LpQP7huah9KQyNJBP4em95x+jDtEhsb5lZNCT96JoRes7xbWGvlywCFIKjw
CDloXlm+qKSqoHt6S1CZonoZ51G9d7glct+VL7KHNbmHaJmzB1llN14bJK4rjrL/Eg3Wvs61bCNb
CeJ3N+TRHuVLySpXTBusdvpHWeqE4cE3wsdEXjuOG2Vn46mMNCxvxo6MEhBs9V32ncq8ueWxBeM7
VgzMdOL8hdDVbciK8rsRg5E2kfQ5Na4LtnaB1NFq5fc5nFHz7E3+FHh5vFfqT9ld0cAmTS4Le1lE
l8Epu/GjNPr6gLNeu5PV+JhuOjPJ4VLk+rHURb2VFx0U61RyM77YRQclzzCPYMjSp7Q08e0xAXe3
zoA/VTmETIU1czXR5KeqA2Uk5gGSVzGmgR01/QEVL4UE6Vr+fxz8ean11f7zAlqEC2jSlaivrIoN
Hcx+9CxeEw0xsl6rLF/WF9q0bKpoND67NcX0j26dm/2zm81i6aiyTr7OsbQEJ4n4Z5x2nt86Gn4J
3WJ+U3HeLdCDflNVT9xtuxb+sj5EWR8Mew9uxlYW7doiD0+g4CKLofE6RHb3JozGvE15lJLG5GKD
bUEm7pE4TAbfJuf/B2z2jaoXBCcANp0TzfO+mwZuclgnqk+ItQy7Ke2Uc+jV/Rlyt7sz4kp5TGYE
3wQc7+/W0N90OX5JkYEa4+bPqsCiYnK6EYVWvIer0CtuTjX3R2Ss50MStt09nxVUhbEieSNB9CtP
BvFXpB4s3eB91Jr+6mbuhBsN956yksySpNb2MAP6UycW3FqHwtrGaH++qOuDgt379FOxW7SsiYnh
FzkcUkMND7PSRJuu1Y3XIu7cQ1UThJDFGUjZIVXS5LOIyalx0L02/SyOEXdpjvXZRi0T8zVTJ7Ll
RlEwv1LsrGSiaJefnR3S1YcaI8XPVruJuoNDROhzrCgd1nmZwGpwHVvZZE/aWcP+cX1X0HtybOOU
4bM1tyCS9q6KCuXa6nlVfIg0Zf5szbxQ2UeDpn62LlkS7kmxQ8ZYr9w4JEKwBDc+Wy0Np2dLR3Bc
XkrEqrFXO3RUZZG5TdsvfYtswTq2mMZlr1shpinr62qDPu2xb4OqNbfH1q26QzgXr3gPTZMPy7K9
ygM/7++zxLg77TJd/t1DdhNQXn0SedleFtsKk+FCWJgmrfaRuam7V2/pwBlV4Z3J13AQR7HjXR0h
fiorZT95iMrkpxODLJUl2Wgr6E/2+bhL1vFfXZOMWFSWkAv7qpNnna6+6AWWpl/XbnFmPbvCOrVx
yIwnu4UJnNsarZyNvLCW8/DxY9jjOSzr89eLhSX2I7VSPqRsyP/x+lA4WkSOimQr+369mKOnR8tt
q8tXfR8p+Qnt6jf5yl/XjgvdDQiMaZ/XcJ5DR4MqutqtyIMS47QiPFyy55VV9j/VWSaszpdlHauM
v08tUmnotyA5YCj5RgVgcfk8lV27KlN80eHHJ1v+l8t1WbzXw4jUwvqS83odO+rZFcmyOSsuEiOe
vtUSl7UZOrjeqHnHOuJfLou2lTrsm0R5VS0vemvwcJP12uQax7pRWcYCvnrXWqhgdgvcGZSz+ZoT
DZD1ae5Nx0VMkAPlxbHlIUcCrpAYCAtajVSAPFRd4l2a9SCLXWfVOzWEKC7rxromSU2Ov/JVXTWJ
TCXONXE655pm7ab3jOXMJGwSG1sb7NAZtgS+mFfSgnW27ChbtBjbxrW3WMd+1cszL9R+D5PFz7FN
ZJ3MEs3Vn3XW7udZVy5AGjLXzK/yMJsxglXrQZ7JupiE0QYcdBP8qwGpcQiI61jZOVGG/axW5elf
9bKHHEqaPNw1LJc/X/G/XkyO1RrvJwHENTJH6Dcbw3mnrvaI83oA1/X7UEkDxQxaydGO1G0ji199
RiNSA9VTxr3eOolvaVaMoXQTHZ0qz/ajiLK3OEwfJaVkacOEv0X3zx4eYPT/vUeo1N1mXjrkYT0U
RL2+I3jVRcVFV52taeC1+1XlZAniCF/lrxGNnvYHo6yv0GPyi6z/7OzMqrMZchztrL7vHtCah9li
4tgxETvxSPc1zgFbqtKvZ6t7+KysinYPoG8VcqWuXA9tk8Vb9tjqRl7ms0Fz8I9JUdNe1NXGafV2
mpRZDbIs7IOvusQVjvNZLqV301eTpiGn6suRsvIf7bLctmhh/Oty/9lxWt+BbJEHeUVbc3/XfRW5
65jYZR+3qHGE2aUQ0DYeGZfJr6K5uk64MZLZKWv1XMNNUQ1BUbb0Yav3m6hr4FbyK+9kpd3YqynI
bCSbtEH71BjbpzpWeZbosXN0vZRwydikj7r7LttkDYjT5OAQeQy+6mwLH4+4gE2npVbzJMAKPJVP
srs8ZIbHsl11nc/XkHWmUBNEQ0R70Et3PGi5CgYmz7Mrwbjs2hL7OAhUIOqw1Eb+uy5H2SL7gOXs
wGMP6DivvWUD3EltVw4GkmF5pp9KKx3alzDH8NeqscLz3Og5t+LpQ8vBrDdW3pGHrjGlyyIAEkU7
n+YaUj0Lx+gBIU0MGhUYmClbZ3/MzflPiPYBJJQx8rN+BGtkeGCWTAQFsrh/UUKSeIPRIN3hIL2t
ZmlyVNZ1F9ylcmtM8/RStYDJYxtlfc1Nj59XwuiU4EqI4GPP7ZflxS1cckRUu+psWDp5XGfOKrJD
/1OWZ/LQxm15MFsDsacoutp/HwitwX2feKzlsavvVbf9kI1f9f/qu0y1WLFt/3mNr6EidYcTnnxb
ee2venn2VbdUbnyJkc1e38G/XumrTr6ZdEF62cWF8O+ubmHG+9ouENqKrPaKMCxG9U5k7CY3b7dN
soDfzx89ByKnUnbuS1XoDxX2S3eVROpL22uLvzhddh7G3HtZwr7dEHdx+A5oNdvR3hks/7f6WvRW
L91FAYIjr5QMjYZvjPghGy2kgp5CbhfW3JcmtSps2CJudbzXOYarnC0ZKLAMsixPkUkfTyBaV97H
5L3mIT7f2TTeZAkq53NeqOP9syRMAlvu9PBZsp1DvpTqoyx5KRESG92AwnC+gT+HNjx2y10edICw
2yI0VCAK1BW1+buhAVGJ5YrrbjvV6m0Y/msLoip+xBPq8HWFGp2AexKJfZHFmNH/fWXI8d62MEBf
ephwQnfKzS3aY/ZDB+jmwSyd5DCbDsyyoQJash4MoiLXHOt5PWQ3wqqUut6I9kazTCxPKcm+SWzq
fmPH0NWx93noMU1KlOmixvO4yYls/USFp9bsnw1Kexs1zfWLoVTObR5Iq8mGGrY5vp3qxzBacDiX
7heELHc/t115yjFrQATw6zQBnn0irdsuQRLp5anTbLy7JiU8YulAzBlCpW011YsYgIEzwzdHgnvV
S84CZ99ghb2RrTnkwmsz5m8Eo7Mu6MfFd/u4farWpCoqM4tvObg4DpGHKQAMKWxF+kI9tVq4fB7S
Yvxn8aey2DlCv0p0JioEL2U9C5dS/KMoG/5Vl639KrfAglYO0ZZuy7PFOjTAgSYhyHjMudg6Qm1g
xcbJo2Y1MGHqtv7ZDvaLN6nGS9pP5iF1zHCXVUP4TYFGMAGl+VkvSI4Ww9zdEjU3rhPZzqBupuI+
xUJt91EEE60A5YUexhgetTbFK7LVwwd9PbBrqm/jSmRLCPdvwcCySG9HXGNolN2Yon8Rvk5O8hry
IOwYEHi0g5YKLk2YC97mSBmaxvzdqCqUNkmk4wrVJ/t4ABEeDpa4Jeg43MpaoPnahjaRCIpfDWIt
5mYH9MnAhOmrQbGt+qoA3HTqAuXconXejShEa1k0ztmGWPxt7H/aa3WIB9SxX4ODZAlqHwRzdNDg
uqKANSq4o9rKBfKwuR2jnMTP2iDrZKulsc1FrJ0+wGHrAA1CX8kX5+51IMRdx4x/qnP21Na18lIB
7Tq0i6nvsrpQ3gtLCWSHGYftTV+n5kWODAugOtJ6BZuRp1xTye/+toLorIzZLjXuiW3pdyKS4y7K
FRxE/q6TZ00i6mANZ+xmbx7gELIzGubJ5Y/JWHmwmky/eeWLLBglDwg/B/R3nErnT6eZ+3TLujvb
mjD4Nl+j6nV8ZFSD386hs5cN8q2EYB+w8IkQmV9dsR2o+ErfircZz/f7UGmRT0KfgHOzzHunbp2t
7OaGpAhs02PeXVv/v0dZQ1y/9pgvKYY+PCBONDzARkDqw8AnmUzS5au+jwsSxcvish2km2xIM1W9
EGI9ykGyns+L6EM3riEux7iT7SbCPrr2N9VS36WoTuLt0R1wfilRi3y/5lZvTqvYm8EDX2dEoju2
OEYdQGYZd6tqf4/mG30HPfyXEfW/uFx0/dT5kwqAzipNIyxcnOIQQ88vaUDZ0A3TvchSdaNnGmDg
1r3OGqpqUpEqGfR9pMbuVZZk/Vole3mLCPefiV+9KAH8mbZ4rmY9fFTyJ0DCUF7Ww4Il0yapp3gn
i8BFVxvlet7XyYKwpdtfWq2b79aSI2RJ1j2AUrUcZWPsTPMOF+ZiK1vxu53OeYEPj2xtchS9ZnBc
slFWwbQAamvOd1myQmIMYXsJ2d4U+mb1m85WO40BQOkmA5AeyOKXX/Wn0Y0sT2uftla6QHpaq447
wY3W5mfXRbZTVzAyZcm7PCuwethMTK/zWpJVqq6/IRObXWX/lr/sHpt4Zp21hwuM6HEQJgF8LuZB
pkBkA6SYjo2OHt+wx2IJOPH0qbLHWbVZPZrxlbyUuuENjY/I2uksbH2em49TM1SAK/U0mPMZvz1l
wCWgf486y3tITzYPm0cHbnc2z2Rbs9zZm0TXd67j2TuzzN6rpFIA6dtKIEhPHkjHHhECjh+9kIe7
Bkfxu0ug2+xQaNZ000Djwpxu8kyxgBvVFQKOus3Pmihjjn17tYoeewHxJ2ZpQrFEzpiSRzXE7bgN
zY1b6kRx0xVJfnCmx9lbV0Qe0r4Rr48ExlyeDL1Zglc9huWNfMaJ+3/ygbH9USKx91SpRnSM3PzD
G6IfIom8fRhr3iENFWJbbIeZJWP+RcurFc/Z3l7RDG47HZOm4rOin+PG2BSblj8jJ/VQwUTcCWQP
0hD0ea299Ib23dN011dBhG3MPiTaqTh+Y5AgUmeAP2PUB8PI3UOUoMBzqsO2C80Q9cHzVOTPyRP6
+iIgAJGI2AJ6diCeVlO7IdOxHceeeVnNkvMEbNEXZXftCcdHROz/TK0Cidna6LZRqdW7qlNyfzQB
mOrZEKArCdAp/tDsfvnR1f0e/8Jju1h3o2rUs9eCbWVyGrZe3BS+Fs9/hf2PpkB9mb3vL6Sw+S7a
D1QG94lXfBtywCR61UPFLZ900Gr+2GAuryvfoiINrKZmWqk77MeE+SMr3tH92hl8M4WHad7ktL9U
lgkby3yDDVCfgByzO8HsxTeTgZCBooyBvhQZACvrux7rC4Bv1pReXIqADh+QSbdVwQQ755hN1VV6
i22Q1UtE3s5K8SiYyn4PWvSHMhbFSx/+VSOhu4eE9qoQHWWdsNyqiQBSHq+CU1PG5LE4G1XTb+Ax
+SRLjSoT4QUgkuOvLImamzYbmKFlL/0waK+GcxpAUAZKKF40eCGbEmWDzcQzgIinecRe/GYu06kU
Kk5caX4bOzyfNCgy2yXlxyDRO+xj8KSnODp6dbd1dMwTw7LBIsccH3stblh8dvU+thEdHIb+AejH
xmzmERSyedJKV/HVOM5B2vXPzlKSsJzLZdOHRXMSyXhserC5SC2RmgW+rvTqYRzhmJVmAfAVXBey
9WT7YwcLlYo0UdfjFjfgyhCH9s11gDnjmiP62t53fYx2ZqwGNghIgfTCYVngMZhYAPlaWGgntuVu
MPYKS/ewORLD9s26m0FxqKfEE/DD6zrWt/Vct6c+RTj9Lk9reG+Z/4+2RVepKEp72LdqfywrAl2g
Ixklr6LJ5s8LRHgEJaHu59My7iF7FLCdzcbH6n1CR2NpT8KL9Z3Vq3dVr+oTQPKFOyx2sUthf7xp
Z0AmvT7/Yq6yocks3mMrVjV5VgY+s190snXEFYooCCsHD6rM/fMJP6ePxGUDNzt17Bf6T912nkXY
+zo5vWMEV3XrJMMfVcvPI7zloTJtBHwrtJvJwJfFKpI9ePcmS2P0gzFetcVLES/1NusBIjf9r9xB
swSgroNsalVtFyV270MTHvPFVZ5DBH7DOT5rRv9aWF25Q7nkoysyZeuELT8ewo6o/wxX1RYDKXwS
1VpbPrfx8D1qzA4lw9jepzYJlWrsd+HQFAHvNz3n+bT3Yr6QvEKzRc+t4VqXfFlaJl7ykby+XrN1
CcU+TfLdQkD5YIv2kucl0j5p+TpWaiBWbxh8KrGJwjONjGa668rw0lSoSqTcjKo2PFSh9h7rDqGa
tjmr7DeCfhmGLcxF66ToiiBmn5rHTCBy0XT1X0IrSx9PakNt/kKlJ/EnM8GavM0wTI0eu8LQDij0
NlFvbVBALp32Wc3EW22qse8ZE1tfN7/Fjh3tGmNEXzgCm9p4+VHXWCSkbvreNd7i96k7B057qbrM
d+3Z9oVXYPieV+6uJN1z64EsNlHb3QqrJ5qLHAliavCwOqGiSdn2r8T0E18M1rtRRjCyCDndheod
xgzNE7c9lcr8y3PQv7K8D2vMsf80xmNB5smPBeliJucpmC3gfKXuuQFh6OnAzisju4aaTZbX52Ts
eAa7k7nDPEP3+9Xp08i0NwjdE9jV5mLOrrdJqgHvjBRyqhiTszwMwkrOZEfPWd7YUIftHBjv8Oym
ECyILPm5rfh91/yVGNabNc5/NHpHDiw2L4CxzxUsRGcmjmjabr1BB+Fbi9no1imyF2TFrdvEdO93
TdYcqqjNH/IZHJ4S94+iX3yzz7NtzqJuo0PMQhQrweFLG8HS5nbQazgr17owEARy00OTu9EFW5oQ
tR8jPi9ebh1DVmonEafaKRkNGJpxsZzLJB0PBSLIF6Dhxl4TYr4OcR6xmIXWCjym3g0jxojkmrRt
laTOQ95F8TZqrnUPrccUNslUDCDRzmBJXNT4HMaI/wYrCjLoUpW8uQkk3hLCerEND7vARdSvbXsY
FBu/gSJxXzuS9kHjWD1q+zEawz0wIGPGkgmJfPXbUrNz0uqhfFdqcqJe2k3HyjKtDZTX1u94XL5P
FkyfGF7LO7TiDnAy2Adwqrj+9cJ4ZwLDWRGq1vtk9z0evkLFW9PCP4O4yHuEIIrPY318J57Ohi2t
h3fNCwc/ByX17llIIVmL27xHJY8IdAzrdyhkE6LaSLxFinHCcFC/oT/pEZBwwo0sJmLRb4UCi2iK
35curQJ4SSaY7qjb1ebEJGuap9hmTxxG5nDrEHG9tXzW8+Q2OwBn7JWZgDaVl0O1zBzrylqbiJL3
oCyN8tKlfGWjGQw27xKJoRQp72lEIxlRmD4y1igoaj5Ao4D9Rjjo2ZOpBTaQ8Z2qKi3GKe0Pd8hI
MaMNAse/fCanM+8G9EQ2IIXsADcswx80I7vX1uj4s0iNbUoI2DesYa+XqYcneTLuluo2pPV86Nsk
vC18FiWxL2AWX7M4FA8EUnsfTSqmrEZR70iho+hXLA+2OTNhl80cEEgAXYdyN4kpdrLqkPQBZIZu
Z6wmqH2RBDDi07s99uXRW3BaRdoRD5Zq+V72JT4j5bKvceXbzpX3Bjh40zdjAvGF+z9cQPzOtSv4
KDbYEAyHuwW0tmNvwzSO/DAj0No26OAITndJAmVIhGh8aWP2YCvpTV8f3VFG4MrO+2bTox2qoMPG
xC0gPhAQQIs1tILeyx1fzUsSkUwPXRLaT2PlEVS38l3bG5U/lgQ1Si9yNykGcH5LZnnbxpW9md1m
OCHUYV8ToSX86RZwCy3hMs3kgVqwhL47ZXIpjBqQrnGZkabbDtacnOF21HsW/hbv7I5uWn3QUMwQ
ShueO25VxKGqP0xn6TFiE9ZhQIomjhNCyLOjbbsuLPdlJLLATF5bW6sfonnSfSJq33l6k2EexXwq
LH+Yh8qP20i521Xb3yZ7UvyCdP21FaMI0Gzmg6veKcZ6oygJ86Rd80C0G3BDD/CnbFCgLCwMtB1N
Q5kezUsfUVpX1dIb9MYdf4np1rVkG7FR9E5R6OKYmrtXhNz3Q6Rk/uCqd5OAztaw59nXOuXUeeWr
ELZzKTrlVzPxQ02WZlzNqi627Zz+2RrgdxpExXHOeSj7Jrlkwzj5SjI7/oTLQMe8jyoE04pq5yeM
vMPtHOIeJAaY0n0YYrqGdIdwlF/mZI5nMwS+NVVxEPeTFbSC/0lf6flJEQMUUIPA6DyVR3cecAZx
y/qC5thNbdhSGUBFDCwRdSw3AMuyIhO5fW4mD0eXicWT1gztHpLtNp4UKGu1WA65lbVAK6uXri0f
FRXAGwLb7d5p2w9NZHpgNJrJHZZx83nmfeknWHJLdHQjXIvWmGg/xOkWOWhW8JE2b1R2H5UXixMc
JZXs1fK9bQ2wciwLNtwUcCjwWQ+WacJ9qPc+srAw/c4ZiHUg0zRlaEO39p1U6XSbABmiWdTuMjd6
cxCr2U6ejpupyLbLFNlshge+oGEQOzsK1a1wsjcMgaZNTchsi+Squs1i0ISlEiG0oleXYkIPqw2Z
onLbNHwHSbidkgxO0OVJF4gw3hODy04p0ru2qttn1vgXzC47ZMyTB0PTlH3FjeSH80MGgGPME/HY
sp+NLBLNhkveRMAr6eqWHava6Kz02dlVRjTt88rWNgkAG1+4yMkm90hMFsubdghyEJIby0kfY0+c
bcttth0SueStc3U3QMc7LI7qwfhF5IRnOFSaIc13PcLvS2+XyHkleDGgp74LZ3XbOm7jQ1fOdqFn
8SQJRbRF5elDQ3dnW/ft+KzlhIVy2De1rmP15Xl4lhoIf9VhMm0wf3zmp3KJsbg/CH9mO6HgdDEb
GycDIxMRlAOt7zQ4mjQI2ulhDsxnEm8x8Rl4roECNhBQe9cEA0uKXW2hYF6jBAE6vOye6gwKl0Ei
0CPn30wg6LPJnH2VlbTZYw3G8+cnMgvjWSTZoxLWSzCoWngVrfFhm+Thl6E6JX0qjsXM49pUgHOV
ZDMq5+ywy4R6esZ7d6PhQhfUtYYiUhlCnQvBKaXtqdMLQF5ThqZjVPshAqt7VWHPMtRW83mwFlAQ
ZpljjWRbj6GXLjs4mphhpBBS+0Vhpz7lCUAArz5iedmfplEMJ3n2dYhssz/lCdApODXM1A7hdvDt
+7nI3D0/bnUyMrU62cS7dt1S3mbEfk9IIi2nJGfT5sFLCuTV3I5kQJ9N+5oEIzI0Z6IXrk+o/yY0
rzmldfHWuDkBlMIcm8MS52yRPVjNbjYjS9zPp9Ho0TJ3WrxwbS3PfctCnUUvzOOgrIZ41X6al+LE
LFKwCZrCrdWXb3YMKqAbopLrE2pp8dnNzTJQ4jJmL+WGJ3lg+co6NE5vFmH3XaiozWnpG/SyRmvf
8Dg8NWoKdjFmWerXTfmSpN0fbVf0n9+VPJNfU7xYaJ/P4eKi/NKLfbi6Ucp9hjxz1+JqzcfvvWmq
YuJNc7CncDzZ0SukpooH3VZD6p/dBVlZz0nejCIqtKBV6/TYdQsJ92WjjemjpngJbvZ8MJJvFjKU
KEGwgm/bMAx4SK1voL4PZXtLFR4XSOgGcTqHuR+rYbhfsvowtjXCCgWuiEl8HDt4iQqLNWCwk3GS
7wAxD/LCzvJK2q7Cr8Jwl0Cetlpcsf0NDT/uAFEiFQL9+6UsPLZWo0m8BkOqE0AH/STgmAeVA4+t
/uku2U/iLi7fbIiG3KBbLrtjynhgYYMai6P8rSp9Kk/NepBFeTAR8+Bvvv6U/9UcYkT/j96j47W7
eRQEF4u9Vo0BZssfbE76oDVRhdvaionASJEehjr3SOrQIarw/y7dBLH02W+8BnymcGogdxwGEH+7
+U+BpwQZwElTukuY9fExU3Lk3O89NoG7Ph4ei7C6pDwHTqhk45BW5T+Qk4sIlLfQtHo8Zhf93qIN
TzhccbdO2ig+wGjSCVGyPIV1XvDsXvKdNkaPDlmxMH/Gd/21UV1jP6xhAtWy8tMUIRPZNPp51rC2
2UNEcJ77hnvYG1zwknn54kkaJPYDRQSRchiPSmmn3DrufBMzgmyWo7Ssmogzeog31EN2ClWBLnen
sKyCjHXmqzmiBaNY/kLW2VcmQFquofupF5nPKB4VVZWevHL5kx8bfxpAq0dzLPDW1JNuE5Mi08fO
u41iMfYElStYY0HCFmJjNW15V3NIjQPbqEBkVeL3WVTerYSMM0JWiPYXe4j2y4YsjEcvBJ+NCWVb
PG50d0nfQf0357BIzABL5GLTKkt9SRHOMLRSeat4zO6cqXGPGb5Ej3hnkpO2lu6PKRV7Z+nwnu/M
Z8cR5Z5boDiExNHfyiJEMSFRfvShWQXI0w4gRkV2U1T2Pa03bKssFj+iKn4lkhTgwG1+DJF4RBDV
+ZUL4mnMC3qh2PcsZPlSREntNyq2bWZr/yQy7xIL4BnlqF1/IFjyRGoQjktfQ7QiWrIpozY96ijO
b5zcXA6omC77hdTBBpSmsVmUrt2yfNyU1Zjs1XqNd3hEpAoirZ3o7RtAf+wKxfBUwCcxkjL+CJXK
hglOMkF/Tiu1/D+MndeSpMgSpp8IM7S4TZ1ZWnXPzA3WatBa8/T74cw5tNXOWdubMCIIqCxEEOH+
i4W8Eh1Vw55fm0H9s220P/KhrVAnhzBJtp88DF4tsRt76AAN+QHN5eQljJMMcmsyMUgd2ylL76qs
HO6sJXo3AfUdjLq6eH2tfGB9fQw9g5AqjL2D36XHMYiDD5CC30OMph7MWlfeDdVSsM9Qh6PbZSAb
rSI6pfXo/lkTv649F2x94093BD6DQ2oip9STQb6gyH9wUXL/1niDsXcSR3tiBWBc6zJqzg3cs7fI
bGG9kwn/VSMfbHnxzxpDYubTmvHiFWm5eI+YF8/owxej8gltKGH+Iy1/ISsQkSONyt1c294baGP/
FEQOhOFqxmNrTuYnQgw/J729zlPYvg1N6750CFtEOXhmjKbrM0rgDEeS/075sTfJeSfk0tLdVl93
S09plLoU0n07emv711PIbnv2ZZxHrEy5BkQ+YX8spsbrZjFgdyx12ZLvTR+pdJL6b5vb/q27tEnx
qU3OI22T1uYHQy3HHWu7FO23PC/5qC6bqsMUhnDqf1qN3mRCsOxPFSC7R/zY/qmvh65lOJEGVCzl
FCRhdZOiXD6zg1kgPiZ1s5n+U0e9mllkH98Xkx68WprK6+Bmxh4QUfAqbWVmM7rH5nCWNilUuOlq
NPj3a1NmJ88Bw9h2UItz49VEzX9tkx15M9fkdxat4+Xka1usNDtN69Xr1saKc4+YvfFUmKl2jNwy
OFslUuOFUlmPammqj37mRXz6xvZb7WpfMoDIb7qqjLfZD7OjjQHRSzHNLJ+CaYfEW/FnBOLiHGMA
eSExAmsZdiImewdN9/pDX6fEUvz8wS765t6M07PLN/YOJ0+mSHOSXmGOnROW/Hc5kq1nxF0+8jp1
HqEfqkeFZRfDSmA/DO0YM8NXH5KxvSGGkt3h3htiqQOQGxTVfDQ8zcb0JEM/rpi/hQ6yk1xo742A
/kPe1uqf6K3lh3Cw86M6a8+kmzuWmB0yjUUy7hvUDc9mXZDpURFk0nSIcky9D0nfqx+VMwAYbZOF
TUEkKcUfCguqwPgjLn8aTdewUgbQ2AXWl3kwy0MGd+41jRApKMfiO7H86U6a6kDvHr00u0pNCojC
wamB+n2Q/tLWdvqHZ/X1vdT6qJjJMI0PbTt54NTa8FBkyfCah34ODTYajkowDK/SFhVMdgFHPUrN
w5XzLqqyX8jQ/NNhHpGqJioJBmU5hxSZ/nc0WOGLnMYr5+iqYl242zr0HXYPplKnV2mreG/vW8V/
9Bpy+FNxQC8xeNbmTMXEM5lOjhss4QmGbWkLrOgly8mgSpNV9KBu0+KHjOvSFA3ztFdLTT9LNZ6a
4nUiKr6eIccCWweoJJhXAbkCB32Oy9i5xA3jK5It/wHdrl2amfm55n/d2j/3I8SfA4c09JOcb+vY
a9HbSDaOlU027FFwKh6QDDSvxrjo51TRuJM2KfpCLR7apQhiBTinPs2L5hPUnP/u2DpryexcSl19
3ppka0r94mFrc+Psl+rVzH7qyNu5dRM/FDop4xCz3nVra7OVFhBB7d2kh0KGae2WB1V6UXTAMK2O
6nhcmpihqFn7ERAIOvrMGU5S1cIiww2hg3ftWM1H6PsLyGeJFS6doyHMLnEYAqpeqkPYlTgGgzNB
qom1V2h/GF4Kvq0wiTAvVZOk+kVvQO63Q2d/jHk9XEKFGZvsTccmubR1OR0CE65839rOza+ZlNgJ
0TlV0UJE0lL73elzlmBe+EVqVqYlb0ueQGqR69vvhmmhktRmL9JUdAGziayc76UKYsrc4+H4Z4XO
w0EfK+/dinoFSbBIOVqe575rTI0uas6kTqoFUi/orzHJkc4Gw8UzDIY72emD6Hj/qvNY9/thMniv
yvJZXU6atEx3W8/L76UjtsTM6aYOZySMC3fSNvDlOYYNKlQe63svKntINHzyRvmwybfJ1R2fcOeS
xml76CJ7w9bni5M2p9DpU7CfQXTOUQt5D4aXsqyzk6dgDJ0Oi+7lYL8RJLBI/mrdsQCV9aEkPdGp
VP3aBQlf9ynPPixtnJjnM8phGpMyFzecuzmC7oyOaPrRKyPJFs//ghw0Fhwj4s9eZ56lVpVD/e4Y
V0bH6GjjZemACro5uu5B30qQos798KMZiWSlFSkpaDT6RcsDZx+SE1iifM6+B+lyjFKzOxHGWmJj
LtP57G3qjHxv6llw8fQD4qPus734wUihpxfDVJ6MvP7a6QpWPG41PfGjkeEoRuLVKWsXxYAWGZM8
3gd2CdVQR0MQ1aziW5v3z75fqe84GQriZlebnv+WEddKKubqqlJxfSYNdNFSyFa4zDHswnwI8iBd
m7TRj26K0b/GTfqjtF3j0mBj8Rha6MNNTHHvsir7g7l388M1w8d+zLRf2GycEq+xWCw9NdO8Y0Ke
k8NuW+ASVrLzEFf+Giz46zCvdwHeGB9m3FwjgLw/tAxhOOU5xcbkVbeLO5R581OhEafNlTg/ukNc
kvSOvjLpq869C5EhbL0QffqkfTb7oiYQYEc/6vCbGsz22Wu0BZ2fu4dJJUaYx2GBcbZL0FYFGWvP
+sscD/n70MULuzANb1JNK/RGAU3cw7y3n/1uIg/VDRVcDWN8jmpz4ZfFzQlUcHxpKjRCLCW/YPeE
iUNq1xeCfvXRXGjlrMyNV6b+/PmZHCQJigMgqGOskOgnqZXuYr2NCN7YO1N/wXXwNZgZgQyG2lPg
6wVu3zmoL0UrP3SnRbM2y18sVmsf/exqL22jn2Qf0qfeXYeH9m60f3YMzh9m6HhvWYk8PxYZH71l
TLhoY8K87BsRgiPWjKvpUlPRW3yteiL3S60nWfya48QrNfSAy9fGS06hX1ofbVFhtptnZ9nXeZb6
4vj1Za2VZvXSDvPVVBMVWQv9klTp/JgtRasOd3Pc6oRrqJVd0596V7HRMtLtx1HXHNa8U7YjooNm
gDQay57Y4hszTdldptf2ozpo7PWndj6aUdQjWLvUZZcUJDCxeeofpbKeKqsai6RqQRg1G8LL0GeE
JZsQwzTXqkMIQyiHSbVY/gBJAJujF9gzWQvgRFTHVqf37KrztQun97Uqe7S67G+RlTxmaf+HWcTF
NSPi9dj31T8FCpjOEV+5av9px6B644POT9n6toajGbtm1KodAHKkRZazRC3BoFGPEQww/eDJSNzx
FPaQKbVUDZ54kyAJ2P083S8eRtIm/VysgZ6k6lbmM4w7ogzL8Vv7XDXIF9W2gi5jUDOV87VDOPkh
jFOKPG5zAMZQLIe0JIm8tEUmoydCQAFwDrt9z6z8o/Sr8FFqnjf5C7QSR/Jl59DGylkZ7JiFdN69
q3auP9j4foAYaQG90KMClsri+E0qYU2OCb36+V6qWguUAzJeepZqOeXx1R88kMPLkch4Zk/zEK1/
WJpsa9pHdRq8Ss3KBkKsA5ooUo3wfj/a5hKIXg4Pbau8wcWwd1JNdcd6rqHgSk1+Xxvol9TO6mf5
7dmC8xqtWMFPc/ndC7Bo0rXyKNUSc3kezRy3G/ltdoYMUowQ1FKTs0V+/5yWhHhJLJNas7Rc3StV
U99skgUEkqeKsdosmotqkxkKMP/8cMZi2sVB4HwDQHxXs4UnHe9TY81/E7f4MhEJ/bPsoIuQlA/f
8PnmU8/UcIdHZ/kIgiO9lIXt31pjDu98X4ku5CHzS4GI55OexV9S5Nl+tpPzak74tTtu+TPPChvL
5WS8aSWmxm4M+obYT/TzSiK+IYLPwkAL3PgxHfMYJE4Q3JEiPcfj/G7PubFDjhP4RpnaD+3cFfMu
qzQeb97UPs2epFBsO30iGopEtv/NQeFx3ycw0N2hIp8WVD2AK6DncOhUNDY7WCxeO94Blp+vdVN9
xzZTuVpaNr1bXcVjNz5r+MF/wXftRz67exL0KHeX/im0w19VlyVPURyhW5s6ygmavvqltGKNSWt7
0lzd/gjtMymx9Ksxz8PJUKL46CrpXaB4P5iuqzezjn6ZUfG9G0OT9E7lXDQQo2TZXIyzEBob6zhF
gQnygxcayV8DSaJ0slygSBXJSocXO6lG76CHpJcqgACvRXEmIh+T8sP0vM1jzF9QJyZLoH2t5sC7
WB6ZT4Dv6bEKkcc0HcBKA1j4pun9e+svF9b345Brr4ba3CCiVzuyUMFJLYiIWchdEngZifeqzM1r
x3gax790HE+Ml6K13cuUdcgfjgCU6z1xRuWiKeTV4DRVJ7jzOvIgvnH7AdRDfUyJgB3QV7IPuZ0v
PrLzlc8jEpt28GeVufXbrPPRpkl/ckjcA+52QiKmFIo5hvejF/+YckwXxwHtXKwW/56hwZSt7uEG
GDR7qw/bF5K32tmqrPAWWDlR+ah0D0GuGl9Afn4frLj820QFk1zQr6jrKsjfIcH6okQcYmi7nYpI
3RXnvuFVLbTouQKlIjUpKqvVThDnCY4tPaTwSx2ky+jd+ZBVXpFR0YD9xRewEccYL4anXjPVt4nU
6tHTyXVL1UJI8TGL0YJfdvagC98GAzL2aPf30mTAPjg7kV0dGjfR3rzeaEF5AiBaatKkGRaCb22a
3OSA5etzNfgyM3eJLoXmL2qfZfc2+UBazah8kRqeVMExdX0sdJadIysb8tXtTWqernVvkZKCEHCQ
pJc2HY+Qa+/lNiwaDpCCScmJVwN70eWAwFWmY1IlKmgEejCrjp87nezDslNZinEg8KdAGrhKD0Ld
w80vUIHaThm46Q3x1WT9zVk0FPvIm96mmHDHZGn6W+NjjZbX4S3NQr50RRv/bbc2utLMnV6d0H5N
h58lnrjvxDT3k2GNWJPkxns5lj/CBKEJ2UeIVt0jTuldQIya77aGn6HSe8NR+uaGHtwqbGr2sndQ
yfRgv26dffOZ730JGKaespsXMoOAiha9SoE4SnGsEr84Jv9t06co2wWVh3i3rUevUzCC8vI9tL/N
cxpGxptbdMZbMisM+mBarlKNFa+7ajPwEOmiDbbxxgdscrJo7Z83pJFHVFov9nJ4FdQn4O4+guhw
2yqlc16lSOKG0a4ZxqsTxM5rizb64xgr0Mx1AGiFGcCOxpHmLJ2JCIYvaMmxpvHbfA/qtzlygcYj
wOZ/zld3fxeZ4h9h9gOMwjblFS6djsVd061VaWvN+lBrfM+kholpcZ4rAHZrVfc5as7OPsCNJ2ka
jZl0Xher2HpUwZu0TbN/03JeDKnVrdJfWqsu6MEflaK3p6cScMjD2gQLEkerwdsZTh49Oy6veYt2
lj3p5o7cLpliYwhepfDU8KwWxvwotdF3m8eods+FnkbJfm6WKHBdOTvZW0R85VNLJ3TWJPFpazO8
5Jenqnz0+rJ50SJYZb8cvEXHRn2VgucIBY+ebPXW5pvDRx2p4z2KPuprH/jxfa3Zf2wdEtYpKG80
zXlrc7Era8f1pE0/IFiBjNDeGu3pXo/i53b0ske+gdkjKfRbDwniJjWMMm11J5teGr5qrdlef2uT
w6ym+F63fnDQyioD5JM7L1K4NVFCB0IADHXaSlUBpEsuph4OCRzVtzr2yzc/KQmveXF0lrYsyolV
xkDMw7wo91Plqzueff8qnU0Dj9YClWLDBP5TqthhpQyzx6CL6rd6Ll9bAoUP6L3Wb0WCyK0ZKv5e
hQ6K18Nw53RmzwVgZwh86kAiFaSUZtdv6lTHT03sXmWnNOEzphG8b7yrNg3l42SOd3Yd9tzPwfho
zKG8eWPdgQqaguyhDspjXh4VdSgPTePUB80KZoBHfnMyFcN56BMoGnHvJ4v92BEft6+N4Rfw4ft7
v+wfrD5AsT0kJwUv4bvfxScrRPAgsVjpFMwAvFKrLmNk/5zdHARbfVX7AOaEEoLpVnv90DIH2TfM
PnIPfyE9282ghPdjpEAk9fmaS7YPfAzsehMMuqoMNxATH1rtROeADwIBbhVIOiDlvtfv1BmtuVZT
DJILsJNc5ZyO+hfWXQw2oBcOpaE+Zl16xYxaua+6EnpsP7jXrIcAZxgfcTPELP9c1smgPbM+dN/m
zNJuExlt4h0twUSj2GX51MKZ2qkjTrqoE5O+nXAD8Mo+2bUz30gWww9q/6KFjfe8iPBNkBjsqTLh
PQbGvdnE6knBGGVXRF/meX4nI3SIWq08FXbr3vUZbjAEAtjcimlAAd42qjtEy76CsBhxoWv7U+mE
+Ljquv/Y5z85TXhDbsXYofs87B3TIHNbKNp9xlw1s0b1xUg581Bl852F4GwQAhLJFCwXEx1O3pRc
Gm2ob3Xn10fsI4dD4zjBferW80Ft9a/BiH8AiKnuGMxQNNS5fLGAf7xUuvmhxFF1yVBrvEcmEVwJ
35Rj2jjtfVkUREn0Af7W7O+DaurvARJcuhpBxrZO9nldnr1s9K65MVWHlHkDSysz3Bm4ae3rvrtY
1YIIDDrtaA52cgIg/B2ppm+LmejFJEu+52r1e+Bw3R51NiJ4PDd2owDXS9r2TqNEJwG4FloSrNg7
g6+9YcO2Ub9XiT7BqzPruwGgwVVZAh5G8yIzam2ZVjNF4THqyIOkIcIseYJkRDS06oeefett5TFN
4fkijrJP4xfQy3/PrlHdyL+pfAmTGs019TYVlfZqwvAweexJ99r1kIC/caq9kYfRfZdXwS0YmWFk
Gu/vFOLLk3YlcnvD8vSWGSErp0eTwok+MOplgpkQQ7Wruj6H9vTdNVX3fnSTdk8osA0Jha5gB7zV
yC3ZzjXoQxwhAsg0Wo5pWVEvkZKvEAHy/RBHP5usxCU7Mi98y/sExAryVvWJC/p3nWIRMxKGJ/uA
KUdbWc8ERvRdDLrs4MfNm+c2cMzcBvc31SiuYc04GCvmfh76Zl92xATq/BlNU/W+jyLtvl0Kx8Sw
0oGEmea7UA/8o9mB1As1nRWK4nSMvVZzDJLE3QPKOkVF8FMh84ASQ4SiEKGMH701lF9aZM35aF+6
HBs7x4XTpAfkQNQReqrH9PghaADyzC+sSNo9ec+qNB+xNc92uAF8pLEa8ucda4FQHybIxU+jR4C9
1ruJrHDwirAKn8+2AqHkqx04fDO+H0Fe7rDNYlbBorBLVDg8Zkvwek6Dk+0t6rNV/zNw/QyBMgN4
o6ungBjMHOChfw5nrBp1CPO7ToPK1P4aIA1GwH6PjQecr7Ydos7OzsxbdY/QdHFUiw6EcqdgwKKp
CvKR6MUEgU9ioXTfpmp6HUO7uSfUmO3nbkIULWufYC+/EmludhZ68ldv0kGB6r51dWz3pvi9d1MS
371ZC06nirtvjevdlxHDrNkoDGNpVV1mFJawUP1rAIh6rrruL7wPDDjBdnBUymR6GPAquncIHhcL
gThI9bfUce/AP0zMskefKzj8NbJqJ7oRAF+K46NudP6uKSBRZHFFoKINTLJupXWp3KrYWYndnoGu
F4DiPAvQDR+DE2Tmm5OTlNILNLeQjn0rrc4lylNohySOz+XUmue+rrw/Uu8dLlOntv6P2a4PcN75
lnoLREb5ERn9Prey4KaPAf6IldocWKl7lx7g2dkCBwruhJSU4rN46yDcO1ZB0EM1D8wZH7zRGp7T
AY0ihxpiMsmxNYP3PFPsu62ohsJZqzYz/6tdQxHD5uvR8pk7eoMFjtHNAHpWnnfyA9/bhx7qaxpD
354l805XA15F3zTu5jombcrs42ea68c8SKabOiPfhFDUixYHv6zFIQqqzj26xfIwsjrjQ7wUi3iO
mY/avWrW7cvQt9NjGy8jNzWvDNqXOmKqW9XpuQwcNdynDrcRTNhVaVl/dH3KzMOKviSpjs6hWTxb
xmifxjxi/b0Uvvswex08tFaLj033kjpNcgtZHtxS34kORgEBADZ2dGfZ5oseGLA3vJEnCrvHAcQV
8b34OCj1y4xBJYE9FmfdInCmZRfBgNlLRhqqMLBE01q8rkBg/rdQOvJFPdqmhYddhhEiqeWXIDXG
zGsJs+DX4CB7viQClFk/6j62rhhuwZHADNSDYx30oLGmYJhYcfocS2jkHkHpKw9qcdeY07MaziPU
Dt8+jKjS7KelikzBtO9NbpaZugDNnDCFV9IhPTlroIs8s7gDkXEZJhgpwJUeO7N7UVr8n3IzTg46
JprzXjBz4ULgt8CfHZ1hyuEUzO7jmGoaU8Eue/JIzd3ipvoyAzf6wGsDtGHxLRyi9EPNcYnx2p9u
4fNwS5TAWUIF9ayz0kl5oBzP1R6kmPiEAbDylIMvvdEAx16tlFIB7OmDFJjq3LzJaXCtfI/qIL9m
ccmQPXbOAcNu4CGkFADBFfO+QDEtcgqb98Lemwx5D4MGpbcGKID/2nBKGv4ekiP+Q0yA9ZLM4ZcQ
KTjER08T1nIHxxkhuC94IwDah0Tj7qL/myr7tK//Zl3T3rVDdq7Hms8kqMDEwdJaTSAJtfA46/rq
hH8WeWl8RUIeRc7xVU8C65IOyutMEGCht6rnylyMB+K/1M64xN4Ykq0/ePHsXcPIeoxJpe1THVml
Vs0R/jNAjNt3rqlP91oav48qq9SwCpBRDKEMLyZNlY+uTdLw94ACfVkVIIKs7k42CW+wXKW9Ckek
09/d4GhvwHZdpLGViYWAyTitLbj6PO2bQ5Ha3jMsAOdJnd5nEHzPBmAEOw+aUxUnX0smBshXRkAr
S5KpUp1TPWPOV2YANBXlnHRuyPzJSIG/WIc86Ix9VRb9BXZE8d6ZdXMZYYvspaonTgPeuLbwC1Wa
B6bL/D9tZx/0Mvg52cp0LuJ0vkP447mfAXubrp08BUi5PAWNVpMZRgrT6Z30aNV2dS6hgRsB7Awl
QWIu4+ctTA13QCrYCUkyFsHOmcfsyCr6ySDOwSh+yLKnLgQs9i233zEta6/ZgpkpF1xdCMLiajpP
0YIbrY1JvQKMCBckqRSTHn1RFMM/xv9tknbpni2vXX0rA66r10Kn22VFSilAz0YHOa3VVXDwTxOO
kBcrfI8bkAL+29gE6SmAzmu3BtyiYXxDqBx1QzzvVl0NwQgJbigzWTC4sYOS9yK4ITs6P4UkOX6f
3Ca4gcuy5iOTVX6JbMobbVVwyS6ymcxEkGBh8e8NdQHa1211FIRK5TwtkELmstmt6IFbBw1eD/4u
UbQljkBrABbrSFblT0fJD4ka4JD70+wHUMzLhWuWM8rWhk+0tUSdjwJVlMZxzqbsIj0jp+XKIIsY
/HN8u5xEemmhOu1sJ0sP8isTtKZJwCJ8trj6nYNGPYvCiOPtIbkPVzCcP7rl/o1m5Fxy1KglByxF
ItdfNmOWyKS0ML6TapZV57BUdPxnlt+Ug/sM8M64yJ+Un4HzchhVA+IkfXX0yvKnHJeOARzz5Tau
d1gaBS+V+2RdrIU0urWNpd6dkVrBkwnQx4r9lacB2i0Z6nFKx6Oq198EDyzFAIy6q+HXEU9FciSr
BhszospJGePd5ihJ7xXnFarBXz3MxaPXhNxRGwnRU5s0b3Lv7cR9Goj7nObaYFi3hgi9PabupLeK
W+qw/GtDNNu2mwZ2WAdC3QQHuV1yN2SrxOMz2cmmPAVWqPvklbudV/T5DV9HD/SZbC4FRASeDeVc
4fXO2DIkM0AEYM5YDWME+tumHO3gSAES2TXy27o5pz1oKDu6yN8bm4YYdXOI2+TrPOo3uXLrVYJa
uiusdDrItZarkrQF6/9WQ3xlwQDIPZEjZEva1sdB6lIYKY4hTRcC0UT0cehe5cavj6Zcmu1pkD01
kc9dBYb9IJdCfqTe11yfNij0PRF0ZrlW9b1dbEOQu1yvr5k7/QzwyjhlzAZ46t60Km9h2oanfIbo
3OrTq74MHfLZzmLbOc/BDBIYO76dCp0TJdwGPSEryYv/6w//9htkE9sryO56qK8917uHmgwOpb2h
H2QIkO97h9z4xQaQNb6mcHnXi7vCKX57a34DVXy+ggZpvCKCNTk3JyPMtfkYu+FfSpepx+0KMwje
dMeF0r0NLmr/nGFieZLf0vvVU2rP6gmNxn7eN1l43w66AsxjGYeW11qOlK3/2eZ15YxwQJgc5Eno
4/TEFIaly/Ig6CPSTiYc6+3xWTrY1UwHU98PSLBd5AkeO2u4TLnFsqQ65s6A8ZG7gCv/59+1i/Tq
h2CFvdwArrAAUrZnb44fXH0BMBqFXS/yNgxvy7AsT5JUt7aC6M8yIln67Bx9pxrArKTPTqAwRkp/
Kba39bdHdN2U/XPlDRevMffyJKyHYCtwVr60DQkCGQtZsDdnFLqv2xu+PcvSJtVgeQrVvj81gPTO
oROdZJ8pD7v02I7//AhKXe6abK3HSH3d/LRfqp/a1se2rGz7n6EHWzkS/Kl5DeDK7VLgMUUKyK23
QTgvHw7dg2ga6CxUJ/2EDwV5euYFcscHW8cY1HnK5/bFYW7A+vBeJ2IxqwUe28lLDihlqLs7a8Gq
zmP5kg9udzLNmalEo6sHNSiI3fQIzOxI8J6EdzDli12kOQ/1IYjKJwfz4u3Gy1+V6vo6bXVp3B6T
T4cUQ9peeuwH5WGUol6Ga9nSE+hLZgznSa6+nKQAzziBWeGx631o9Xt5S2C10yqbv7UOrvFHbiGi
JOuWCdfgI6S6P23hUoRcsC5W0itxcKgh8YJvGBP9I+qBuyNjcpRrLIXc9niZniCUyxp5Sr/nk37z
YiM7qfN4l5glAmVed5FBRmPUbuHslqjnHsIiWL8ARvsTUn52lRPKnZctRvp2YcPY0fBzHrxnzOLc
FbPsJ/abj+fZKZcnYhsMVE11rhy3/T69HbVDP0G8365imTmMpMnymcnczDr4FnQhIZXAC/gDXLLB
TNxDflS6kFuDcmKgizJq1nHVMZPJFnjd6jy5znUCmEM+9ww9Eo3iyN5nOIats6t1FRVpQUHOTdfW
QRgu9WNtJMZJzi+/y7ej8drqT7ORtyfVNF7krm63VrbyrvsRG1O0G4sCpX8o5P8s0LaBQ5Fvv9TX
iR3L0xJHGpYPYPyPWmbnsPPbfHhAkN28AE2rbsLaGaKuuvEs/F2GWbbeX7kT2xiz3Rg+0L9S6Jnm
5NUHC4I0shiOgcNJwUvgMoIfUAg8llwyuTPyWAcqsUcLeLBf4Bvy38FcOmwj+nYn1wd6Ge+3i7Dt
lS3p8v8+FXO1EfbSwzbUy4+R6joX3+qytTbOEbYfTGgRZpCJrtLZFxWPRekif3adcskmDpu8ausm
ee1/YPXrh1J+52+zjPXYMnf3wALuSQhij8GHXuavJEcIXctrMhfIweyDyfwLrRXiyWGfXIomDNWj
dF83/eULGgEG6YJ0ncfJkyozuq3Y2qY5I+WgoRSpARNbJmHy72zFipKU+m9z2fXXl/MIE+dhLNB1
69lugKefbLJU8x693oIk1HdXfohZ33RXV68yLZNJnWxJsZ56mRZKlUQQmtcBBJCts3TZqrK1Fdtt
3Nq2v/Hp2Cj/6BDqYAxjzJSBswMIkF+kLm8eVzxhGb/sX3/8XGrFLlIG9bdppNzC9cmbvwUQ7a/y
uEYo6QKaXu5B2HVIbsiT8u+bcvQ6VAHKaS5umR4+U0ECmCLbEu4TJ0QIHrJ327GtAWWHFFs/qQ7+
j0Gr8+v665cneSV7bO/MOp9ZH2Zp9fS8I3/y3/dOttZesvm5LgetZ/2t1+c/8PkoRSOx0drv2ozU
rIwr2+xBjv23tq2L7F3n2bK5FXI/tqpsyXH/86y/LWekt3T89Kf+re3TWT/9pWAZ8DGaq7sQRt/y
iuPhTK6imte1qrzwUhBKgZwJjYjF+xJm24qtbc7wBIV+R5+qNdhcO8lwKyffuv62RzZ9MwAhRAp+
faLlZZH3ZHtZtpfqf7Zth8l7J/3+re3/91T+nC/k/iIG7TceXBzamNYuc2H5cG3FupLd6r/FKv6t
+6e2dT2xnHb9C3KeT33WvzAk3r2mDH+rnRfuZWiQNahsbd9oGUO2qmxtE7Kt86e2T1Xp5/cIBvQ/
tBpJhKSwIfLxcpJ7Z3orj/C6Ka1Snwlls6zOquyke8XbNrwDpoI2vtWVeaGRS11GfuZCARElK7Pc
NXTkB1Y772V4IPqPJGuDMvA/dLV10LBVYggyuhTlDAkT8bfDvw2326PgyKJ/67M9Blvbp8dFqrJ3
DJqUkIUL02tQZ/PQOXo672X9mwAwIFyUjO9BO0Sn9Y2Xi7IV67C61eVy/c+q7NheXakGBFL+Gb6l
/ukM0jZnCdgJLeE12gb7dWK97pf7sx3Z4FXC4i27WgRGjCVC8tvKcesmx0ohE4OtKluf+skgurX9
9o/Lnk+HDF6lHGfjAVTgcw2VAtcA6UGk3NBAciwfrhJHvPZNhi4/S7LsIlemTPo8u8yqs2syx7rI
y77d0fXd/y2Y+dtUYesqW3J7o6Inord2WoNcuYPoiRFHyKToaGUPs1eSjkHNRZse5RVd45TyBIyz
Hjd/yIv8T1SrVoMj1tmkThqSg3meXRMkgmGJQ1qTom7IVu62um8FCvpnobUrF91hZ7YwIGNA3iIf
lq4FZ1P374SzbZEAiFS0a+Sqyn2pM6hMelW8lzE8E+GT68sNnltEd9o1nvnp8stF/e0WrUvX9arL
mkU219c8Ijk5e+Z0lKssf3Yr5AdsVbmwn9rWVZ3s+Uzm3HrK7u1f0sNQ39tY6+2wMcQqLsj9L10R
j2cDIcCjDmOWKtQzBEiLKz6T7LV0cmeGg0zPstfzgHnqSYJ3Ux28RVp21pZzqEmdPZRB3e6k19xl
40WZS/Og9hkgvWEodk3Eqy6Fl7nm3vYAeGpgiu7TxD2pUWjlRySDMFxmZX8kKglqeHKujR40T3Cy
yDUjGgvxPHNwL4rV+9Qf3xdE+2uADOwr/Jv6gGrciCoHVWnLEDzKEtIT9YgKRGxX6WvsOSgLmt3D
FKOF4ABbOOnk9s+e5c/PadX8gO946U2t/DLmJq5aqf9XXjIlr/GBv/mBClI8a957b7a+eUTryez6
AQkH7f8wdmZLbirbFv0iIuibV4T6piRXXy+EXbbp+56vv4OsvY98HPdG3BcCMhOkohAka605Zgsd
ZxjcoKnr13qmppdX8vJZlVNzBVGH8qoIbJdcLLYAOqHkOTcq+E2y7FUggiFDldRxY8RYXcalh1AS
ZgIDjgJhomybwiwv85RUF7EmFllRWHDP8hywMEF4o4gDr6zAD/nT8K6TPNu28oLyy+RKw44EEoe3
BIBd2+fNLS5iqNcygk/Nx0hUhmDotVlBTZDTDrwPN4V9oFKD9JpDsL2F+jX1U3QdlgVCl+jqy8kH
WE1pL5rKDJNuuItQuQrAZ5pBtsYKrg007KtMJvSaSoqymsYx4A2Cjth0KK1KTc5ljqUoHrLuNAzd
RUk652FeFnVG2Z7JtYW6mhH3jlDN0pVSWriiDWRn9AmzuXFU4cL4v6Ykmi9fW1RzQP61uObu+1eR
4TxAmYlWVdi6cE+1taUYujdNTQ7jjWL6QlP0g2lR6kxZq+Kpppq0LlbwYDBwAC+dsDxVSO1OzbK4
b3J9bpOCGOoA2shEm1aqh3zWU22l6JpyEItiCv5tLPpKWk0OKncnTAk2AzV46n0KRm1z7N+TIX/T
SKVTF47cn9+Wjp6ZykSqFYoKSkw//yLd+Rrmifo+NQnVCgBxnoIxo+waDtbDrJBLNqbEOFZ23h/U
Pm53aRoXF/4FCpL/Vv7WjBIXV5bqZ1nrn2qoQWc7Sh4Gs2qQvkr1t7gncWQBe1yLTdFBKvQZ/Hq+
rke3x7jDnZbhsZJiyhdTy7XsRwabJktCdss9w/tjZyP/sNJZP4pD1Y2uXCwn3CEOw6kzA4u24YFT
efdv0AbJ7zCck6/j1trcPjRdu85lsDYrH4vlPsgeMSqcCdoXDe/Kpn5EaNF8Q3veXwgd78UWRrvt
N0zrEENlI7CmZYRos7Ty750S+0m24XHhGkihNrIfIhbLqoSC7gQ/rT/VA2HlMoV2IjosSBZ7MJgJ
1WycClWX2i2wTWUlNsXpyVJ5eVRZ1IQt58ccRwpdqmWiF2/N8ffXn5Mmub81ixrN2XL+oE5TkZdN
Dv70XDPjoENOEatiUQUzCvf7trjaxhaE5B+Nolv0dIg7vOGBwhkq8ILBpa4LS4Wy4qak1m91HYS7
3hwCGO9h9VGWG9EfD2G9SVWoTdUsWQSsJRu3cOKB+yaIglO3LIYE7omt+ds/Ovo+xU7mJfDNeI2E
IT6WY4aH4bIQa6JN5y0bywYTolqsRA1+g//HQLHL1+j73t2IOeD/Z5fUHqivkJXt34dpuwLI7W28
lDLRwNVf306MFh8yFaXanNJ20VGQdtSNFgUsRMpztCxyABNnsTn5PsTCyB8Qr8sxwfWlu5Qhl7v3
QWINB70jD76OPDI7xzZRlbCsHDwxJkk6WC8GpfiQpUTvX7uKTfHBLdTRnQUI/GtX8Wl/7JGp+ror
KdD4u2P5VlMZI3a8zYX5lmJPSuXSbKfHdqrSoz1GFJwokDe7jDyjTLZinRSh8iiX4XCy1fpHHiry
42AW8qMa1peOG+yF3DRKF6CDPP16Df6XVbfq0aS05MXOOBTJnPKcQjN4iSrpFT1y8CA69TI4+0Vs
XkUflcLrFEHdt3wZOdYvyaDoT4ofFc9KshdDeOZkj3LTIL+8hHU6nfpASc/jsgDupw6untSsms3s
cs+mGm/ZFGMQmpLI8e1fcjLgXmoTu0S5lL5kTg1HW9HaldjU+mbYabimeqVuQMR3TaPrv2FjBbrI
GNV1hKDypemxRZDR620XfeULpWClZ2a+vhuxzLyW5vhECU33bpTfZ7uxXw3Jbg9ZGYFOMtXuvZkp
pJAtI78C0YGlG/a/A8ts3ynZUr05xkXcbPwnheIzGLbtQL0na3HYrmesYdEL/9uELPKfzr/aVMOi
KjabT+Xg1Gv82koIc1bxlEmGeWjSboK53RdPKorpb1i/u6JTooztiQqMV5S88lk0mX5DfsEeyq3Y
HKFJ7BVnSlZis45t/TqTpRNb4ojdIJ9lWG8qiuhjMM3UJRRGqB1rWDHIomsfCpuZnwm6x51HLR5Y
T9Cy68ofrIPo6VvfWevKYHDd4XYy+9x5AMZEL71c9Ss0PtFBbFqRbFKmEPVHsWliRIQPpOqfxOYs
Td9tnvkXsTX12ZX7dX7VYup7/DHYhdEg3dKslc+Rj4w49LGrGvLqSqHPGuxEfyud9jmJW/lIscJw
U9WWn0oMVb5K7JMYINrhIm5Kqc4uokksdChHkYmAoe5UDFcL3GMzM7iJ4TFytGuu35qm2NidXWFY
WK/BmJdHc7KKY9QhlltgweVRklk0XWWDmZUnL3Z6oONm1DyEioUV+GQ8QQhL32WjctZwM8ud2ESj
Q0m9WryU+giSUuupJViGKf3kuzD9qKrJR9yV5ZZC8Sp9p4o62yLHtzYquY9309COuS0Zj3qYWecy
MSiwWIa1k/xrolpyz6NNOTOtU3AjYs1eFrOS+isieA31u/+23YeINUNqf1W9qmz/t/3VlgKYzowf
6nFuLqNUUS5d2KDvqOrSeRL9ymX/WR8H86WxRvhAuVqcslAzIRtXKRVxw/zaV/ZNDB219FRHmvNW
N7ns2XVsnNPSwYClrqGlwIV9Ro70KQG/WsfFyqZs6CSX/KjsMf7eKRSIGZrdPDh6Fxwk00q2URrK
j1BValcc3prf5NJpPjvyRpQR6TEcxknbEbMtoe6Wxs0xYY7zc7cAWyq5m2R1ARkXRtWp5J56MsvQ
6301PtTAyf/p+Bojust7KzoSip/B+HvyHMixJ/pD6h5P4mixZdNoVsgJK0vff22KbtVRknHDTzv6
Ghko6s3QE2MrmwPa7fshDEs/mpSXH6zQkNapUqjYUg3WzqDed4/XTXNSNN3amEk2XSd8XLy+lZtn
fo0ypT+29cHc+QabR/rdOE/2kDAlHQtjc3s020L/RJMILFLnPs/Vx482SyxEKsG8rquqvsRqW+90
rRoOkd0auPv6JbYEnQUfi2JVbnwoM9USLJbf++9xMD4nkS79kqi0/PqgLFdAxRXGzykdvoeSZL0p
ZpNBO1bmx9CEDc4UJXhAQm1vswUqLkt+euzT2NgSDkgfbKRA1Dg3BvEzbmSmP4fv3IA/EB9KP9UA
H2Sqk5hhMwlPAlv/lUFGVrv+KcCao2m/9R01y3CKmyen5Z2w6yvlgbqNjvIcHJbQXVkewTXf36mq
hgfVaC1IAznFLU7psqNYs6yaFCAIhHOXgHXBv+abYg3OU546b8oUS2e9dxzOAfjeOkzrg9jsNMhz
uRV3ezXuAVMpzMv2XUmpW9HYznOAIN2thlA+91XpP0f1/K4agXoRW/NSAW6pxoMY6ijWMVIM/yq2
wj7YtmmZftML1X/2Z3KJhdE8lpplPfvb0c+s95hH5bYd5XZrtUPwUajbeqjNj5KKLCxzqno3BEPx
hs3dqjci+xvvkSdMHopL7UvA8wPEG10fKu5X29IRFWSccdZdlCzjFtjRxI8I8JoWab+E3aEBTC20
gu75PqDRas2rzM7YDFgKXrplwYUxeQ3eyJ7YFB0kbItLM+O2hWX1kWInPjnoKqobMBx1id0VF21Z
mKB4j7aknXOrmr8RBXjrymj6mKKl0KNFzwEHCuReqr7F8zB9jHVkrMalPVra/3u8DXLpPt63fY5D
edqqCWyAb/8e/97+fx3/v8eLz1WrAeW2o6/13IhXAy/st3KY6ptq6erWXNrAZdQ30ZHz8vvVJoYA
imxu5dL21748OcFZSc42VnkmioWxqC2dqpE3XBnZP20y9tFOrm/uw0TnGDuOW9foDYLyQcpaA8Ek
mq9RqYdgbfFb93o4Nl42KsWDWIw6/6+if1FdpanWapjIp6BCiMdNSmxAaJdP7bIQm6YmIbr/2s4q
r+d1Ddbjv72i/b4p9hBtsO2OeURB273p60j37ZSb3jzaDyWn63uP/QdEMuc9Qc/ERVXme8dHS6qO
1rfJ7J3vGgA6ooXO8GDYNoajCbyVIpUjsq+oiREe75tS2miqM79CZBi2HUcVwNMXZFl78RlhRjlf
X7XGGSds5+J3Comu5diYVzyonLVn6kYMXAc0baM27XhQ6xBm92K4Ixx1vsx1jLBAnMvLl+gQix5W
99qmyAolem/t9VQvgeu0/i2zEukGILrz1J2DjVgyzzBdNNgxQMgt3WUKgi4mHuutVGX9lpc/sPja
70pvP0CMDK9RjBN80rX9Q9T0yk6O22zvj6l+CQMVTwypnF/SMP1N0WH2m51D7OAPkq5Dx8L694af
zFYbu+BSFU1zK5aFJjM9DAtwicsATV2kSA0lG0ZbXpQUXTzIZHk9OEV3EePFMAye1phGThigAadJ
Fk92Subxku2TWwCsA1+1Jr0CHcIgwsAYTevkcYMPWn0xgi7ZVkhrzkmGqEIb9flk2VQWo443j1Y2
RPsClPHR0SNjT9ijODjTPByyahz3khyVx0wrMPbx++iUND6Ip8GyT0k54fVaEySJusTfxG0r48Ag
1xvbKUaErkCXAUD1V/IT5TqNre7mQ3uCG0ztIHccqoGqvn+cO6x+MHcenyIDPHKnu30XEpQKCvm5
IQe9CkdZexltG5Y33NNXvGd6t4qm8ezjQwWCOk+9agojSFjw43g2Ifjw0/lH0thrHz+yN7LXDVyb
aNHaz9EjtaS/I1Oef0iJ9oPAL/JyIyBQHtjqJmt5OPuDvu2XI9gx/h3UgZVYPIy8UJkTkE5KTH4U
1CWqnf7dodaAV8BsOMJGHa81RuoLjX8GulafHWPqQCHzC+DNqNxljQJIBnjfeImhtTApH3e5LkVP
vuRYF0tBTSuM4EO9R3Jn+MOuT4fpTTd5d1KU4Mku+KUoU16ADZDHt4gCwHVQDv1O7KXGyb7WBuWQ
W8rgEUssDiiCYl5Vl8pgw8GQw2/dryZ9Aogohoi1PxrNpUc0/t1zHz5mgk/IB9yPI9qqykaHRgJv
leEYeDHKFivHVupeOgwsD6MvZ+ArOCUZvG3ilgNKj2UTop2zntoCn8tlU9UnREu6UezFpp/Wios6
MXYxeUAkZ1q8FCwLNQ/xeyr1qTyOTlLhYMGaWNzHiDXRhtM4oxuVEqUhpxrr/7HfDDCqRKD+X8cW
m398tIWPwJ6ZkPtH230X8fljVM6HLH1rpjB84p7ru0VsGXvVR1vR59qj7Fj+VhtCaTXn/Jstp4iv
ZlXsxJbYSdecx7bLnLNhSDvQRfPF6RokhW3evvajVbnaYAXf20B6QlDk/NQVZZPb3A7ggK8CJVcj
BgDl7bL4N8GMB+gg8Y8qqmMeO037ttjdrxKjK8/EuY8yEPczQoHqnCtVuAFnOruJLlfne4foZYL1
zzgdS56itVZy90KJDM7NyxHELmLgfbM3R8u1hpqc5X8+5K9DS2OCXkj1X1JqVAFmLh9yP4DYTAd5
R/IrPnj2IFmnbgwwIMI6FMcXqQ+RkKjWVYfkeE3N5e6rFFQY6KH91YbSF0ul1N5ZhArOloxxSSyD
+v/aXNpw6h7O0bIQbZRgKmt80ciCLL33DjFOtFW1nG30AVcAsdmaWr6OwMJ4XTwR3q/qHxHCBaeQ
63clmJC/9eX0YpW8tNdT4z/mc957lIr1N7WLoWFaY/Zga0BVYiBu58noh11BVS0Ex4iafWyr9kbq
wARZ7uKDJUeXPJWrTca77lWGtUvEgOh1atQSgfUie+bbhSti3vZrYkJAMWZd/8BT9M1vUvOzNPyD
TCAzgISDrimpE6bSz0XZmuD7CDKQ0Oh+j5Nz8vO8+NSa+LukE6XmbkkBPVVDhtHjhqWDWjBAemZz
Njz79dDANOcFQvSOVlgewwwpoOjNsfA8+f3cuKI3TsMMz0uYcqJ3as30Ukv6R7IciYxH/pDW1aPo
i3WbmBOgJebk0UPZytIlxkmI9cCYowexJhZyFrzPqlzt701iDTfU0Ivx8fna694rW5m1jUlEuaLN
akJwk3aD7hQ46Oo+7v458pCdG70wD/6sMnaOcaVCifQ4Jk5JisgneaKkytGxO+Uoo6NCsx4p23QG
FSM6xGK0oQatpGVMLUlTtbnvo/jSZzmXkO3+c5g/hhhWjIZMHPx+tB6bjlVvTaX3dVzR7acxH/HH
yNmUpBV2WLqnmQ5CsOXw0lAjEUTB+seOouPrI8UXDDPZ3zi6/vLVpolvcP/wyUm4BH2rk/dN2Hr/
6990H/3PcZWfWQC34es7LGdBrP3xZZcv9/WdRM/Xh3Zl9hADdkUqvjVaWz4WyzAxwNdrwjxiVfSI
xSROv1jV7Q50w/DDISN0lrphw2wDO7WxOTdJVK1qDCyCCKlZ0OTfjaKZYOhR09jLezP0563ldL8o
y528FLCiHH32aoJ1pG7iR+HAB3OGbh+m7c86850Nc6ajDcI0qtTIU8xpQdk6n6aERXbcuVLNjRzQ
rA4O33aIMTa4W9l18sJ75g4R3rPe9I7b87OD6zE91X5FcXH3rAQjB0PmBxE7ufRyc7Ji9JcVVU8E
dNYp0a1CV7+HxXCSyHpOBZaIEwiGckn4FRJJhwS97w4dMa+pTnKMJOVWt4l0lWNeeUv8jK6Vf9SZ
i2AvtzQNY49MKk3OX20KJi7uXAzZ/r5XQCTPy2qQS/imSlfRgQbtezujuKraHinn/NhUj02qD9eB
iVBr1bDQc17Jh5mSEeBlMV8keJZKTFZwyMH2oOosyA7t6I5ITXWHekMjvfTKiAPYsphS/1YP6Piz
4mgFg0HVP4uCaPEKjdm4UQtYY6Ith8CwnXFZI2D6b1s3M5EAaapuK1z0CtvwH7JlAY7CKa3q2prg
mtIWLs7IHOY6L4so1cqdPVmTKza5g2jXGBoFgqHmq+ne3pj6a2S02kE02VKlwiUbZ+xCm2It2sRC
U32VNBHMRjHkjw6IedrUfH2waDbUgvzuVOR78cGizQ8H13RazWunmoz18iVFZ5TI+dEwARAuTQZh
9YtlSd4QhPGtKNcFguBrqyjRjZz57zGq/P2gaGdA5OlpxKzqKhb2DOsfrJWxubelU59j4gaZP5Gl
WELS6Gt4XneHxEiMK8F+42vfLjLXc+HjfhS2DS5aNi9tforH0GyU9vZrG4ekalMXqb6izpf+sDTU
4zJ5jhv7YXaYHfRzRa6o6vSr4yTSgxEdg2VDi+J/FqNRv3dELQ+Tni6vheh9cP+jMOM+bkygHKUz
t15xIEsuTLwroiuGd92lLCbv64qayyig1rh1oSI3D0WdBTedINlNjYvH0g/GoxgmFkzJVBdboHIn
NsVYBcq6Z1RUjou9RBuKihRJQnLmHW5cOXLgXNNcc65wueeDpnUfgV9DCVnaVSvrcZKKXT+2Uf6L
YRAw92Tuw7MYwczvKkeKdoxmrr9iitqdFDjmFbGodcVBrForoY2XwThbV9GhtMA95ZLkjNgUHQBT
9EuVMmHEeUOCHBu2pJI1bdVH3H+T3jjdx4bETjEza6xtqlbxxp6omABnGd5K1BAe9izJWrMgo62s
tvI3mqNBDoffcgP1HN30tkEbqiXED0biobaWYiq0eJmIBXOXGbcs3DzVeWS2UQbY4UmYhfgLqc8H
PPzP2rIJX+81b/Hyw1vDof5usVbxMYc+iDXsmjPy14d2UQl1SwmjWBOLQRRKLgteaimcFI2ga7ut
o5LxHmOAL8X0FH4VXi113jLT7vpNVmfCLC1vsYvw4b5gjozUQWxnQvXQ69mrvgiPukVJUy9fAW8i
lEem0B8ZFWA3aJAEBeDuHsRCrdpxxuCoXvgb/1lVU+czSlQYGE0O9lF09/2MQlSsxmBnQP4nMWkO
wPkk7aDsfZ0xe8KCJIEzEtsmKURxFr+6gb0cl6jMFvYJdgcozJAv6Gtp0iQkdt2vqdN/+tAi0qLa
jth/eYbyGODreCi6/s3itB4j7MA2raJ/hJPurMelqjbhMIVz5I6TrcXfez/bYk38B8hhhWs94FxJ
uKQd5U716iTQdy1GbQdTK8q9yUtCUsW1K8nddtDN55S/2jBGFPqIOmT+w1wCSs2c3AZIP0uGF9eI
mBdRWr5UXFvLP0usZUAb1hVYEJ67vXJoIFsElUmiSysh8SXpePrjxCBR5ryZTgNC0VJWkpT5xPsJ
uFWh8alnobTWjFMx1OOhCc3ha6Hp0Xjw1eXMZdNHpqjVAclvdXDyCui4WM1tp1fWYlVYr4o1sUgs
v6LayYGGsdTOF4sdS6lVCHSYdPyvF1bpWPk+ygABLBrR5c8UC/EH3ze7TIMso+Cb6S8apnmpURSn
oxCaU7HazgS88syavPt/Rlyn902x5igD9lYIeLl5F3ACWWhL2d99YXR6uO1045gstffiOhCLaNkc
SHFs5qg5iabSNzB3CGxmI8LWoBeOBqbU8//ti+JbqjQ17qNajgZsUY19rVqdOuwTIF+I5DmnCx+i
0rExEAuxGUdQiJVI+l0zpRyOGEO27txYPa4oUjweLbvwNGy62mKc3CDDWjfEn9qT7Yq3GFX2t8R+
fjrp+KSUC1iX+Qi+sQWGc0jpJ1LnazXr0Y0m56yoQhdGGYnSuQxPJrUw58DvVuTbG3eYskum8IjI
ncrwHCirR7lqV9wySlLoRBbLqtuDG1hebWf5hvpe3c0DDkKmjSet9drWbb7RScJQxd71eLE0wSZq
MaLUc1fqM/IjlAl6PHC5acQPuqqYq0mZpLUvtdjC9OoG9j94uvlZ09N9XpbE77Akihr9vRoqPAun
dAN+KVobCP2KtjuFQS27PBxRJodF4TUIMsLuBPiVepKYlK4kk3oNYoIqaKlWQNmizVAtHtGtRhUu
IQqS06u5VAf8je3GK0FUNDaxxn783VicGLt3sEph/7l3TsGUxKsIgy0/j2W4pliURgrh6l4GfKvF
0PExzaz637GPIlumkmo1zoa99WHdSGW7a9WQkwCHLtJNzrQeohVvBp26mOHFsZfQJUaQzMeanxaP
7uXeoiiwYyxznydbTZoQAkvU+3eDtGVGMa/IP34weQ7X9oR+v5TMBDYRZTr2zNxTR5tjg0ejfJM/
PMidaZfYtxEE0o6Mp3yimBb3DBsHBjnnH12i0kUz3wUAg+3AlvHa6nSYU6ieQul36+MtU4/n5QpS
Y7M9p+H8y6BzlTc8KCtesiXLvxRq91ll0JFUfqIrZegxa5oG8o2hhWOOHOseAdFTkTQ44JroxFBw
eynhBE1HFD4ncroy2wUpAmvZHdX21ed54UF5dfFlxh80I4Vj81lm5UQwIeZ+RVXOBNHLOHeVtMmC
xr9NENfnyv5RprjqBXLwfeqlTWvzIjgovbdMAHtTC4/Uym0MJ/wpwWF1ixFvYmWc35yKgAUBSEX6
ZWGRCNdIi/aaQiTPieUbxAV7pU2p54f906TYG4xwKR8JKcWSdJlsK29IUvKZVEq3maux86YwLTeS
/RJKee4aceav6zQnPtPnG8OUitMccsChJTIYKcpDMMYtaMpp38nfefMPV85k9euufmwSrFpr/LqI
569Np3xX2h48C4AkW8P0uO1fqMjVgB3F4QoXz8xlNqisZvirroNhqttOY+bGVrgzdEl2e5BdZqy/
ABKrdIokwXylzI8q2ctj3FdsiKGy0u0ULTDom14Dp//uB1UN1Kn4Gc9vs5oAX0vDT4pzM69Rn7FQ
fO6plyTrAi11ODogU5fcRjt2tkesbZw6i5AZRcCmr/4mfAPCxHyPB+NSjCTtU+ekqwzLlOGsycz+
uafH6x7X4bZsTv7cYSCbT1vseU3cZfNwN/3AOZt49VOSdx9Kh6G83E5XPWbm380LrrcgEIg1Ook+
nTt0DmSyo2YYsGHANbGqiw4gWPy95yS5dYkpsKRJ+3JkkhXqSrVqt5x72UstAv5YChy1clNnhn/D
27Bdk9qJV2NlPZtj5ml5x41AAkObpm943Kee4pDwbuo2cpsme6VeFJFjyzv0mET4JVG9adYYCS8+
sVRGj+tGSl+A+d9Ap9lu89qbEOiqKEF3P+ztSP1ZSMnPLFI/m0rDLLCGzC/zDkWEe5sP3bSxM5IF
kUItu51SRxROwZtCFHTMgP0NU/Eox9WlWgJV+bQkYn9pjYX1wsAXDimVbXrdhXtXr0fJXOTO5UMf
xm5UmERLlkLdKhj3hcJDIaNGyATeB+uFu6YZrGJlX2fRg0UhhlumxSVLit+ZZu2ryvzeRLx4jfo1
tNPM0+V0R6EK8SC/xa9l8NHV28Ohxc0sAFXtVVSgrzsthsgz9IlnSrjRq1I7uZKRj56vSZ82ZKPQ
7ylEj7S1jqmU2lrmdhrrJ2zeSENn+pYowNaYiWSG+XM+yhsdV++NHZrUD1OzEhlcZlLx5shFfOhX
QWgvDLFvvRZCG09fprlNPfgzT2E9fxaj+aoW0603V2pmVhszGM8zaM7EhDzX4D+pmOa5AGNtFw2c
wUIlo6Y3+8T3KdM2t0MkeXaE1/37FJUfTpA+mWV3Gk1qGuXhJWzTXUMNTjJyTcRtswHJBpqmP4WA
AyloA4xWp4aXlLyBS7Wn1fw+ocob6a5qioEg7gQzDj400AC8KwLjY2rHD7ypM9dKpefGBmTTRup7
kyWfAzg9rRrf0Zf9omyXulhtO/fRvtOzpwkZ+SqVi29lB7w8gsPUJ1RUcz4edUzEtgVpAGr+NGJH
zbwlAQlMrdkHXXfD0wgPQZv4+NBavxq9AU3BExaPbazecx3kLwBlV9IHLC/lHGxTelLb/JaA5nGV
eTDWuuNsR9PZv2cNgD5oQ/tiNFp4+wnF8hPlESE+mrixHzHFKC7ohinhs8Cmq/wiS5/IDlHh1viU
s/aUyMNbx5fi1e81oggD0mf64tTSkTvfI8Vlpdt1Fqc+uCg40xeGum3jYTcW/qbZNUO+aTgt3CR4
8yd3OLrk9iLm/wMoYKu8RESpdi1+anKDsdjonJIC1menJeRT8s0Q8esdbP9XmmKhnFCflo/1q9m1
J9Vpr52drvBzuJVt8GFkvDciIcO6YUjfLTT18EmLfkVqBpcHHevPmWuDjADY+JxpQ60MzGjGta3J
FBh3W533jL3D23KRXbAerZkHRDKxKn4u3avZElSeU3t04fA8pPHYuJUFEVDWKTjSsuCpMNNfZTvW
btamg1c5HY6RiA7rUN73svPN0phETiHk7Dzoj1rDLLvs/I+u5Xc3d+rGBOZtNf1ZI3oHOSXxQNyZ
Uko2tPJBiVI7BXL3FQYhhU4BITSN2GHda5xki9OI5cnMDV3JvE61HAT/tu328ZB52WOTwYjqE0ne
qBrMhqaOvmEA3/qw7XnAMZO8OT/lsetOCiAy3saMne23T5I+gd10ug+9hTQ+SRF1L91H3TiboAcp
2kR4FDuJ46WECGoSHCmF8V4uS/x4mIRVeryqAiICnSxnRKyTXTb39h6TyVcrAt7DE7zry59Ky9x4
Gvh5FvB14uikSwUOcwMMxZjLpYq+Kdx+PNRJVDXh3zNH1SmIit+YjIaurnSklbRnv7ExKsl/KJDr
7LlGJaHgCOZHNv6c+bkLqqPJZDFo80vvkDTEXwTU1RkB0Qtz7RebpMXKCBavCHX8nAzeABK7Hy+2
w6PGnLzE7haHQZ7mJgZScQNHtXpN1Ipfx7Ay61l+MPpsZDKeJq5uMwczU+o2guh3Tzy7PRrFQsgy
Rnhv4/BsFMNaUY2RiRWmGZEF28HsrtIwlvtISq5awIQcT9pcNfKtRmSqquaBCW3YbxFpa42ZeQSE
ns0w+AHfCnZqQs1eqFT8ArhopN8E/b5HRbL3TW3EGbglW3nJSjBmIO51N6XadjcbQe01EDGdIV7F
s3GuO4fa1O6XIR2wWj5FGLPmBKEBPlJ7l5RrpIzXuNf1jZxX70AWDl0+Q3wuFkTzR6VjXD06CmL9
InwudYuZEDVQNkECt5ID5p1FBGaSEvTc3lK0ZGANaQ2r2ETcY06oQozvcQcCsh8mPNtNdaNr05Mq
m6cq5hcYcoYTHVMJspK/DMvvvbSFOJytQ8XcRub4MY8HKmeeUypSXXxBqnWmcJ6wEr+gxKBsZOZ9
3USr1E5LCN54lSDzLbVtK+ghb2pzlJSNieGR6xjSo17omx7A7XKTKlw4qEihJgqotwtdDvePhBub
pB1BB773ofZDNaVp46s9sGQkpBANeT1NU/B2zAgNh6u/kNAOMDHBNjFEv8Icv41CGEmJ9lsz29w1
R8L9BtQk7puEEA3wgqp8i2xZhSpneQkup67kcJVYhvqdgMsvPJTLY5+QtVZJ3E9YFSWq8g1gX+ZR
KoOAUlM8OSmMZYd1RIzYU1US+3ay1Q24tMo47iylt5kHxOUK1FwDPaV9i5UKHHV7lCKutqLW3SYt
n+M0R45kHgBjenPB/HloHVx9CVK4ZhpuBxzHoXbOF5MS9lL/OSnOZ5nNsUchW8ll2t2sfHi3muET
kuhunqaVqSofxRgZ0JIHEL2IL/yxNuCTDPmKPIhc6o99Yt26xkaWEWfn/6HrvJYbZda2fURUEZq0
K4SClZzG9swOZY895CbHo/8vmFnvrPV+9e+oBGoh2YLm6edOvdMBoFQqQLb7PTFbEu1z4zloHzuh
YtWNhygJYiTuqHawHSN5yUxxFprFpRu25DmBY9SqfStZdfSFHLZRrN4TOPJN70nFdDu5C6PpMQrM
Hi6g/QCgQoBLEuDZPL857qNjKZBE9MWLL29Hr20TCmwKTOzrwm2iF9sJF1tizjd93YE3RHullBeZ
fcM2zwXsDA6ck15dRoY/JhorsV5jqB5LX9Etw3PumhDDTpp+cBfIBnc7OCfS9odKfVOyDKil0/fB
iOfeGBCGl2GDVtmdF/btz6iCem8aR+qLRmYUGIO9MakqWX0NNzU9UkmbuA5npFTFrqcVvcXHkIeQ
uYoXwM2VlaF5jpN8Tnb0FoFTTlOXe0qPN2Di6tPRnl4LEWd+oO8zASAt0aGiQQ19ixyYQnRvqQyX
DjUr/yDhV3Ot2uOGAFZSa3RayatT9gki0slKv40jd2+TVO9dOVBy9FYLTNgAD0eERLu2i4fyZxmQ
kZFG5bUNo51BkMjOncZTmeofmYJgN0pwfl/8hqr2J4ykbwDixU6Bo7KpuOJ9V7FZG7pcSsPQXOW0
c3EBniba7fC5qm2QhrizFcgCK5QIGahW0qD9ywJ6IXH8WQTZWbUVTM2TkmShwAR6iptDhMHGBtKS
vakL/XMwsJ3KvmmWLfdhof2wNeVgzyP9Exc2j1F+FgVWp/h1f+I3805FPewqPbrOWA7j7JumHmmw
uBDMtzoiwvV+5G7KpYjgUL5DiYH63f8i3/IauEQsx8xRGkHneW+/uNp4mmrMSPCZI0veqG99Ld4l
PxaWKA9x6up7ZYlcjsrpnJkqru+x7HZxzDpNpfYvy+GFaxQaCKT6ZTq0/Dqc9rwPFLwLMb6NjsQK
fUs1XdmSgLV/QUgabIYqgD306Y6vlWO80tt+tvOOahNiqjnDOCO6GunEKUtdlqlMUYFBwcu1CcmW
Xm9VQ6/5rlr6j0qDS5XDmaBh+1jwz9vIwXhQspSWoTDeenBLLRz6Lek/i5+KG54jUzyHs3XQMgp0
ERLKx+xEBYDTHmtYR8e7teoMiMY4CdOwunej8KH8YuINQH4GlJVj1D9kgpWaVaOnSQZiUYT6FtUE
NUx6QR7U8IwBabaDw3Wf2P0ZWAGhn5JdRRa2WxaB52Fxbp2MJ+09lM673TUvjcqJmZovZF886Zbc
ipCcQiKAcQEnSHa6a2quFmRdMMQPjaG+da35odg9fWWYbo1Bdl2i0oxJuP/bc2ygmOiPVXdNK3zA
mQCgwS3mzdr3YFm8Okp4nnEqxFL7nOrWTOOu+VlW466ylZeMSOKNHRmDNxQU3qoJmyHgbKGK6WTh
IhUX6sYU2V0RtB9SIKGIuhlTSuhPdfdkZ+Jk5Fbj6UpHTSWh36sYVI+JomzFks/buZqPFJwo+qT4
GeXRAeOKuzqOdmpqfkZOTZ+qBgUkSZUoxXivT+U1tQgUravsWPZEpnZq6cMKf0+1BrqoTkK3GftJ
CvCctPDfAolxsOnzFU5ddLNjCUl4OEtFw9/J0qINosdgMB6DFglFEPyapfKsEyU0WkX0rKQ/8EyU
5qx7SqjCxhr064T32NZotZ921x51N34qBpB1FICfbbD8s6Psx6T1r6lEV03aAu5XBX9zPFyndLgU
CfS8IHynhHgnWDXa2EW/M8vpR1cuujyVG7mSuzAC5wLvcR22HbX50qkc96B40daYaM2qsU4AvE43
IfrhmiRSpI085xlxSoX5mDuDAEFXvs/hcFYrLKRdedGZwoXt7NuicLx8wOROtn48xG9xVgvvV2WW
P00j+wjKEq6lXjzkuDW2ds7kYtWkLZkt9ninWQ5+QH48LCe02lp5Qmf0pCs95HSUv6gsDtOALWFE
NmiSqDT1OtlzNsI5n4WxVcFU8eAK0YLIwVO9dh4TkhLjdDeH9gkF5bslqh/ZPN96fL6A1awLV8ir
leLWpnRbVxZwMJ1wr9eJZw8dhGOFtKhkviJeusO1dt5XpuGb2Btw/9HIo8w8R+fq6me1P5DpgIs+
NPDR6TBZ548qDfdxtGne2PRTNgYVHWexvBjZSyfSLQGq93XUvkU9EPhyCs4TEVMQS9RdaHGioJ+4
zlmwpyP+Ftjtlc7tLcAon1UCOrSs0nxSiE6ZyJ/aSP+ej5ZgoRdR1qKnclxcnkTLjVHGTytVIFRp
ytA8Lg+sxp4I1X4r2+Qnq99nVKDtEdt8MpXnYIvu5c0sz3UZfKc8gI8RUaIENOrPCkBOrRG20k1m
6ju5foBlRFsvmQxKhiokH1I5F3apXFlrvo45vd25s3fkZcttYVoDa/rR3eUzVjSzyNKDrC+yUAAI
OIDvpMpP1r2bCS2EiAPnMM4Kuskcy0pCssLRCe/6eGDRiHMC2L7ilYlJbPFk7qcm1+6UDASrQokA
EmGzUHMiFXmGtp8mtzoij4s39UQG06gZ+aMyNZjG22mzXzd/78OGPuG6bLJgayPhwIi/1LlXtYSN
23lBlsGS/jS+OSLGjJsAC8seJ69yp2NhI0lH5PTDoo+sCfinttEpB/6e3axRqHYioNOHiT1Lm5c5
q5t9T4VeD9zD+poGZNw+kS/83rXZouzi7jMrw1Fovbu3g182mZ3elGnv8Mi41zTQ3RJVhOQcZ9+V
DkPVwqC0twbtK5AOFw0Vdh4EH0YiOo8WkbPFNkC4BibOquRvspiWnOouHpaSLVJOkQ2HL7B/Rq7+
s2+gb09MwkEXHHFixiCdjlXr6q9uium3uSsn5VItHxcvCIxhQZ8acL53nRf887A9lCRLzNLrp+Q8
q9ZjXt7KRPSbJBueZAj6nDnOsS4FLU37luqoyW3nsx5NTPzD6n4ys4dkgQ5cJadtONYnoYaD19QG
V4RLCjyqsjvyMeS2CqsRDL/dUlwPXNbGUfaCQB2T1dvBCCOB2QTMDtXCkUCzSzxRU8PGoTGs/cQs
b3XSv435ErQ4Jv0+MPJfQzw3lxanjZD2tmqyUjZClxvsZIAPGIbvRupbPNkXN/ylNwaYbE0emsOC
s4wdyfSYPOXDS2DEuAs5rNGi0Ag3SKw3Y4uXw1iMnuMmrJ1tc9iAqe6TWNVeU5fZGu9YVre0WMac
fCgtPomO7ovViytr7GdLzV+b3Ml8pRYxRIvwDY8RJOyOvkfNpHoQPZgGF9KhTewQnUOaVJ23tD39
XkesrvMb6wvaOisEQ5ppuifIlHfpJwMsbKc61vuMkj8faFUGPeAKFipI3EHch3ZkDaeQu+TIzPFS
y9JQNPXPWoYhoGpg+dIXJbQqGlZm+ZkmFd4vcjhkE31mLTPdoy6Obd52mykEmGpmmk+2nb53NPm4
2xTKRkJ6aLIiOoZJvxTQ+ncTicuGbmWI3clY36t5DrCimx/FAj0FPyo6LJ6WKtSu7bmhZwlNtr4L
kQZ2FCMPgcVZKQuanZ2K7qS/9ujrPDgqpe9KE5f0CdjDWhJruoqOXzx3A3gZJwzOCOm+jnCpoLzb
jHXaPVRkpm8b4o0WQ/4TfflLaFZe1tG3GXHU0AbamtRS5THpKxw/uCNElQi8qovVSzuou5yacjPZ
KKfjmcRyod7cUhh7oXbVDofI41wl9sZKpR/pBLbMITeHMBTNaaDfnjoQ3JN0fLEkJFO1/QZqxu8v
Z6g/dGSDuEnusoK2OutWfGoTi+iVfocXAy4SlYzPrQ1+WtU07UtjVBDF4geZubk/twY346F5w6LH
l+ZSfxZI4+b+aKbMpFlcvEhrNg62XsBmFsV0J5oFE6qh0xC/AYfPTmvq2ow8cbQbvog4LZRBIMBu
aARyobHMssyXPKtzz9Zk4GG5IuFyonotE4/INokB1HJJ3rKRj0gnLmEjq01PCLHkKVRnUySvrcX/
NtBa65DEKQQmLntkPi+1xV9cmXwkeiI6MaHFtAYkYzn9q+maEIvT/IzV53gKiweVFgpnlNwE/Cp+
lDbYfTc1yz0+WyunHUEjPagzVZYN1uNbTll4SdgfBAt34oVzIlY7IfeAxQYeMTu3vxQR4S1oZd9V
S7SPuR74fTK9GgOqy97uvzUBWk9oQPVeEkTDFN3exnhmkPJLkBJEWyf8KA2r29pOdxeCodI4dHWM
UcKJtrlVfuLfzL9oSu57tVMIn3ZQwPQOsRsSYUJVwqfV6dDphI10JGxKzmQzwG6NCwnVf3kRU8t0
M0r9iFFJMVNWmJxzotQ+x9B8V/Vf/Th/Yj1DuAVG4WZ1PzeWijNOQB86eMd8i3cL3dqpGQoKIEPc
axpEJvQ9lKG/DmDMFik+SdT7TaR8d2vh+J1WE7gWp8UF5M/2s9khHU+A6QB7eapGpcM6B3EvFSvr
2j3GPsLDEyPdcts+JkYw3VmBCrbB0kdIKDl2WIw7BS94eMhPrZKpu9q5x+OCwlCdXvpRO8yNSld4
rL+1PYiINbSeHsrGGwdXo1DMZr59eIma9ntmAZEZv/Q+vndY7bMI5q7Y9yNUI5YD3QgAHbkKNfuh
Rjd+C8kjUQrCrAl32g6N8lkX/XcjJNcrCy5pB7dSdJ+DQ0O/TGjBw658bmkKkPfm4vsrLZofxrc+
YHmY4N7gI9B5Vxb1WmRPp9EmuiBPkgdFlLjnmxOn3FwWmwIqylbrWfPZiyd+U8ov1Rg+2l6lYrGG
g8bcs19Mt4ci+4C7QXol7qfgvayMdbt+5C9KOKuihPaLme0jLHAhG25TJTnkKoHOdWDcV42b3BUN
57ZRbUP+yZupdKEHAoJrlWv6UTsM19LxDdizW2cUpG1079NU3LjDJlTBxkaUyOfqQsIDKXdTsgh2
W9YdhLZBkJ/LzwSRFUuF5ElX3cCLKlqvUWHGPKNxkoVFd5MWylzlJ7324YcSHkBfVaydxLVvgNnm
Uf607cWbRbA0qhuIdT2/iqbO+9Cdm1u8PJh033KYtHfrLiuriDKi81CmFn9ts0TQBOMhh/4IJ1dn
LiVY3VFcXPzrftqWFfNwUGrPSRcnnAfqa4O9xFbTddsLjYNjWeZWzO5rGEcClRs97aLJB78OWMjk
AzqIZFOPRXWsxua5t8t5rydG7Pd1dh2hjIEdg84ZdVbtuXgINna6FB/hEawWJI4SjjkWlT42FXSH
faNuumtfOo+Z5B8q52yTl1p9bd22JMN753DTd0o8WVrgDVzHbnUw0eSnzdhG48fQabiI28DySae9
GBbMwrL5UVY4uaDoohTKfbe2bzmI2LacReNRtPoB0sEeiBXPnCVoY/hK6mkbWH1LfOFdWnfjDuNv
mIvB1Z3DS2ixVmFZtkv1MvIGJaUfow13GvkDFDnjF1Mu5lG2c68Z9UPVpbRhrPAlm8A/BfelEAfp
Wpl+jeQHJ4GhXWPT6LetzMOdkpGMUGnOL9uEo5m3L2PbBxuBDbJnT6pnNxPzszF/itE51AYx2ckv
2+IEnfPsZzWirVXtltpPIcRITuFpMMpvdQqZouXk0ptndBwnt4bhEwaRH8Q1Lh6dvrFd8XNRnFCI
407SuLrhBbp91mFeZ+Avfh9aRxfKzx1CxW/aEjMelgpoe8E/wBafTYbYEh1RQfN1NwYOpjZJ9uxa
4NS6TUYRXiB3VjHdegP0wBTB9+geBgqzihcMs9/pUPf7+jJ1abaHlnGc+uBGXAjSF3oRqTZC1bE5
ZjhNr7k0v+p5vAjR3ahSsS2OTmnACM5OBUJQs0tFx9m9VGfgKDcriQTlbJPTOTEOldketZEc9Hx8
UqZZu3RwgXR4wLsiPuQ1JW7rGl96anQbaTWvStHO9LlSbgb833SUmRWkp9qJTi1YGj23d1207Vkj
LDaJnGmntK27bebCc0XE2RI/ZDgzeCFzfVHvsVU6wpnkVp6qOvr+8kdmEScWjAaJ08pXaHbvqUg/
2jqaOfv1/VDxu4iY8ELy1nfW3PwIDZqQSbLI6RMQNIOMJ71wQk9gUUaHAcTW5N/c1/0O4hMz7F3S
Jt/4/R/tj7qs3W1Iv4A2LU3/xlU3ysCyygy/xmZ8bHT7q8zaV2dqnkAhAk9PFHzybYKzXBylqoDl
gNAW9g44qkJqsCWgZBN54Gy6fK5Y8qugznZgnDBK+9CCwfEqCU9sQbNkizyflVq2JXbn2I8W5g93
kzHtba4gGRb7nIk7sJQ3o4t/YW4m6TxX475QobUhf4/qL2k3r+RM0Y2Wxa0SOy3gzsmcjruye8hF
j/ux/NBTB2766HdODKVOFSW5DOhOyyV+Rpkg2AXap61/AWg6fjS7lxFK2lZqWCNAvY4rFU6vG92N
5qxtkji6lIVCaqWRny3Uaqms8n07maoPbc6kuhi8Tlp7bRhD3MbKigiW6lHnwDiscfmn4q5mURqi
6CTdMUJ47VYtM/x+KpOvqKgW06n2aEiFv5tUTmHRxaG8ZRG2ZKBNw4s2R+6JzoY3NmSPO2as+aMt
n6Oyvjc6giCwqeZrxNshh+vq0C1H721erJSlUAVc7sWTSnCVkZ7x1HuA/o3p31iCWI2AGCPhTjCn
9lWrlP5Q3tpZ1U4y73eDVMJtlVKUlc2hkBp1Kz3hWMb8eqP0nWi+xDkTUBBV0lfL9i50CG4PVWIX
YBxprtL4bqYgV+7fsrH2676hBGjDe0Wj6B9k8RkC6FUJYZRuqMRbZdLfrba6CbU95G42+a1GvZu1
qUU/yEAslOHIEgz3bWh8lOIUGsya5ATawGG/XDgOhTCRuffuFxkp7zS/ROW8gKDsR2Lg0LScDBal
UUgZMYb6DcHKLRrUWzx0sD20Yxlm+U6jPWDl1v2ouwuVh3K0rAhSnOC6lrX+2ozxMwxLylF8qMy2
R6ghraucjafASB4Fc8rOsbt9Ws97t9TuAu7kiEW9rgAgI5rSTxK6kSR2JnG90avR2EKjZMsJKXZK
eDFNTtccLXdcRPup13Z221KV0Gx0ySzYlEp2FmP9GST9Z9qAVSTzRqses6rruGiQ/AXFmx5Zn/Fo
fnV9gV+/vjXUrNxjfg9eNmGsULFqt6IPWrIA9qWsaZ4pN6OYnyPTfkns8aDqxrGKKFWVVj9jv4Pc
Q8DR6bghmo3Tbc6/NKH4lVpyw8AaonfFzqy4w6rDRy2xDUw/hCHIYUuPNHUfLJtOXNYWr3Pgbutp
Fvuo1b655LBWlfs96hZGfBydlQEiBUQ7UiDy8Wzm5J4WOg3u3Pmm4uLWBcUNw6Me5lX/VPX0YtoQ
MWxhWxeEYwTaBeVjjpBh487TWXbuNp5NUpQYAmJyNvBJAWZ1dqZTPxpm/l43ZJUpqo3XPoQ0tX92
Be1lw0VWYDpPQ6tRsJlbplwQaDwSoOGKbykBnchNsBczjfpdqt1WgaVakRo6xvrN0mwyQ/ENTOi5
d2VwWG554AKvs0zNjYgk2nSkPkFlPlRGczXr0fHAGll2E1q3USrjPuusxpdwegYH5uPYnvQONDgE
TqmVnzg5EPVIb3Uz1DhIwkvVbX7aAbw8yzTWpfaRFjxzY6yV3Nfmfad1L7lKCwxXpEWRvlcQdjeu
RVFCoTigVllgQPykYmwn1HCiOUD1GzQ/KkfbdbU4d7aNH0pJMmTKnI2hhV3Q0Ozay1CK9qIVcXeh
ATED6w3KAfrIsGmUcjzmjSgfE6Gkjyyrl+frjqJB/4hPEbdNK8ALMohCzatNtdn/eZmBytj7xBpW
t3UXdABwCFN8/3uQZAgT5nFn9M25KR/pw1SP0MWeShXzjnWXQbzrtXLVw+8By6iMANMd3zba/j0Q
jXRU+oOuHNdxkK3Hh7Eivn456vqAtuQQIagEtuabrfsaq2k9GHYmNi7/2ZfFjqdh6nNbR+DdNcF2
SWhom+lwE2P/54G13YMj5HD3r/2C2gArnQFA6z/jtcrCxUKcwUn169/dGdFq1xCG0XrQdX9WTERP
ReY9a5FdqVfBfUKm53MVQJwqyqG9Wzctt0iXDLjZj8eke3brMDvpFb1EGQ4dd47WeSADwcuQ37Se
tMfLoDL5rm+darfxQsh6x3Uzydxkj7BBbH8fOAyGM1mFNM2Wj60zXOdS7ffQ9aMct3wFdRGX9ZOG
mMjGOXBCGhIMH7oqP7CcVrx1M0Z5ehlc/VteKXwPVb0ZldY8rcfReCetjLo6rwcyJaS+SrrBbn21
TUxvgtOLqiYrHtYHM6vqXVpzaWGVFUVeZxV4XQx5460vw2guHvjA+FCTwcwsvozJ4zmCdQWo9fc4
aTONrAfkniaFvmtbI77RYo92xTBm90DwC3OgLB+wqLO3RRj3jymWmtsGV4Wnqa4sL0B980ztVXvh
YGUvLd03rjtzeI1m/OzszLTf5GjKTaZ0xQ9Rl1+EyiKXrOWr0yf5z7GUyAYT41POENkzp/jVjlQU
OZgKCEfh9WrJxDGr98FIRbOpz3SroOTmuNAIK4F+QDQx5U7P6LnYR2AhXwARJ6Odq8+sth9sGP4f
8ZB8d2RUv6usCajeGve7Dna7SZNs2sVlSDSKq1UPhMnjq5nZTEFL4PK6L0xLJJWzQvHTV9XD+oIW
ajaTRFD66+b6Qh3THErCTKHc4VC/x5Xh6FtQzLbrZrscoLB1x+9HB0e9fz6DrOcC+jQ4mjlUReTN
ta3uFEPDhXgZsx7fBRPcj5XZ//6q6wuyCbq9bMC01iHr8UdFheffR+D9RQWfDUX6Ye5T4iKBQG+k
BeWHrjITIkHL6MJlpvitMiZPmBjEXq2Z7Y88U666WQ4hGPHD7ATRryo33yF4u6+DpTtEILfIZgc7
o6viVidFFsbJ1gdnx+K15/rPdXBxo38bgv7NLLByiUwf9QA/0JzOD9Iure+jpRdeGA7zo6vFxc61
cux28qa/g93v7EltDm7EmjZbo0rVFxiFCYZJ0X2lpo9y1vWrUeYYLRjWADQBFtilUXXlxAEoCov0
mrJ02ht4LVzSVGT7rsIlJZMAXHk6TJfUNNq9IWEVSAH43wktv2jdpO9xtgkvmqtbey4U+5ymCAEK
JlyusjsJ6WRfIu0/GGYSPVCNUNJptvUzzO7wlbA+W9bhm6YNp8d1aGzOCl2Z/wwd++ZfQw1kzo8q
Gd/7vjWZfbv0CfZUcib7bD8EeJvitkw7Y91Hw3PfV+UQ+QNxoduyVkH9guEh1xuSlZNg9vV4Hh7W
B+Jlbc/ATmK3bmrLOK1HiRsapbkvmdoI7k7oZePqEx71uBp/vy9KaCo7elDfAYJ/zqT5YVRFpx+u
/31butjeoFNiNegcClJU4FgOiIHRJTwYuApvIe2M/rpvKJzggeoejj6Om2BCjFv32YOxHSbsmdat
IQryKxZlh3VrPRD6NPeQkJ4HnZljrA+mMAOCm7mG/u6Dz1kD5Vr6sftnHPjHVsfa7rbuKl1HYulW
H4qaCPUxy9qtqg+wK2igtDslEfx2xEFGPmpE9JjKnNLL0pubzW0BIsCyk95k6v3ebqoaAz76uL9H
rpsY59NqWh7+HmJ9oTDD9mYBqeM57WADMzQ3LZjUw9q4l0rGl+DE/P/sDE1LPSgaLf71jevA9WF9
AR0qcPDy5nkuoY+nrnUMlwVoFdXGtaf/cwvzCloLroE/6Bo2gDxmca+XGFWYM3qcogNwNGz5JfXC
fYhDhDduRT993Z/b7hN2H+qTu5S7VYUsRok6xsviVJS4QpkTadPBJCt/3d9FrIiGrnwFxbExJxqJ
V02ALnOTyFktGpRTY3M2bdan7URyqRx7rMxN5bTuqpOUV9ft30/XvX9f712Ea1mu/PrX/nXzX/tM
3dGOeZX6g0MPldyr6RTp058HVW0e4o6/dRbwxfPINt+0BPGBWqblD0C7T1OU1rtiy5dW09qjsAyx
d7Qk8t3cwPUDD/gXUWjAZyg8pO4wn4Yavkx1Fr+SeEmoMRMmrAzFb4zp5OCyFUyJsYUVzvwnx+tU
VfnXVGLq2TX6W2g2KgzSwmHFPih3w+tB13psRVWg+406GOEhyCVL6xZpl6Pn76WrfSefXHnEMLs4
SR2bwdieISSM3a7Ky+y1VwHRJiXTdgoSrh9W4HGA3O9e+zos77SqznYqArFj0YX5izNNR5qR8l0b
jALVUxCc8qhPHgMR/lo/btYdfsFqLG52kffXIARlGJc3LN8DBiWYVgI3UFqh2GMn+ZFgSXpZHww5
dpdKdNBrTQeLA4VVegVB8mLosRg36xi0nMtTaNpo4MTpz+Y/h1iH52X5mudZcfh76MyAFiyUvvW7
CmnAOM5HfFvc67olUwRodo/t/bqZ1LBYoKceB6e52gCC7bGhAwI7TI29olLq16kHV02kqL7bM7h1
PGbNe5Hlr9A8hp9ENF866tGvpreQZMmQBPti3hQOMoGNwkJ+aUe7IfqWfIQh44Rikdvn6MRbdMqL
uVxhVzjM6Vq5iYmW3q+bf19IMyUnBxmeZU+7+xa/KD0x4gaG1GfHiip315RQfIfRao6R0d2tW+vD
OsRcxq2b1aIuEkNIv6y1H+JRVY7SQdeVo1Jnld5joqAjvtrGy8vrmFoJVC/L6InWpskYbqs/WdIr
d7/fomuZV+uhefs9mN/pqpEsYdam/YBgiIP88xm/3z8Eec2ZxWc0UApOY9kOO6+Fh/0Yprl8DJYl
R6zWcHX+2ec0XbtNaYFB3cESDuWKfl+rjnOu9KQ+o2V5ZU1sPqvIqvAbs+7LxsZSNoFPbnMintcX
TVztt/BAyoNawhNse6PcSxu+a9Ya4bc4KGy/7DFH0JMRHRXyTsJzeqRuY249zxksG7cIla8d+Frw
JXtKUqNuzeecY/kQZNPzaBrRtkwyBEQwBZ7oZvojx7o3TMN8muuAxqmts8JEZMfaHFN3Q7TJZn3V
NkA6p9YOzsDzGIzGcXYtG6u+2jDWgNDr+KOy87taJuZLbZQ2mooQO5A5j19LhQbCMsD+33eCpTY0
1Z3oA77I73dazFheOTX6PdgSHXe7yp6HDIUSBp7xQxIE+EZpbQFEktn7YbL0U8I9AjpM3oFoJ8WZ
+a3dT7lqXwX/H99OU+OhyIi/i1XFfh4XyyL8eDdVJZx90wXztMmXDIbOnrQLUGdG4xLXrWWXhMF/
KZeH3+PaWhRkWyh/3rG+0k4TCcmDCIggRNwOxu3DSOweLaOLnkoLz4oYozd/3VwfGCBsq3uksl9U
QBgP/R2w7mOAJmgH0gEZjoHbCZJp+/Bkyay+DNGQ+2metS96nPxcf2rN+BWbQ/SZcK7STJ8Iulje
42BVdBLLezKbnkKdiOZlNhb4YAi+hPz9Hulm2kZ38j/vqSx4KWkmT0iq3JPWTu4JyBN8a9ABJKpE
hruUe0NNGjYvyfWlfz+lCDa2ShfvsrHKO0IKBDo+UnU3DX89Ls/kqE8hJgwbU3V4lMuOvw9tFhMA
DOv1eUZI63cjietNPBrnQuqpH5uJ8opI/jZwFn6acX8vmsF4RbcggcWb/zM0yLvbWrqKaLwv3fjP
0H8dVcwqGetFldJGfNdraXxTg7p8Dvv/2oj7d6239N+vaO5/vfLv95RuOeybOoCEMlc9yeKNOnKP
RfEPIKoKf32aahgCxMtD6SY4TDo3Fd+uU50u67X1qcSDViFT9X/3rts4w9d3s0HL2p2UO2mGJyQj
Yp8BFd+Byit3636E7zRP151aPjr4Ii+jAf1cuVlHdZbWmYd1QLPuXZ+uD5VjgpXZXbIpcc74M359
ZdLCH51bR6eJef4+5NI4ZCONOS2v5H0gNXm/PqMKfWkBU+/+7h+DUDs4BsD9+tb/HQvb9M/YFu/e
DR4HHbbDTnhZH0yMPjmPcuHbVY53Sduh/V6f/h3TTMAd/x6zvmypJmYtPcEyMTTD8FnB/P0kZavS
n16e6gqMr/XZ+tCE3LugJ0Wbv/t63Zmqy9/t1JrTXZLjY7a+GYkjTk3/Og7tSkCaprGYrhwwsv86
BoWT7clpVOHXlGi1sOvr3fgeIwN5H6qRvK+yyUYjHhhbd9Lz/37h0PYY+P3dWxqGvQVpNbbrG9cH
rJXlfXOol5HrjmaAH2ZRcuzRaeQkzbzOwI0XwhCqzbqJlKnYNwZOS+umLpCMKmg1z+tmbMVbbpD6
c+nq+n2ai+d19xDj3doKMuSSSU6vjQbUyxLCPq6vKqZ6I0lzfiAoWzw1cv59aDcT3WlIuhI/Jd4E
4jH5+AqxHl2+lpbhJliYinEdyFV61QOSSf7vtxXLt6UMi3YgSePr32+7HjLl2+YNBs0VKv396oSe
c7vYtUUIL3oxS//tjr74qf/drJoIJZoLhWZ9dX1hHrP/x9h5LUluZVn2V8r4PKiGFm3NeoBwuA4P
LV5gkRGR0Frj62fBk2SSnJqyNkuLdCgXEFecc/batOzX5UwsXjMpK7bXpTmvDzSVSHwyybMSxrrI
AuP4Atttclvi2d7UGjOlTFHuBIAKziVDIayTAo30QwM+67r3jwMNJaJ2ujZXX4/4ogltfKHeLGRq
Md6m+F8cAcgfemEyn0WZj5+tCdWRZV3qIX1s19WFhc6mSUmnd31qPk+dkjgE4uPjdWunJ3hizOlT
KFE93alY7EyjYD43iMY2RZNMm+tRsjwSjuyT5GwJmfW0JMfrR5rCIB4hvZIBXD8qSBISuU0h+NfF
OZ1fF3xnYVi11UMbBt71I62O3Ji04HzdD5n8pKIaS2Pz1GUKGQ9RRFyMkdUJp2zjNNYauZdE0gPq
QtX7ec5UcEN/bJ4Eahh+HrIsy0wjCmJfo2tVNFQn0XAfRv1wj9ESocOM4tAgZBHkDQYy4/z+cw+p
Dx7HRMlO1/1xPWl9ZUBoeV1s1jdcs7jre12PGZtcc2CKWL6laH7Xz83NVKC3ZwBAqX0j8LSKQDJ7
RQ8/o9s+GspPPJxy6gTD1WtARW27dCZC/zF51PT2m6UIxWcayJS/6PWLImu110EmPBKN1E/VItV4
IFnGWyLU7nXX2iTPJ4+iebdkeMPNYkxPojXj3VJZg339PB2RYjbo9XtQUaoo1BODMSHVDi2iSq+M
dfOZwoHTddcukV8HU0SDKOsSX4qIzvU3lMFYOwbzqN9/Q8oc6sdvKHPGVNff0KAaeoyL+hvlu8Mm
qFN1k4npsqU4IHdlwB6P18WhSQtXjkT5Ue3a37YuVqj8aVFM5XpL0ijfoHYmT6IIyZOIT7orzmJz
phh+3NVS2m7BJsMRFeLMNeDmvczz8EwJtPrdbA9tJixfXU0zAYQ8QVDO0YsVNOeWeGbZA1wYleJ9
zOvIh5eVg7/LxupIZA7LqPXV3xZ7IM/YDKudwzyAvet6nFFHYAMddLl+ziTFCyYhPpI2Mp2MuKt3
XV+bMrVACJ2Lo6KVXtmNWEaEPUcoVozxizWZP95g3CmGiquWtNrrGYZ4VFVqQdelOgmp4imb+cfG
oYkkr2kGiATrhusu163WIJcHEghQ9BMSVJDANlkTaieV+OZJX/9cF6Ns1A8L5pLXpev66x5STv6I
pI8BmbpIkL6vx44lHkeRlm8iXG+cK4AdpetjBej/Pg4pmGwl6iyuIHRjaR91y0zvSadHP9ZXmeH0
kty+QdtAbT58QhunD6P85Tas1GAbgg7yzSgr7tORJEcniMOnMooOAOj+XYTa5IJxlM6gU3FA67N4
M9VC+9SI0mPYpCNIHYyy5sJ61hI8VBLJSI99VY94gCgz1P45vDDHQIxdhLfIysejInf6rbb+UWXq
FrXydk5ifSWK9SdKMA/o/6i1bNS02ckLw4qf+/dtG2/Ejinbdd31sCGiCn+O+9y/Ll43iHHzBbZe
2//czaCSymjL/Abxpn6b1UF7Yw6C83MHyDIMzZL54+fbtIpR+92CqO960HVD38eTm2ZRgOSCN7qu
k7piwuw6znfXxaEM9E0RV1RDiHjjWKH2bDKlO4wWRQDXxXaeIw9Sjbi9Lhpp+diR7rogpgruUahv
2q7Xnqs5RMBm3UlTop5IXYDgD8XvlGGJftJUTGmu665/4rhoj2iukC2zr7iUyiZYmmrXDcUrtcBI
z61AdiXRTO7GudAuqvytJ7aAcAa7ih0YMySv68ayKdM7UY1FVyQ75F3X/dgQVK/KLEuH6xIoRe1i
Fd+uu1/XxJok7hi0/vl9kqwUqYroBK8xhgEhade+hmiofrwHkwvKtevlFfGL6TQWmemE1L+0NkAx
vNf7n0tB8GPp2lZNUC5+bhv+svTHcddG7o89r8eRcxrv5ZFc9doA/rHnj89bt63AnX9znDWFVD+G
4y4c5/SEsjE9aWlw1+fzsAXHkp5+rr+++rGunkiYjVQ2sPvP1UVDS29fl9tl+MhCCvPxZzgFuVae
rq+uf9p6hqkiZz0GYr9vCCQxnv60rBrxthTDfJ+M+FD+eJuf7zC0wuxJycruW9//+uf6XgwKBvuX
f/zXv/7nY/rv8Ku8lNkclsU/UCteSnha7a+/6NIv/6h+rN59/vqLQXWjpVuqKSuiiIhUk3S2f7zf
xUXI3tL/KcQuCpKpsj7ERNb0tymY0CusU6/BbepOfNSo636cEaDx+jpZIy5mTTeynqIUp/TiNViH
zNE6jM7XATUysweL0N8+vY61C3kY6GAor73ucv1j5rXpFA31vrUtxKPFQAWTgGwTJql6bhZN+fEn
X6SzStO6JzfMuYaWpJ6pyq98QQp7++d+1w3k3DDQLGOQyVVMUFQrtnVhjietyKfT9ZXyx6t1D8gp
BcM46k4jpianQJZ2XdyXt1VMKW2gzn9asgpxp0XWvPnPZ16z/n7mDVXRddW0NMU0ZMU0/3rmY22m
ji+Mjc8GG9eTLufleezF7Iy7xfoa9XZLfmNdU3vajDMZZRsT6JD1z2+rk8YCG1i3wUkguenmqqgB
vJnaWys2GhAKrJsCXaOcVBwiVH2/L1d981FnTY/7TPRUU65/E5MNfxLlpyzt+kcF0dRdSi33da3Z
d8lJCpAYXhcziaTKpAjA89djNLQHXpi1DeL9Xnui1iJzFqPIDtetRZn+6f2n6k/vLyjibuwbhJaB
hOtpEHTAOtrhRPT5P59oS/l/TrQuidznhmpKSL5U9a8nujcLkwFrWHwRERnhxXD+rmc4zC1OqgbK
AmEftLzrOf65eSzBorZFsf+xX9T2KIXhiO4jdWmOhHXQw6bccLk+95hmrisHc60fvr4MAnV9aci/
7VVp+tdQM+6qw8rawaxSvMHslveus+eWePiCQcxGzOV+1+eq+aAF0uW6PWeWQ8RcrlByBvq5AW/s
tIO5vAdt+jARY36gDfjbG2aUH9yJlkKhoTNlcEsXbboMhhEd+7E6XZeABM6X39YPF3yeIfANVRHY
gwL5kTIXxQ3Un7twaKcWPw6VBbVxF8Yn2zKhyiMCHQLCPp7uxKB+mCdJwuBtIJZkdutvCYUXw/Dm
XhNfRej/W4qF9B+L+hyfCzSs94qJSVBcajmGqRz97951PbxRYCFcb43/+kvz116bw4+ymps4jLq/
Lf7rocz59z/rMX/s89cj/nWKP5qypUjgP+7lf5Xn9/yr/ftOf3lnPv23b+e+d+9/WfCKLu7m2/6r
me++2j7rfm/G1z3/txv/8XV9l4e5+vr1l3f4WYRZMWeNP7pfftu0NvsSyi35T0/R+gm/bV5/wq+/
7IrP+L14/zfHfL233a+/oLH8J/XLimbIloXITF9br/Hrxybzn6LF86aKkqlpPzYVANCiX39RpX8a
mmWIomFokkrbx6PYotVhk2L8kwG5aFm6YqGJ0Azzl99//2/d2I8L9++7NXAp61P9s2PTeNYVyeTt
aF5lwCPy35rXnmQ/hSkE7dGuL2rvZzoFt3jh5jfBHMF3tchekI48t4C3oS7AElJnxtWzlCNvT6j8
m1RfJcfvAginbrcr9H0/Zn7eYzLTNu9dm6OEhJ+AfcXsqgX8bV1W90Mav9dGFG3GMSI/pJrdoSRT
hj1eT5IoL0Nn1CORYEEMWxlRb1207a6bXhgypkemeX7VK8NhHkNsw+TGTfM6sHMD5YSSl0eoCxGT
CObaQNo3IphT1IziiTiK7Aoyysq6Tr7NcgewVJ1ap50CSnSZNlddfydgSthYakuV26C7DCck9LOW
3SmKSVl6P6PhCyBeGG+lQKQHGKEbVk12qAWVynhM/Mpw9IUQzUc/SOVJapk9AUJN1OJT07XXJENx
laNNJ6L6fXi2RGmjqW12wGbbJGcEu4i+gtgNcP5ZSHDpEerGDkKqEFTqKZ1B0rYj3gyZNTID1LAB
LKt8Jw7vRFa+UvJiNYXzeZb6QyHdiGEG8RuNwqKO9ZOGs0FVpVuep+gUSFN3VpP+2PSIEOM4uuSN
mnlyqX4L1ai7iVSYVBDP6m1JXlrATxedfdyqiKsJqsL27PcmE8NZLqyzhQscKoPvSXdDHC58HicI
pfkI0kIx5I9eNQxccHuULchuCDIvZxX8Z75gqxRXAGZyVb+ps1tcfWxjoOHS02z02mVlz0HW2eWd
cCcoheTUZfqpIyuzh6VvHEuzaicRVntaI78rB1hMkSQtODkmip0w73HxqL5tzRiQpp6I7lBlH0Fp
ZfvEqDDFykRbGkfZbQ00irEpEEcI0B42ym0UMSDth5zKpDksDoPOl8a/wWufyqnUd3I233XKILlK
Oba7wJBaopxM5Ck6ttrAJHZQ97jQawQgwNTN4hieC0uyvD5Yh12ifj8SPHvG8wYcv2tmYY9rMJCf
QKS6bAjVhekDJRMLXdliQBI01RmReD9uOyF+Sqvyvl0qoGoTA3W5bZFrGCAURE3f6oReUVxiWU4F
OtpaaH0KybgoBzABFvWsa28GFSwPPZVAhCUQvoXAVRJISSbBCfLigt+GK6yI0kjDVCGWFlRE93mN
x4NhHCUK/LQ2I12egxEbxRzrQbF9jxf9mXpfEXEh+ntIIpjR3SDERQMVJ+QBOgouzVCjjOfWGBPz
DOSjR0QAlUoDI+cOxlcaxsluzAdwY4PsS6pBjqYLvwnA+yiNi3xryT8EOEeRIsw+iLWtzPVG84eO
FvsI0n9QbZlYxQXchrRC5ytJTHclRLXTTMxOB4B40Hr9Mhci3bAKiWigJA18mzN2BqHPuntBRH1I
4Hdus7a0e3P5QESrunGv46wE+aBAYbcZw+621/qvFIC5I2BOhwiTmbaGWzbpCGCVKgRN3VDv6hNO
eUe1g7c5rFq5RYExABRObs8UfbhUT5+7eghd6nUZxCxbMgqmG5VL6iF9rh1wIaYnmZCoGEoKihw5
il5FXjb0e0kUVapoStwzSCE6/XiUuDt2UzFtk5UFJoT66CYIB6PCwGUM8KJNnmRaJ9RqRtMeE7+z
O9Qag6TciZXxqiEcpw46P4zCcyaTGMv79FlQZdXW4ggVO1NoZ0nVW8GqKYRWwEqm4HqtieoWEQ+e
m0gvHyLReonGSfMKaYDJLw+mPzX1e1hjNYgnsQcaitKHyti2gya4eK5umzH+kspyvEXbGjmkGR/y
QQg2Ktzf+zJm2hjno6+U4QX+3N0UUzeCmKn0pKYb9xbtOKRPxHPM/9HGALA3v4dSHECbJkzU5eqt
Fn+Z3dT5OmqyaiSamQiT5idwglZFbrvoL+gqT6WYUQks3nVi/amaPY/jkONwP5rHADAWD2ff7efp
RhIps5fEah9WExV92DV4FAaXhLGx+UUXk8iKW4nnEdrlTS8Zj/ggLydTAh61VJHgK/VrQZThkEjC
UUktYZOWy/tUJ5W/SNGXspQAu43vEk5kuwwbcNxQXMBvu7mSvCKRAFYpWenUy41C/f2dGtCGrgbG
/YQ0R8JlZ9ssBdihNi59XKVuEosCJ82YJ1vMstFeGrP1WkqewhUtMBn3zMd3skDVKxIbW5m0nPgO
vnxCL2AyS7Tz2K5jZbVI9mmVPumGOJ6tStuFFVIBrZqosZ7ibZqama+qtAZIQuGXELRr6uJ2RA3g
5K0IMsJCMlk0Qua1YvVVMSU8NqlM6w9byJb1/l1vdBQ4GBXCo0hONX7gqyoIW5OeFEAGKjHpgnaj
awp0sMCCu0rB/6JoZyimAmq6xutV69tgUJbWkQ30jUSuNlpOTWpRFpfVzhjyBSZg1vKJvP5bAvkd
8VOyalOK+UCjtE/Q8gRyHuFtq93PiTW51GdAkunpKnqIye7c1Q9iyhBHyPXB05TFqyTExlOEDb1c
LA91lQpe32WXCiS1DZxCx35DDNxQotTZkuH10px11ZScGtjbiS7ou6nJwYckEQXwKfmHBRs9d5K+
y+sk3az0k9GJ27A3dHcGyQZgFplhTgddb61FgtesQFYoSNmTrBcx7WGYaIdRGoGINm8K5OaONL+0
TQjTEDJVEsP21locShg/HWZDvISzQkJwgVPQwQ/dGYP8HtSIG3SjN04h0GpbbQXJ14x0LebtPqVQ
m47IMWNXy5DNaPyS5KGsLQhtZfM5GZTLllL5qENm6Spl2KYAbO2QObzXWfu57LL7uMOdk9bQlEbT
JRz/HMVIp5g3rYTOahMNQJnRQtJmVxMKbmH5FrdRSZV7cW4gj9C7d5IjxeqT3EnyRq6opM82g9U8
IWYN1srQHFBhR42qVElUFHRkkZMh8/BiRSpQLh84mqNdYKRHDVF/SGRiu5UBRCiriv0IKNSvZqRD
xE2AcsBgnfOGhi1dWTtZttKZQseKAcR1EO0DiXaNgnm7FKj56AcRSXy9yUoF+kev9zs8TkEuFjIt
LcjlUGAMUi6YnCu1eJPkp0iw7mP8J3ZKjDGMLs2eWo+4HrSHPDGXfTfHMKeWAd084GFrflpo6CcN
toFVjhszMzcDJnhOISQy7iGJsDFLRoHGhM9TU8u7LjgB5gV9pIpvUVyV+5lRPtXmo+Ukqh7PhyDS
cDwQxD2QlXvZgFVG0gxIF4Haco+eGb9DWaxED7vL1pvy6DNfLfT0jNLvqQ8eYjV6iIMJ1APCPkRk
aZjbptqQ0iNTbzMb7ZGG80cr9W6/wdXit+XrSsbY0i5FCjNaeWYjRK+w3aAx5djECw1+r1BSqOpo
6oT3AXI2NGhsBh8tbrRevKl7oPn0IrDx11f/bvHfrZsGFMMWeWH7emwGMhW0hF6BfPj/vMt1v6CW
ZMCXUw8hiHzSn/bWqKrKYH39fnTHGN4FbIw46+eWP738+aVCHaRCbTYYNf5xtCDIYI/DUnZEKmF+
e9//7a+UfoCLR93hEXiba0AfPz/txy+4vlVa9dzeimD9+ODrurIpdDswoGy2KvXEIKIcXJSUrXa9
FXArzuzrhnK9A66v2qzO0W3Snf3c0DQ0N6vkF1vSIHekruscXbpy3yzq+XFvx/bh+gco8KFkMO9D
dav2a1P3pz/XdRapciA9qWznlOyQzMxWizusTQTMRUCvoJOI4o4xugzkHtJnRFFqRmyVCxpRcEzN
G04kVj7le1HDFOL66m/rSHhiWopr1mwwbjnINQxT1SrwcMwYAYLYckCJcsOvz44MuZTPaZj9RsBO
+Qz0D3GMyWG5erasn/Pzz7x+ItzqP68rdWuTGYvmB6uXhbC6WoQL2PlgTI/xaq/yc/0wQFaaS/mI
EWe+742KGXfOZ14PsiL9LpIKSvM1FeFaGNZwB65bFNJlijw0+Ejyhav1XF9f/W2RAlzQ8+qBO/qo
WdixrN8ga7vYF1aXmZSiv/31lbka0VwXo2pAtU52x9VXSwqICPwBhLC/Lv5YV1FzS6LKT3eXebPs
iaTbWEJxo3V7Qd08i5btZyODrOiu8cZNeqR68PQ87fGF2c0bRCuu5g+z1xrbsXcSbXNZ9s/jxgcU
aOv4A3jYYYAisgJPWnbBvT+k+/wIRMQP7htPu8XvYHPUbVj/7uDABveXPR7zduO9rh92pHGGkHoB
e/KcmM5xctLdc2G4z6aw0W/mD1b0Lh+Y2cG9Rpij/KT0TEjvebD9/Pgc3HcZ4QOSt9CtTAfrnh2j
4Fu+m+QzBLj1eW/u7e+ti1DWlfaLM7odgFi3RvHVkPzCrY8sE+diVhx+3fgS1ye1uOG0LLnfLpdS
++D0zKnoLcCctRe4SdPbNN8U1oizbUeN+r5uwR975bwRhQ3q1QFMwHxTLxfdQOjqUXkryuiZyzOf
HZyyLsT7DIndZdxwSaTAGxUytBDYttgPDN8R6RKzwLRBwgZRwjPyme9BwtL0+RoqSYEZRZ89bqAI
Grtk5GdR2N8qZCyorKWcGhEMMMBNRb3v7GDKC08eXoZ6ExW+CNofmHwJwJa0Cw4zJ5MJ84ei0eFu
iALJIBPfKPxkrYYeecT/HEsc5I5kiVd3gn2MZLE4M/hfP4xi18zlKpQvC4TizE5xVlJAO3iC7sY7
PXRnIjqZS80O/RrcZM+Kd9wWSFIoVPLQvsOUt4FqmvfmTb0zTVzjL/RY8EAu6nPpyT7tnXy7Ou5A
38zcpfPTJ9iv8ZNyA/2wcgJIIbZ6BwxPcoZTtBf4pXvVtMcHZpjYAIzmN/FDpMaBc2360TfxshIE
R3f4qqnWfOPs5PNTcEeraKOly6L33kPr+TC4IMnmb9v2QdyggrDbY7mLmxNJQiv/qkqXEl0AY3ep
k30r8lMC0D1Pn6Rmg9yCpPhJvOtt1KUuzg3fgw8GixrXa3HO1SmSD925eERuKuy+w7HA5P112E3Z
bSdvjU2Z7zRajCpwDOLZTEEj1FMBdhKKQs25rWV75fv0XeGb2+UxeecW6HG0EXGMlhYX2eP9cM4/
K6RIT1KyMzs/V5xq9rhOyZNe3VqYAKXVg5T7YX3bUniEBr6Bq7KeD/Wmpba8cbnqKBG4eafpTcjc
CuwCcpQd1tPPy1788NnYvxAreZOS7eCgIsTsI0W8XTnZsi2+W5k7OUt7J1XYFdzw2dBbTIKC37n8
FTYuPDeVQwhRrU7cXGHkRsb6kRpX1sRT9BQ98eN4Sx6IiAtrtHfgKGrc5RWg3M4sbLjxlwX10WAD
KeJNi2bTjvj/bWgMEHcLeCZ0/Tt3cktaXoISgbMMZBknM7DtdUBQsZKiG77MwWz32fUsFSleUY91
9WBVH73yGdWOD8SpbnbIj8XeNghsURQubOLkKDTf2oDehypT815pNrl8hCzuDPgUFpIvjfNW6t+V
4DIoDAEXhBW3sJcc2oq6eBXFDqD5Ra5OyJaB562WFVyRMSspSXzGHIPICogDaDESCqxLVH4+r0XX
Ty1WWw0DMZdnj1ggWXKeSdArNtcdyu7gqB8mZYyoGXf9crHezBuuMAoezuvgvMeOedPZ5zi60/z5
gydYB9GxhgyZEDljs+2IuqKhv8G/5l25Vfy1jNKhKU+PMLElVE/rFTb8YT94a9tNG/vKrcRn+NIe
lxh+JpOi2eOgZV9811jw+CrH4ok407yRGY3ZKr80tN5Bncj3wldDoO6NR6UF4v0hbioPg+Nmq6aM
yc/zRr3Xb4xTdG2a4t5XCBjkngI0GosKe9rPL6SazpwD4m5EMfxFfeklF/JBcDNvRtkOH2g54yMX
rrAHzpbRP/IVVHbWDAf9CTevOW0Q1ELN/6D1oSmFjMLvSk26xWCLNNtfew41dAcvdtCr517xRGPZ
u0zuccFkfoaBCb/B8M34qIMRoSflrhcoR/KL78JbSecOC2bPxSKMs0q+gbx6+c4yGJfaefL2qt4L
py+I6OIHp653+Raz5PIk8Tiubw+Xy7yn2dXiHVgrnmC20lRfP17JfQFwzhGA77vxBh/VFh6NW/TZ
L6ZtvSFnoOuimNXnBEXv4wcvfOxSmrUXSWNoeBv8oOiH6dhFLvTaE6ourQM4x0fSpqbNvaEUlwrc
rXmTIFhlmHC7cEW5tfiukNyc/MjEntuhsU0uh8LpYiiZ7taf7Igf79x5dBeGA/ZhXx/pvyhA7nwL
GJaz0BO3m8VJj8ZtzvvRH/jPxhvTsCOKDwdWELvTKCi+eCOchEdpz0Xi33PyNDkfnAT9foLn7nKa
tBNnnJf8fn4WNz9d6LBfn1PtUHkRJuW2dEv3oulUXT5lT/I9l7E80j0H98ap87ijFdoo30posjhX
xoneT7vlKcuPvG3yHhUHmesH9QqkxpZPXHy6MhP8JV96tLhnuFmYk3IkTSVx1g2taPvyysGMUXJu
aSs/0FSGuwKvsiMXnsYne6IZlPY8eeRLjvwy2oAXOnft9MqvUN74Nchj6EM5s3BCKHrc8FHG22vT
HmM61Df+EPGcHRrU8IHbnkIegKm3vcANXXlcFzQZ6iZ6L6jVo5/cdZ7q0kpys5Lz4QsYPmc4b1zl
lvafo6b1JtWnDbdZ9p2vRefPRzAVX7Z9s62CS/vBYx0YPlelWHAPcWbsuNAS0a6eBk+Id4yihCNH
zjpMeBin1JF5meTL3OhHRfSDekfQeGKwoG7GS/adWLzJaC+8M1LO6LxM98QP0Anp/SP9ZkebWr/h
1Adta7xwCspjfEngzYAHQre7GwCxe8Uh6LG2tSfueng5qsyVtKnDyg0MJfqTcAePIN5OnGJwNpWF
1VtyWkEQUduyX9NvgGwesijeLgpT+F1ngNl0a9Gp2kvTOJ3+UJE+yBAZJ5Kjnd7NeybpdqXZNA3T
2sjJkm0543QOjcfLXL8UuY87XPw2cuFFogFOCOY9FUon1hyYzjsjWI7ryZeK6xBtE4/3zxlC83rD
sKny6FbN4SDfy9JRz29oogzCEuPHtJdA74NbT1Q4JHHySnc68jZjDLkuGeyGXm2qPVDuFqyZJ+r1
rH3FRSQhIvlBsCmKszV56rDeBmZ5qpo1Nuw8hi32Z+YZZ7F5vjAyF0dYcaeI25URsXpQXVHxShp/
Rq5cn7uQgmZPyfHB/qJcVniiazUeE2aU3MChp/Cchi6pH8Y06w12rGlHGOt/cM/SnTPO5t7Nt5Pl
jpdG3WBwMEPJACZPCZefaZv6Ze534i7YcKH7fpuomwk9ymwXxSEyKSjeQFswz5LoQKYYLFdXPN/3
aeS65k54bJoNd1r5QnvFHTCJIEdsfNd665QzHAI8A6cvdi0v9cvRWWgFaFZm7OEcSd6RFGSGwWhl
csRPM/YV0RPEh3E48IWZcXBv+dRutsx36F4ZuwH1tM2HIkEF7DBIp8dosdWiqtRmbLDaKjMQHumg
HOU0zVs5dPNj+zG13xEj6sIt2b1C42R22l5+kN5ql4fS8AMgUxD1m8PqC8LQmAZZ3SvqYgdE2TNx
utREpLtA3RrfrEZiwh+91rLuJe+ACHHYyWLrPkv2WveU+hwYMkXdxPnd0hw4FeYuf6vK3WTs1dWK
0ougRXZODt7qsKQ38a3gMbb0NG6uLQPbxuMG7LCFyAHQrh5ap/a143HHm8p0GLV2d/qWlEWGWQ2q
Ebs6U5L+wSNXJuifUMnaZJdzGApoE6naAdVE1axbFChPNpR7PRNvQuADPh9Ga/3RfaebMg5AMaGd
CycaEy5upPoYtpQQuoRtJjn5aTwRfCTZ2d4iPFxyKrVsoKrblOwJhSMEEFdvLMFZYYegMXUvwpXQ
00mJjYRr9d0MQ3O0BUpJSNRCRr6Ir6CUuIUmHmUskvpP04rsSy34kbrJMRdgRXTpRKfon0Yy3do+
EV7wRlsoKVFOAoRsbT8z836C/6id52KDekKl5W8RQL5MAIBlDG5csfda6wuumz2/9pojVX6CwzVb
yB7B9Sk2Ioy/HhT+jSW+k1Dnp+gxkLVtyOhZd43S07Gec8yHO8tpN9H5OjChGpnJ0Zt15sEx7izN
z7/Cx/lCh2chOYhB9h4SIrtUl6XhdiAQQK+bCzE+RMdEYRjiC878GRKkv+tVNz0UdIN28Sz0Gwvu
50OwZdKNGLaPULTiM7QXExjJQjeS7LnV7loCw2A8aj/veJI60W7rN4P2p34bFkgawGBynOkx+YKq
3zjaXXCLV5fymSlO/hS8qTgRwQRqTDu5R22Db96d1Yd29c3ENqjYVbWP5ZJ4j0MO6DqaMektOFp3
XS1h4owpbeMN2wQxjvLGZVaHXeyb8pHCqeB+2tP+cCsYNu/Etc6UbW0cte7ckGhvDvNwG2uXcESy
+KIOXhnNfhS9KnwBIrpYotir4aaiU3RwlDDUuMk+FsXtb4vX8a3OmMq79MC0kofJZv56hO0NVH/f
HumVZTgRnd184//oJruRH7sLiZgWx5QcGzgwwjfWcKbsIVBdFX8d2ovEE0657MadVxNpo/DgnRaj
HfERgyBt14RocZsG+O5oR2xm/XnPuRtrKGtvywa60TGidfO6YyjREqIcZnjwbvon0I4PqZeOzC3R
kYeckWHXGm6ov1G94Na1Fxt7JMCMlZnvOUv03grmRTR4pqqd6pRv1kba0GbSmXv1U2i6VOQ9EmTx
ZELD4knVmGGgAbW7546ifEgRZNoJ3JFHtTYoeKGWE+3YUJg9BTi92U12ilOC++khZEBv3QiHw5zv
SGPot+Gh9sNHud/WiZv6aeKCno5uaE3V1/Q0HTTRVrY5xsxbxc3vLJHCyWNEc+ZK6IUP2o3kEvGm
VYC4tJ2Q6ZHrfFfsGOdDmJsvxa4g+eMGr7UvYpyKf5zX6vvKB0mEDYVdX+6Ds+ZGR+NGIKRgGzdU
0x9Q3Uz38bYXANUeDfmYf5+Y3t3UOJ4+xB6udqMTLi/6a/jWP3YUFwPBc+tHlTO+5RujRF2OV2NP
pwYDeaqepTvcIUo8gXDMPJSm17T3XGiM5Wg9bPiRBXD5Dakt2EdNSSUGgy2/RJxybRNX0N9eOVfw
1XaG174kz7Si4isZstCHy9spOziaSXMoVeowbGAkff1WxQ+okHiKpbtavUA4hSe1qDtT+s6oy2y2
jBHEZgemgmpXP8+xGWsU0X5l6kT3xwhBGNZJTF5S9NFMjkBKeP2/1DrOeMbTfDS9Yk+VI1qNHTYs
KW3mIZrsjLgK3yXc5frqKorhmdM5/XF8MShBYExrPufH2M810+nj2W+eqVEoQ1w4wM/Y8NDgnlOx
aWukdEi1YZWpUwlo97eq6c4n2XJCEjO5req2WHgTsIN+K0/Qyv1R4mlNHhluMkOfX/AQXWaPoX7l
GdZlkW4J9Yt4yzJnp5LEA97EPI3+n2iGcJo379wFsk0Th88iaZs5eYONnTmdF52j7fhJ6o9ZE+pF
g7yJHT5mA3NPw+ueLX1PiYUdP4HSD2Gsn3CgfV1b7/CxIzVkK5vp/7J3Jl2NK2vW/iu1aq6zpFAb
w7LcG4yBBBImWkAm6vtev/57JM455M1bdeu785p4ybIsG2OHIt5372d/jz/Cp/YN6l5O+X2tvZtU
T9ZyH0NWk643HtT6Kh5f6o8EV6KOYoJxXF6TCwMDlN/FBxRnxjjUBcw4rrDo0BanASVqXCT0+fZZ
sClXyYE2E/ogygcogJghMMqj6CiUdfS9uAdKUu96Ohh758Ak/34qj7Wb3oV8M6KtV7zmtxUpFAVi
nBP6J4pD8hzckOmnZfvkyeFaRb7O7HNaeT+iTNvEh9Rpr2rM2C4fI9lMwzF8Bl1GpUifVy/BY6eR
+Ls2Jze6U5AxsXyW5XPxSEn1vYlumWkpu9S4YHnwjbPMj1pNSZicr3zaM3TER7xFpO+63aE/a0/O
c6usduWO5f0VP0l9i8/qyXrG54TYOdvmvulyVTKHvR9d4hb1mgmlfNX+5BNgFfiRnkX+0ySvpDGu
dOIeTvLBBjjfXcevgnWvv5n4iuQrbUuiietVG5oEMLCzp+KteMvf5bVJDslc4VBvkAugFtDL+4Qf
NBESJKtsmKr8jORcH+nDizzrJ74d4X7OndiZN0Nx61NfODZHVfvwrpq38KF4KjbzrOzG+5bpewgm
PjlUOg4HTIvez7I2+LXMgwGXJCwpmXhw4Hb+BHcduZiZTpQG7M0chrExGNxWzAAYgPfhrnsj/3bV
8fPhrAFNt9Owb/YDWgR3/hz3jCT+LdPba3kuy9U3cj3Psf2dAAhnqxprIA8rxBv3d/Lsv9CvCmz6
qs/qPTW2x1caQNY82j4GT0yhIv7LvCzctvLBuSSSgFCkKCuG/e7JPpv5mro4oK0d47Ck+LmKtoJ1
/C69Np+GH+QH5C/6Xf7gkUq5sp/C4/CNb+LPMrp02Ww5ejT8o333zVD4295LN3wAEnv2UDfUrnKO
jwokilXKV8G7JOtmWpc7PGjAjV5SJIurmzjYd2Ij1O/TyXKtI5MzqhuxuG16bx/3h0Z+s3PlqlH8
iz/3U/x0YO2/bPb63AuqRuaQqk26IBJnV21wd/Rz32cEQ4rACxZ+2tMBWvbJMjzB+eNCNbewgnHK
Zmo2BRlRUZKcPUvu1yPpfMzXXcPv0D2o3xo1I09o7s4tz19ulkMbYm3pLcQmWS9DyTjwj8+PRaVh
3DiGKo2dRrHKzxt/vrvs84qeKXrgmK8SzdDGYjlst0BH/z70t2cuD5jEm/5yCEAfMFlxfW+aDuI/
xM80avceaMLjcuOX82ssmyYNeyII5occYju0ja1m2a4egtPX4d3fr/21DzZn+ecplp3LMUDqwz2X
Ghx+f73Usv/r7ucWIUGq+9sjsRHoKGS4NH09AEuLF1nu5z3zMq0oJA4dzv3Lyy8fAIpQn7XyyM+q
9plA8ptOcTluUEZR/JpruCEJX10hKeiV6YGAAayQNl7lyFF3Qi+v/ZSeVxhRu5r0b8QhMB/t72tN
7tuC5V+sGwfQKua6RT5RWeB/seutrMC5g+TwRtrEdW2IFwkHd8zQUTYqZTTSEtJWfwp07AA6LQup
ECcaGNR/RgVqElrezFVlNFFrdnZdqmlUjDtj23XaXq2QFcSeLcFoIZMN4qekjwbXqs1DM1Zo8NRv
xaL1IfOcUw4PutQYBfPovu+nE9lOEEPLTYbBLNL2IoLOYTC3LONLlH73feYpVDl6Fm8waA5KDaM8
j1Kqckm1lRUBB0F4E9Tp1tBsxi7dv0yvqmMc7TlFCnjC0UirhyJUgPZDKTPjree/9Z1OLyhj3cyA
I8XNVBEThUaFKAMcjhuyVq9tAJRrEnxOnme/DMhFXYACF6RmPjTowmRxhDqSFQDdV64ipnz2fcR6
hUFBJ+875TpIIObbP8nQFWsid3+gJLlWffu7T7LDWrTTbojfNe3o98l71lfEKWdwTGCjoV9tP4LM
eaONnJ1aVe92uToFuzm6tlD2U4k0EVfsaWgEMt0me7LHiF65dqzKETKQdUhT+iyTdzWE4q6uuss4
ilXYV6ijsuMY0xGqMkRZzTZtSIHpcaGnDPdeharREA+t3HXkjRhTtIJnt2nNaadZzsmn5tmYL3xM
bzWiP00mN5qI3gxmW8kgByCdPmHYbl9Q9Uj5zPRI+1lE7Vvtqx7NBuK6VK7xFSIXPrHRsomngKhB
7gYx6ZOz8sAssptenSx1a10Mtxg0jPcJm0XlmXdpM36HLEAdVLZUU/UEnVH2U/NJ6wta5dTX+Xow
8myP5XM3QOlZEQSFlmTuUzOxjCJlPARl9CNPXUPY6tpPe3yfXF3HhhS8DAj9oYujqwE90Lo2cbMr
VbFKYc6ew1p9ngpBNK1wlHWns55MxePQavmhTqcXkAgMKbNryaurNTIABeJA/8xan+6TT/4JyksC
MokWMX7yTQKW1zyCkH5tRuuGxEOYp0g1JnUgPLA7dUm4qawS5W6X+hgNr0fbv7eD7JhqOiZdSfkD
4ucdGRgpBZ0Ej+wBFP+mEI1w/dB40LGPrEqyM8t3VZcfZZx2hzjn4xrKjovsCDBD87Z9ycnlOHLx
6mZTediBbh3IhzKPWqCcoYJsUfh6Z8SvJxk1PzWglmuPxUNSWA+oyTGdCNS3Y+lfT535amXIF4ac
eTQdsQkcNAk16sxzJ8d9TDEU6e1NrBIBFk9nxM83IJOZfxC/tDV878PT++iqb7+bGsNcCTLETCxr
o+l0t4NRc1CjS+Kb0o/K9uCX91zFHee28momGYC+su7DqKd71M4gqX2WhSAxB1Lgo5MF4jxsWV2k
op/j9FrKMFAW14kDTAz7k5ZibzcnrOPKY8Bvk0/X/B4Se7/VFPW5DNWD44/0Ki3SmtvoZey1py5A
/iWqxodDzIo5DEzMCaNOeWgMXI8wdb22rk1HO1mhqFnRqOc0IL057P1L/rOrih9eQ5/HpAGZHvVg
AqFvhLYbQLgGpwbh0643oiPPkSzTeUpIx8Ubw6N02pd8ovtpKpQ9FcaefZV4VMyG8BIk5YtZ1A+E
m535zM9TJfYlE9qhjeiaKuqT71D0iuU3/O6XdJpI7SwuoYHPT8m4MFT2RJRXGn4Yw72eD8bK1y3M
EXlwEYYeIw1OqMirhARJzVoJFKauYnYouqw5eW9Oge6SdyV3AsTVzQek746QyvLgG/FbzODtNnrw
5lRTdEAajKvJY8nP+J2Ueb4qYgMxIlI4u7mvQaOTKT5eyBvd4HtHrW5IcOfzVRDZQ75NnS6kPNhG
m6guv8cDCbl1k93oF51KiFKgYEl/mqkQ7g/LoF1QBs9J82YFEz91lWC0fAShqaXTBqH+UaS3Cq55
fyjBFyukWqY1BXUtH1nZeNXe6+ECYXV/BIT3Zgq9WAO/5Bo71+owW3Upcbd9jsG2HPuHEG49s1N5
g+yTiFCEcwV9z2JEwC42SlIclcG2CVgA6J3FCuhDKuawaumUoe0divyiZ/S+kOJm2P/6J3UgqyKE
oFDlHjbfQdRoqs0ntVKZsRPXtSnahkJIFX9TJ/Ged8Emr9ujDNzBp1gLk2mbkEpG3g7JuxHxO1d6
RCW9YfUZUBHb5CnBNGTcdIfMyDW3r0FJHpX2yoY76OoqbQbfI4amGJK9FpvetU/JUaaIPm19fJcJ
1Sm1pmQ0k/+VjoJ+7JzTNgfh2LWSd0ufJMsGQiVKjUJ7kd21dVlvO0MlMKamBOCIo+pNDIjhMKxD
Dzp5RexgiDhsU7fFuxZbn27D/7OU/W+WMmmY/8pR9l9VSHzxPzrKlqf8aSjTVPmHimXMMAkRgZI+
+7n+NJRpmvGHg12M0CRNOJJc0//8jz8NZbjGVASFlsOsyibeVNpfhjLtD104jippDmmm1P4tP5lm
6fw1v/rJVOmYBHUA4xZkB5EH9ZtROi1tiKSx1V85etLCD2iQU803wxBPRy0U01FMiOjxKqOqmwVo
iJG5UeVfW/PdkFD2rLH8bd/EZNGNfdAdPTl2x2UL7Whap/MCBqVgO6+1lq3lpp/vLvtsdLAzs5lj
lDJud1IEB3WIoq2fj9+CnPw0V85KPTVDM/5dRSwngsaDioRU7+tGq+u5rT7vTEEIYNMx0idDTPam
nfWH9BtZ7tlz0dmCxYyzpbRQvGnkshmz9G65EWUzIL2YNZDG1yapRO9hzDACFgaF0vJw1039n0dG
aTbCzYgjZtwdxR4L0AY/+fkTc8akpLqOpdkh1YMMPvZ9Pszc4VRnx0Hd9mlWHM1Z4ttYXXH8usso
REc6U4LoyPomzpvmmE2xSads3oQLzKp82VxuFKk1R2coDcIXMoopEwMb+iz+8q8bzZr/fF9jsUdW
GB8/0bwsrNLCXrcaGsWgsFAbdxFCY6cGzrcyfYtK0rJ7OeDrqL4Sj2avK0j02mYLwfMO/gxpo1la
k47Alvb3FrMHcq1+exh8gKfRXIzSrTJo3zynrY/YkPiQlgOX+6KbP8hfHvo6+y/nBHE8P6uhPEKA
HbDff3x1MsL+OunylpZzfL7Ssvn1PpcnpgWac75rsRKLY5c42ueWYjTiqCOz13Eisrk8vNyUU/Li
GCpwxPkZXzfp33dNVhn7jEba8uDX/q9jzZrqRA57eZb0fgq/a7/i8//cXnZ/3Sxy8M/Hl53/7f1f
TrVshuQfbWNT//b1lGXr8zy/n+KX1/2nzUj+0NM+P/z+Cr+cKbFG0sNnffcvz/7l8X/x5n95wi+b
X2/6l6f+t48vR/7+1n4/MrSifGUk+tY2Y+JxHH7+X1/vZet/3Pf5u/j94TDRs/1vO5WcH9Py0xnt
pJ1A3vAL+7op6ryiIz3NkmyjGqydYEj7es7Xgb+ddnmAxTc2AvPgTAwbiS9oQc5bWsZQ8nX3t305
iEkkvPOB/7S5HLo8tGwtN8uJllN+3TWVjhFwuZ8up1s2zR6tPTXnf/Xqy4HLzfIyJo4FBfsxaSa8
H0Gwdfd92eyIxFOZoE4aClZ7p8+idAJXi3nOiww/apPyuOxcbhzEtfB2loeWo5a9DT4rNGETITp1
OYseGyXqCDzmVJMaWdP9sqmafprf/HIaYfkq1WwthnHn5/RS5ic0im6solMFuX4b4+lfj4l2LZW5
VGINbwSgP3sTvZ2UJXgWQHUfKhoG+K2J5x6GTZf8GHs659gwNqlSAwQoMiIj6eliJyUNb0AribOq
ZSFj++/61BE7ySUIDoM217RLm7Sgv9/l558xGqg0xpC63qK/7+ZxvJvH+eXu/7ivXi7Bf98sz1ie
+/mM+QS/3ZV1gJ79t1P/f5xGd8wW75lD/41LLsU6rjnLqT83l73LaZzluv+v3wmpJUdyjPPdr++G
0AZCLsa7YrmSfZkKlq3FWfC17/djvh7+OuZrHyBGeppf979cC1/70PVz/Vye/XWKf+9lviwQv51m
eRUZxc+g0akw0S09DvP1TMxX02Vr2bfc5Qp+gbY8br/2d0FNN2k55HNzeSharqvLc34743I3Xa6Q
y8OfRy5PmuaXXbY+H/+6/3nOwFDWozILejXAztTnzyYZacCUXkAUICaa0qu8VztmF2RJDG0/7Grg
3ZQUNbmNcWPnTqySAaIj2TUsaI5B8RZ31rR2RhkiqSoI1AjsYQXWQ+4AsV3VUua4bRHzFWrn4m98
0Q0/XhfhMa5fLMU5aDEaHDIlhZt7+HENfOuZPq58dVYo1OV7hLFu3THD2IT62bH86YJfY1cXg0Nw
H6vVJMROaCskEuX19yQkZScF+Dlqrdzkk3n2Yem5EdYj+Fm1nLl+oZQbk6wpMw4AFWNKTPBVUndA
nIKYuS6D99jDXjz21l6vSbEzvZ7o8HibFkNNtkXSbzPb2ONyu4Cq+yBL3Fux4lBxIlpXLBGClddT
yqnj+HWk2IJoLs4IYx9yzKf2MRHqU6rHwzkNC5prNcA+4sOoBt53EJgOZrmVQYXVADvgJpUKKrFm
jN2uD+9wAVFa8/F2v3ZZjkOqzQP+kwAOjBzlc0goep6Er3Yz6Rutf1br+9YvLiWCAR/KQKoiI7Pn
cc4MdlNF07MY6a/EoUpAquPhZfYouNgTdatbw0oWUtJRiAr9XpODbXfyl7wfMPARpcGwSAdtDPRb
gZ6kk/ox9YLuIaHL58TBSKnSusrC8tk0vWHdOt6qHW/91D9GojghfPgg4GJeMcCBAKDa8r8omq3W
1B597BGJVRaEc8XcY6pLIPoYH/uGQbVU9Wxr1HRRW4nOEj6Na5fyPdLygM6scK5GPV1Lq/TXpszD
A7yb5y649aoqJbIR3W1pVFgli2aneerO8E17g9Q6IVE3MsNi29ISoI/bH4beec4CEd10bTHdoka+
J1Su29khxC2zVn4qAS0ZON9JoD7mEh4p4OxVQq6zW08UZJKGPKitbyJ/GWQhkdNRqNc67CZFQHxB
VmVu49CFyAx9G2RJfSgjGmkhoXRrfGz2Oii7NRYJe+3hSenNtNzrsnn24/aDvMeByJAGeUB806kI
ZsexNm9M7YSxs4uldy70xjo5vkedD/PVUPxQLJ9ip0ywddHnLnO1dZtWO8q6+MiQJ5gt8pGi4Ouw
IYai3hhTWOxkfCmjrnNNwGH0LuDXmgFIDagUcp16IVHQOZdoK2FlY1gEvDt+x49n0u6Kqa/JZyD9
ysCxiGXhuZmGW6tBL1GHVNJb0R6XZ4xFgK1AHcm6ry+Z5xfPjpnsQ20id9FGsK8+1TEiWKA/q5q0
2JbZ/qqoE+dkEY2w9hy6oSqYMQnjpMxH7UQp1nP5exA0+Nr7YM7hxj3aBtMfi8uQITijrkTJUBIH
6uhYtZP2lvArpN1h2nG1J5HG1ML0Mob8Jwz4LjhOnIcJVO+G0pNPpJaHdV33tV1pGt9EC5KtjJp7
uo7OfppYs4YRdfuKLraWmyzImEKXsV9fq86RrBVzN+jJZehZ/nUxrcE8Nx8CBb1ZNVF/BlZxGJAV
dm2tuY1fUcp2mu0Uda+YQMlB7zMffLY2ublS5VvIz2kjMGsp3q41/WErYsD4fFEflLYmBKnRjSuv
nLPsxhedyYgFNIrxtEhcxSFO3Ko4QdhV5sanIV4baFydE8GK5cGsiPQi/GCcW65mhUElaJOnXB1d
ElAoVvLO1rpRX5e9xBLTNZTCAhWZCdjnlarBjGk6NIZRvy/459LpD35OHRD6PLgOu2kP0ubey8pL
7RXwIRvQ4kqJrFcDecokTVkNeYNGTuFL4eXoY0BT7IDB3HckBK2nEOP+HCvPUDhe+qhGwhYqeNcY
dIMgibcNqhbUBHOeuV1sGwAymHQIzU0QdZXD2dOt72T0ai5NX7qL9MfzfHpe0/C7K+3ikV8fCIeq
RWsi1QzpOroqQqny3mA9Gof0xiYfezMW36oWeKszCv2p/4BntgNE/Krl2kABZQDtWaJrpvB0P3gy
XtsddcixIYwqauwVmSVXMeZ1SLRMUWR3pZovMvGyXSGCvWzAB6Re4tARSO91b+YxgMp0lSwu3UAl
hkg2Jo0Ht+sccWpvrLKk2cMPjF+aviujEP8O1gVQf0jXUjKNR3yGMI2cjW/ddtNAqEbBb7L3kFdn
pSLQ9V/gqJ3LAcNKafPd6+OWvNg6PsTNE9HitOBtV/UY7pomfmGBkLtjh4SwkUgPPGyvpgU914hJ
VGwqwmOZSR8qVAqtGOtL7IQIeYzoNvZJEwYzjBx+NE6kIFKTJwy49W0VCR36KyOMrvVpB2hWggtG
29HaBkmJ3uNkjblrDPJxpLOIRgk6e4KQqBm916o1T50gMriPsY5msfUzrUiksocRr2mGFshjJUB2
rbjPhpnGSgDuJrFPAp/+yig9uWoGqW2bgAZIpCE1VCzxXDotXd4q9emrsKsqVGc/2iAbhix/pqKW
HqaOGVFrhVvgBw9DN24tLX3IJroF2OL3ic9/2IYuS472dFU6ROnEZv0taw3itfUJWoEenOl2ovYY
TVD6wDTc2gGsPPVotDOyje/URgxnB1I1QZbNMee3Ycdev2UgadZN99q1ISpCg6KxBa3eJsqIBZ7J
F1rF7t1kG/APR/Bv4z5sjXhXR+Gjl0bJcYqUs90ab0Y3bMFm+EfVCeZvBvZEoVbbabTOORiJnRES
AmKNgDn4pAsNiWRms1gqGPmIFdeKpt9kDjJR3Ql/wGmI3NFgolCHCfkXqkHUSk6QODHTiiu6YtdG
2TeHAlHLeHy0fLkNaq2/JmQYfZEp2o3RZ+c2UK0NkU2wiVSAO8wcSjDqa5zOF6kjEvXpSyeNKG5M
SzyKSj0RNjJYQDksPWbGGhX1mngBMnHu21i74iD+bfrtYJLzMaX+VSi6t6LnpdTIQR0ZY4cx7WPV
eeWVJoI7zPAoDKJm20fBj3h4tHq0a2L4SHpldEtbEYTqaYc66wdXN2J7FUFTgqxHRCbGvpEBRC0x
hAnbeECmTByVGqD+dRQ3cNCPlfBhaQNEEokviWNhnHmHkim0WuVXRUH301IN8lc77G5OTmaDfmgX
HBJqR17RndqKloCW1GujBEpY2ng/yBjbM8ZtUk1Cbs+iO+BB761NHmmsodx2+OAChEtRq1TMfNpT
GVgWFV/rVBb7LBnDg9Tp9tYHQPvaqZETOhF1zroZVvR0FVfmhb5j+UAQ8QuxjfpNrc1DZ5LFO4tG
Rdp275naM5gQr1fG3nrynW8YtQuWdTsC1Xejjy6Qj+VuMDJnrWTFta+rd6IH8Kir2T3UkR+wFGMX
CAKa4OB7Eknk+kMgrsjd3Kgh8lMCZzZTiYwLbkFwUm3zHFOGBhxL+1r7TiAmKjzqDJsoLq64DjLd
shw+bkwlbU64PFAvFAcAnQy9NnZlKV3NrPGslX0OG/+la8YXunZbX2+hyur5XSoxFZBOj2LW9KF1
TeNaFVXBmDfZK2ISpo3aiZvIqi4J3cMtYKRDG9vRdRF1ZzP8UTniXPXCetIzEhfDY6Ew3x5iat1T
9HOcdGzzcLVXhjSDjWNOfEcRCSo2mCgngWDWoMntiZ1zgxxpRYmEMidNoFOwsw7DrSb63I08cVYK
zpE3qBR8D7RhpCDs7CJv02joILM+KlatGp/CpvV3oLKx7IzXXhWo28xPngL0BbusQgTesv4R1Cse
mvwEd4iOZskXTGqtuU56yh0Dkq46xlM7ht9UP7fWmdd/gAS5smWnHbSx+7D8B8rx8bavx48+HfRH
MyhbN1aKeWI56Bty4uC404e7xrWhCbn3CVZQav+qaKBxylZF14PIWvZvEiDXNZWjLWHoBgyO+hqA
ZOnS7zz4VIX31OhfUUSBI24mc9WpmIi8aQfz6mfh0JubjRxq+N6JuMLEhIw/k6Gxkn17CJLmR5V6
clsOw8kZCZeDEr7WgDq6hS3fLWDleYQzsEJZaNc7A5+uIzEZ1x5Bf1X8mAtv32vOg1F3EqEAtm7d
Hr9VXsl/tX3Q/IGTeZBVbDU+dwhHGaVDF7IDQcQRHvH8EXzsa5D3VwqA/zHvEndEtlrEgNhyBd9p
3GizTM4Qu4rwqFCBz9fEykWNTO9STGVyKT38sdImJGve1SMXr4Ykvv7cp9l+sZryPj18PcsXHlra
CjpeMZ9peaCb9NdmsrEjg0GhuX5fl/d1YvSXXut3jV2JFQvVAAFRjPLQiiLeiP8AcMlXVh6z2Khs
bSIgm4EY5hNUhFVIieDcaYN/28w3Y0IkHprULM1Ptt+bhFpyQzkSwSk+sa3I7T/3AXUud1OLAFb9
e187EZorjBBanqOscsf0btL5puXLWNjlhR+FYMgn2gnlirhM8w2l2WLvjDZ+4vlu3QT6Jars8KZv
gYD/fdiyv7aMp5Dp73HZ7yiluCTFMAHJq/PN17G68ARxC2jCl0N+eQDVtM705WuPKVA8h2OeHZYX
WB7wAprystFxe1Ywa/5+VyE5FifTGu+XXWZahGfbVta9H0S31ApzG3op+WvhbV8OH0NYeode06/V
MUquhsE0LsuNM/G7gpxmbr/2JWOX7byaMPZYVSI8KZRdrmbqXGzG5iWcb5aDW7KGJnrmc2AXjoXM
CfinJr6FV6Zwdp/3q3wqIdwkhlssjweFKZgZDZeoxuAkGUM6koT57bTGRcpYuTHDkz/f0VnefN6w
tHomcXg6jkbCKyQ+3f8h07k4/H3cEHdyn0w07JcT2Wpunfw0vKRF2p6LfFx/fqOmAsfREIAXS9L6
Bl6/fwvf3r8VUX4P13Y4LYctN1aZIy1wsmK/3F2O1ZysWZtlr26WZy37xCgw+ebxddIOcGbByF2S
TJcXAtKno663L4QqycuyX9hpd2P1aGXQEfJ3zId57XgobEHGzPxMVoHknmk6ZRu+fznJY3vFl9al
LHL7UmRBudECh8CKYbIvywNaE9UHtQCeuNxdHvBj1TijB3H1CD4RE/+AlEVAATBPRmZunXn1dWxQ
zoztuLZ3iSijrTNG+BUVL5hp9g66rhEbhu0B77LJZd3qkupbXZbhbTvfELvQEFuF2j0YBvUTy/1/
KoL/VUVgAij/G2D+T1za/6ri16x+rf8BTCvn5/zFpZV/WIYJfFNIQwoK2rTx/5QRSOMPS7OkZQnD
RsxrShQGf8kIrD+Iv9JgxkpdN6U+P+svLq3+B/1+jnbYPXf//y0dgdAE7+1XHYGmcTpVn7UMGnRc
05q5tb8A10uuk0YhWuNgJo5DhceQqAJrchPMxwQu/KEV2Eh7y6C9sbVr19I162DJ6hk6lrppKf/v
fQY9x0qfa4kC2JqcitV1ibaNS4tkiMtBnJGS2g4boYfWMSDXw/GvW5VE5kjAcIs8ygldaz/5YzTs
pBJRZq3XBeLQYwNnHQbsdA0IiqwaJVWcVaKN5lYInTgwD25GrL050CEjLslqFnbghFQ8yjaLE8SC
KLFy+yPudOu+hh/WCzJUGbtuEtMDQ9kw92tZUxdypEc0qBj3BHQezUCuq1rqxh6Di5FJcUhUllfp
y6Eqggfm75TXSmdctyWlrm4yzqmTTwR2R9o6rpGz1beB1TdXihOh5rdZUuZ5LPfkxoxhjAgsj8LL
ZCouoHkMNSIabsz8BrkIEUUR2i6pphqzcIsFWuoNrt/mPzPT/ulBKdyVVf59zn5CD4//FrnwOBFq
H+SZCoyj81ZnrUN+l7fMy4maCSomVx1SZxHpAPzGxz4V98St6essDZ7kVEbYeEhzGVO4v5bOZXfq
P7xkuGkqdP6El2K4jimSdozyYVdYLnX8fdyGxsmaLS2lKm9AMtdwRKibtBjGOkN78vI4JNpGrVwv
9pAXh1uKCeUWhu6WPPB8a8hOxe1rXpuas3VKfxdJ59jlOK0LCoyrIYmgJlYD3qqYEh80KouWQoBh
25TfChOPbllVFSBGJvVWEe2nPnvJ1fgODf3BrouXymnDVZnK6ewp1KHrRsVrgTD6gMvuLHzE5zD9
XcsKaHyo2UtJ2n1Z+A91tLMz0qP97D0q8UwFwx0c9IwBeN9mKbIUc3gJnByPi4VkLDWoIakaUxD/
MFqFtm8s5zu673abVF0MnU/7oZThA/VpTxakqTuoMpKUv0uzX0k3fjYcJqVWy3+3NPNXu6Pc5Pek
53iOQg9BUQB9+OI6zan402z1TpRVYiR1G0EYFkM/xRd0Is9qEf6cREUGT86yWi/w7lOvAJmKOK9Y
R9MMRYRtzNv1XzuCLw+xd1EigI4yHb9HutiLFDOjaNZ9OZt0al/ecUXc68pPcwrUu3ow37swMXZx
Rs57Vv/wAuqucTKSTinFbd0790nQ6ZtHiMrFNuNdA3XFla0ScDJAgq0AwbCK0WoZrhW7hIIWR6fO
oJigR3m+9mivaDXAfxqN/CcbtxT6CyWFaNNRtnVzaW21ArmhFlNbMPESM9VGF36XW323s6bO2lEQ
eQzaiKhWrHsDP+hAJI+FajznBNQEJKT4YLJl0VCbJFq5v+Zvyvv4Wgudu4hfXEMspxmKs1fZTEoB
xLsAhLEsd6xYk77aiRhErqMcuoROiCKpKveE07e4sY1yRg+TmzjRRQ7U9F10zCLGNL2U6JOgD4Tf
fCXo1r7or32JVCHNUFOnJdpwrYNx02f9h6JPw0pJaI60xFFOSGmUKjo6ivGCiwJbcVUd8ExaA3P1
IbCOIKRpwJABFQ74tJGff1CCc1YiGbyTf+cUHlIir1TuDXG0hf0jyah5pFFkbMI04afTpG4Ob3qj
4iNgUtQdqDTSk6wa0gj97/GsueIawNfccJxVTmnYZcbz3Gfj3TAgHeZH2R8KH+JE7+nXkaNk/DUV
yeV8QfVuuPZFQ/oW+YquYP65t1nTzsp3WuMd2kYm/AO29eGlH5V4rVKYZx38ZoTXlVn9oBzhk/MM
x8AGuJzXSbqtAqHt+K8NckrgIUQ3eISS7Rhj07R8RNepFynEhYGNqlV5iLLqCEGO9SKI41U1hzU1
sDcsRp99nJCsmvzIB6JYsRZhdnQuIrSAMiequpYxHscysTtK+1AySDk6tTAvRJMrrIaJumIB7qom
PUdsiurIPA9JlRuy6vMLzTraKbKB0aqT3WDyzQAyi3fjOnB8sZnUoAA6Dc5h0CNlR0LoRoMXzxc6
UFwtyEM36QN/25Q4sM2MGHMxuFA2w43uQS4YOssifQ/ie44FbQzINxapUF4H0vH2lCO5xNJe3Eik
v91QPNMlcq5k35wHmoUEzw3fFTqZh6H9DiK+duGx4xrPKEypGMrouYALQGS6CuObyveNE4MBg3LG
fJRA7p1Jo8ytLUY8ucqrId5FJDdsumpo1mQUPzq5/1hair0puwqDozmL802SsCIvL7bh6Fhwxc6J
Jch3T2CB9haOG+HHr0XYP0R5NT1Ozr42pLNudWb+BHp2er/P/AgnqfP/2Duz5UiRrsu+Sr8AnwEO
ONzGPGpKTakbTFJlMs/gDjx9LyKrq/r/zdra+r5vsIiUUgpFgHP8nL3X5v3p6cRwzrDdg03vjM19
qeYcBMIpEnAenFJePRgHEU3YU+iLQ1tyyOrkoBMYqqMVvCovfkkCn8EbJj0v2JuOYEtXqwsdal7q
EPHJzthzbCT9q5hlV4bcVZUb8lvppXIHUlsQ7jSmK1yBQbipZ76xnoH5qIwpV2ifymz6QRIJdF9e
o8FCAhkiMQ7JMpw2+vbqYQzPs3B6nArvgwn1zDmpj3NiBWc30puxQirZMlEJWy5k+Mh7qx7gxKfe
JZmK/tK5sDfM6kDyRbLRSfM5FZsitc8lCHRs+c7vQNSc+dMORUr3EjftqY4q1lyonqMOqs2QMN8a
DPzbs8qvFhpFiC2FCyEhnMXBAqV69Kma/Io3NBmCgzmHv4L+rUhdZ41xifaXzg5xD7p3zAtm8hoz
spwe3PuBMJINQYUfnpnRMgcIb9EpXUkWM9zP9QyBCaQaSX97mxNOh0PL2uJ8kcCdQcoY3pVRdST0
AYUfcm8zv0uz/5gqp7iYof9QUb2d82Lqdnp0ojOagQ/ihuodlH0qIJ09p4YRgMPkrg17Fv4cuQ2n
lDdQEmqylVEXbkTRvc9EuECLqK+S4Cq+85ntVQz+G0dqRlT85O4rBUxe558Ok4NNt9A7ywzRENHo
Cb3sLj1Icz76TvBo28G4dnMqwcSZ3qZENBvZ0RYp6dTQ+u0MnJfog7jCkCj02E9a2r7hYBFOHvsZ
4QLQZINmPM7aTbZpH0PXqsKjL2eYQjOuyjlg7aIKxJPiH0fBp54RPr+xBOIgVZD7qZLhUpOSt+ld
q9i0Ma5qdOmHIQiCdSFqhBkER+YZqZVZRYo8vBjuS+NWVqSkRdLrOSM5QfMyfLOZ1c3DsxoVnudO
m+QBb8M4lTtVphV4JvvdlU29LT135fsdWOul5sqMZDOhxjj6acdZG546I603i13XzYdD4XuXWkiI
8h63wMkEBzHHVBZtDNHJgomRuiKBtQGYIqy3bGDvA431UvQTL6kxyTSsD33YPsWJiNbuDKUAwRgs
ERZw9rCDJd66oZ+OVgoSPi3DfGsKj1JCy42hGkkGUaAOee/u3QDriceHiQvEC7YTcNWj52Dgm99z
ape9StN+AxJVXeUsP6yi+RrCqNm0ZfSVzAMuk7BbWalf4j9jgprm43kaAM9PbDnWha1+W10kV1FJ
90iSnIQURHpbByAhZZtDuUmpyUDmp6o0gaW/tag/p9jbkV4MTgJVWJLT7ooH8d4wIBqyHuBE2p/q
PGFATkAgJaLP6BpxAEyqNq0B5NUSGB4uczUM5kbH85OkmUlUB74pIauT243PmaqxfdcMadyegOR2
9AW7DrrdLS4UUNPZU1exvLtG+mOWCrJMD+4p6CnB4YB/JqZ5T9uYchNKRSbxT+eYy0cPnW55lH/5
Mtq65mDRiC65Toj78DUd2Fydq+KvOQ6MlauQNHi+f2bnaj5P+ohqYtVW4P2SqvumVoKghwsCvUtV
OcM2WAJVM1Nu22mAuzmCZrYjet12BHnMqxhtMk0DN9BslacQhTEeKuixmmxbNmgtLtFkHlOLiICB
9vda6/B79nS1Qxm0GmQp4LcX3pqABgjdBu1ZJjJil8VKgpMXiPXimOIr7+8dYCLurAiGc3tcppVx
zrgAj62w7+PBRRmT9m8+aa2rTKUfBegPmRo1c0k0HUXjKcxKpdp0gz6jgwgeh4nMgDgYYPcw9It8
RDYDQQeinQ9tLX7nIv+hGpZSj4DZmM6vCpSHFyvY5pl5H3U7M8Fr6oTdpfRAVEat8LcMEo5qai9h
Eh6NzASj0ojXSC5yjUFXey8nSIN76MwujPSOs2ffq4haIjJRNZe4d6LWZOJKGz9yjW9R7c2eUrbs
FETGrKD3yIm8c8Jw0xrdPkuMr1RD76AXEK3CijucK6hJ2OwwsFuiYmwzOkE0YTPfT/HJJziDMQrO
OYpa7ucWvJOYQmydod/yu6ZYNSVONqfw0zW309++L+/iThLSHgf7CnIY3MHgZ+LYb5YZ9sSrGk9m
WbHtrw+5g8wijV6I5+I+mjDtjNiylxN7k+bJqdnNB7NaOMihR/rLtLLN+tPKUId5SRbsvI4qK53L
DbEDBEVU2XMg1QVdV3uoBufZCGJQDO20m9BzDOZzSmJJN44QrwZEFLHFjGlIsJYX87AO/AZcqVjU
6z2cgMT9Mjr3pU5TPnb7PXCLFKx8y32PMkqAggMbvNUaiq9FN3PXZN5G5d4pyxBIkNOBVRiCpcgs
iJPVz74zwnWVmGpn6w+dxNW5YilISt/fp7H9w6dPmZtO/ewUe2XaTNI9hjwtAKXOlxtFCvOGYOXR
7bNtEHV4AtLvMoqh7zbgaKr8Ohsg9LlfjtZvZK0f0RDCMzJ3hCQ3exSaEOk7vbULYYNYHy4BDWrc
a1zDMR5Ci9eIImdBhSAFoQURHiPEOMu8f8ovtu6wVOv0Tpr6r6H8besg2FR61itzGNahmyEP0noJ
eGvWo+eUyAE1lHVYbaU3WtsiAoHWVXfS0+FjiCkbPWAL/AhWZGORLz3gAU7GLbs3A20t01vX95/y
sA0PGD7WRc+u0m9MtqcTuSzT4G2qvCf0y51ZU+lRdXG5k775bOtGHn0xvxVwWY2MyOiUxaUKrWuG
SubQU/F4KXk3SjMBaiNkaK1f34VLXRKF7JtEXl4tF91g709EsI7ma62Cl1ZwpXn9q9f480549reu
aKSTtFRPTnPRPpXDwEiABFYYXXZ0pbP9rEyWqGQZDSsgXFGR/hhjeullTFtmnebRj3yxbPTFdO0b
WkM9DjlOJ9N+KucEaooJ6jAmPCMt9Sdwa92l9VEK8e6JcX3tg/4H6VHPs/AFnygLWAJz7gbV7tAY
zH8e3p6nxV9IOaqjkfTpoTGIVWjxm9wO2Jf3Htfc/vbsJhBvrBL4nBM+2GBPp0KCeovL4AQKHFoZ
dHiVmKhliwGTr2Mdb2Rtd/KTmbMJm4XO/X1P720fWwkrWTYcbptJv3VAdEcjljsPSFWM0m1q9O9S
IC+JrQWdY8cPnbRfB+IUkGOp8iDY3lmKsXnPivytjQcvdocvndfHJkdGqTq3JPw38Nbm4LW0OPSI
AoggIGKsFtsulHjUSd+eHGFczjQs3IEVzXK3vNOYjUnBXVl2dr9crig0smlr/DBl7KxMUz+IUF4N
7VFDTtmwSaL6aBIKi+A/YUtnIv7sp6fQqGDdoPs08/7JcJtvliKGssK7On5xIuj2w9MarJShN5Vh
guSJ7mx5bvEia+Fn+zlBqoD6BbABp3btF9s4QItqmh+M+RExDMrkDPG71eTbT3ng25te1gBcKwS5
EDpTgjWKFN8q+WaXsCbVwTMyZ9/WVgCN078jMOZnUNvvNQP4piY4hgLxexiDBrMlqpvCXDueNezT
JoIxTyg3J/1CgKvRe1LqcdKaD0PQXpn0on+ppEV/lhSR0qpXNf5QOZng68nznclwTetHfP8QTfpl
mCHVewF2A+9ktNJFgUaTSWyepFDkxK6FPZ2RP4DhoJlDtFjZmXbCnSPsyzQZzc5VoP5J2+zRF8fD
xiS34mT/cxCLHUEs33L7NzcOYZGIsVzfbAZ6LNTW9o3vusjtkzdH9x2n0v72LGyKl67wvxJF1wQq
RbeZc0gM/xLoHdO3WWQAQOWDd6qSTCykmBHXGJxwujKEaYD/eL/5B0AtYFu4YfXVohHoHI+VanlZ
xjjrfTKz95sl0rzbS+3VhOdL6tjfJ5HYRyr7qJz5sU0p+f3FBXE7/LEn/Pvc4oPC1xAfby/xdpjK
hZHy53q2Dw7t9GPFzqgXabBD23oj/6e3JAA1enKH+vQadXY6r28AfHabJFf4b7eL8R+YvbPAV24/
0orIM/7z05ffLUiNhFHqF8hG+CW5AVbw9he7coBDcHsfbs/LOGh30p6eXDF84bo/DzHtE00Q5N4d
WnCJTQIgahj1Cc4B5RT7MQK5aS+xGYOb4gT9USdZv79B9v8bqr9q4U8Qdhat2yUq4PbSW5G/N9yt
uMXgLwvQ+g6ecg7MW/pDGVZbX7L8xoOmbLSHR6TD4CihXNAfLcg4B3nMgmsQgLRryuDpb6OCgx+u
UsSZLV66IgjqQ5zOtKUW3kwxkiaExoeI5tQ8m0kI278d2JGNZCwFpFOfzAiqV98SIVPMEzq+GAcS
Mnt+zxy17GXymRg7nMcnacju5Bow1o3OhvGHm3RNc3GqD0uFcVt/s9juT0HZ3cFAWD7CmpY/7nva
YTGsl5TD7dHtcDvjzMT4DSIByW+5WAttxLqhb+aHP5fK7XpZDvZi36JOl+upQ58w1EsSSbq4jAL+
M1JdMHTEyg6c+QLJbEdeRToICr1kizzyWE/Q9sfa/VVEg30qcvfOp1OwM6dBnW4HIUkmcXsueSlz
dRJ143POi1FikG/pG4UdMKGc1WZxpHaU6myuFnl9uCdPKjmP3Ng2BFog5FpOyP+WqRAnBrDrqN8Y
7WLWvMUqRA1WrNthXk6N78EbuMtaQyWWxChxGrwXs0z74+1zsBdmz59PhG6ObxvfhnLZCnrJF7rV
6cJWb750DEtxR6btPjLnl9FGsOsSxDgZPhP55dAk8W4w7GnXdfGr6bKlG/3p769ZrbF3U88/yrFy
L3loK+z3WC6B/2wKOhIXz6fTlSfe/vYNSMg6RuwLwJuvWYW+dF74WzuEtQvolk6rp72ZwSy0daRg
DxSt2gsuNESIZXGn0H2pPOgOHd1QS7XQLY3Qja8NKnQig3A36Gz5q6p6Q/fqB70FOrgtRZK9vGiz
ZcaFNAkQEYXGNR7ZlhqKp4YzI8UZuD2KAQCJc1YdzJC5uA5BTvsCRe81nH5XgxVfPLujh0TDbTXH
U3YE4nHwIyiYS4DUSuvJWdiStnVlybSvqh1ANvkMFJwsv8TQnQ5DY4CHUUCt2WIhrzR+NpFkN5XS
5ayKsx+WaOAGhDZ47t1HMwDFaY2wUSe6Pa6Zvw/NrLduzclAytF30hYPxSLinTqV7oeGGtsk9aNG
vO4lFwsTy3lgxL6yp9rdeFaXsj2JgYEJwljX2LyL878HOdoegsYZcF14sZX0drEfPNK4NSscT01+
LuD7gmnpqUEwUQ8JtzoEmhuCku2T3xk2vl8eEc65NSzyGEwzL85i9vM/B5SkNIEQVSNq/TVOMtnE
bgHLAEV3NUX2yXKEdbo9apant0f/fiHuavs0htjNMiam69sXzBj6GDYdpEz//IDbT7l9s2Mlrx39
9V1jGt5JObZ3squ0Qxq+PAykZRwmJ97khqtPOHpv//rvodWV/POfyhYPFem3GY4FQYkGorbsAYv6
8xKLQp/8FIWo2kfTRhBWmIc2RJdFRTh1nJy6QRGu2v6L5spiebCyNUFzgQ7jc00mFm4IseVWwOfC
8hgJ4wTUxznWrKqEmy9YVCT7Ta69tYwyfbYm3JWphkOD6Iy0AX10iElc9wY4DJdVYCVcqH6xyeUN
5qTPf9FdWROS9C4quGIC3d5Qdc9Jxh4384M3nfnhGkER3CVxoN063JVh/FdeO4B5ZE4IoK4ZvbVb
uyu8Ww/zJLL8A+VqCszCzeikKQ/7iGHn36MJwlPwluVt9x1IZt5+vw1G8ZwG785EYzxxMRH2zvTC
LdteyQA0DfCU5eL8IX0GX76Heq/t2WcXEs0jksU4IeeP+AmaGSTUDP52rIq3vAMUKAAtlmIJb2PF
c2N0t13Nu+DSbivTB7+LT+TpLRO2+FkVH/gZfNa1ezEBuPbN4h5VPaaHInwJ++Vir7YmGaSsg/XR
AlUBZ4hiYY6JBZMAsmQJPJi2ttXCQAlDdfLtHKoddcFS9QtR/0YWzfBLHrwmfRAT9GJbciudgY1w
ZyBNy77PjfHEHP9hrMY9+tr3ZmLGFuTPPYNTTiyuGFBeunwGZoNNKkHnPlecAayU+yAYPTRFaOmJ
47uf+WGK7iKJlLxHBOt0dUXHGIdGuzU75yxZFCNYSDbgxbme7ooMFV/+TAQPkBKBhIwFkCs4XHgq
ag0egObtbELaDX/21gJ8bLYVSLHRH3l/ks+aSQD5ZbuqbO7yimmO8WDYxPowJ/GC/LEJN4QnEXse
lnfegvdI5DEeg78UOStNmDJSUMknwo3tOGyHWijubY+h72ckb4htUKHbqRETGWB44aytCgw7Gu3n
QM/AV3uLll+VGihG663r2BcagVgJQL3qEJOBJqILAjZTiAvtcweleP7bsNUh6fhU3fZ7rElELPNN
pqNzZ0evrWf9sLxLKN2/WnFHai+NMJsNqV7iGIbs2IxBep4Mb9y4HgbZGZfFmavdOt8e3Q6DiOzz
5LOWFnH6Uc+YPCbJpDBzZvJ47eLNdsMKt1sODTSIYybrMbQIlgBmDg3X+GDu/Q7jDul6Cx3gZjsE
vNedvDbA5Xh73nVy3iQVVbe2+2CVjTgAUjqMg3Ya9nCsvDrKxM+Y2mOV9xPpPdRqYtln0qvgw+zp
lp7a5WDHaGjjGtasYXftNonk3QAMNRF2cxqiCqBBwD428VAn38gVt4OU8hF4VYuAcsnlQkpHtJsv
6pmo4i8PrzHEJTYxcvE4K4UOMZRwiutwkROA9745qG9fHO+xpCC2X3Yv1nIYbxVaYSoARbSaEU2n
SE9wkqQp1wrOsoXBb3E7LLmGM6sdT4ZHWrHLgG6FygGo01wQMEdSoIpdjX1gXkiXI+TVpPA0CEUO
BVuek/khlnq7n40ffslfUhrLLe/2TYsa9hB7cJCXIKouls2JzRrs0tvDkdBVAhO3VoamtvOjN/hQ
uMCLZAEXuMtfPP6pHhkGOQOqDEJwxXAeI4o9eyhoxS8VqugA+imnwm797/PSco8k8hIo0d94iP/8
+nR5xGCPSTdry0IiKTLHX3vEU/6Ba9z+7YbZuB0Mu7pUXPrUR8F4olSRh1HG2zCffwqng9mmy1dX
WUhVPeizKqfJhG2BIV1FNG45DO8mqZ0roZZhIeWvN5iYz5ZDJEmMmxKwmdiquBstBzLEsCoY476k
Nwyqg4Mby60PEPXQ3/7CDqAMimk90QlIbYxaBm0sK012SS1ecoNlkQwizJGWXMKqWpN1elDYJJda
m1KX7UZCBErXsaLykH/MO/L8dB/8uEnQ/r9Y7/8i1qMPZ5Kq/n9W67396vr/8Zq0UVIm/4X88/f/
/FuzJ4l+t90lrd30vcByTNA6f2v2fPs/HsJ0xvWB493YP/9o9hzzP54wLVP6ksx4TLxQgf6XZk/+
B1CPB8OUFHfHDrzg/yVLHhgdFKH/XbPn+MKTxA67EtGeE6C4+6+avWhyNBqPKD5qw0UnCmi3UA0R
1Tq572TfnrUQ+TavcSM3w/DZDz4ZJMYl09Zwp+iHO95RDwrYLrHew5yiFUbsRZi1sep0tKs9+Zmk
yLKX5aby4Pp3EVOxrKnDfZ6S+aOj8Jp41HMz8DLzZOOHWbcR1p/BbjNcl/Ob/kQUWUP4ZVo3zEQc
EZSDgv2Ao9xet1XW7EzmdQoR9Uzx0RL2e3Qc+rNqMijdaYDKKCbjxde7FKwehR9a4CifL3pGBy5J
b4/i5r5Qs7Gif7HOKavIaSWiCf5gEGNJKcPyalQgm4nhgKJn/xjiItmIbFBgd9U1N8X8MHoVjefJ
c7ZNhzej67mBWxMrbt3XUDfFQsunIbt3/IppVsQOL08y/NI2cSiD6+/cZNPSGFhNZYPwZfhsJ4wd
TtJP92lgJpvclrQ20QWxPG+9qb62eoRiniAJh2y42AFH5nB5T7TaMltpCIbGz5fu4rhON3Yd7eJ5
Gp9Zu54Kv1t3VY5FlObxxnY7so/Z/h6K2n7GX6EvZmw8o/tkANS90td/dKFLKs0kEgKlRxJX2TZo
Sd5mO1klATh5E+tgHdx71XxVQ/BiyvrTgduuakLgMPTtAPm1G4Kij8tXRY7wp49vc9APnQYVkOso
WvdFoDB9knWbtAwEPOJdQWKcxThaWJdKdqmxdaAveeI+wFiFYiiq3Pzsm+pqK/OdaSHJVZPtM561
mMYIMvcaU60S2wg3WFXQhGeOtU/VXG8WIMUmBH5EvnS3g4vEQtpBN644wVe9W3RrsyFRaMCL9j4L
rLzlYiFuOeEiaMk+I4TamjUCM1RQZM7u8yKiNzx+90X0bNoFpEOnHdDpZ1e7jZGDmwIyhX3JQvcR
dNR9lcXRutEfTsTgvLXS96aO2/uWtu2YzPpgCLrQ2YDvNhn97VDQJDa6YAeZF7S2kcWLpIMhJP0E
TfRYBv6KiTLwZYVmwtHBXkwDyTaZF+OFM4jQiQiTGoY3O0d/gemHtLiYSDGsa7YYkWfQVmKoFV7C
1nhEs8KYtGnvY6GvYdfurY6sRJxiZPIU1TYvJCHnSfwj66BKAVlBWoJsrakluS1Fc5WJ2ilguC/x
s2PXT0n7hJ2e1F8HlaVZz3+lfcH+orL/Iu/nLgynXVDiBrScrtgPxL2uqXOG1TS3elv5ffyu3Ycw
R3gQjAl80JmStw/lgYRzLpv3NH1q3JzIC11vlGTKJSz3TrZps0uieN1Ob6U1/poMJfexcu8QvqEC
aO2dJBqwcn3yrTKr2sSjguC6iEAqUlUxwpLzMKBD0gS95EGz97DytH28C8zwsVP3od3N2xYwICfe
nSxhv4jME2u7RqoqHdms1QzhNKqYFAcue8k4MQ9m9xlMaGqt7nMcB6B/ptxMkflpzssHFC27JJuE
5XDYY+5lKUu76GD4+IFdpg+DbRLcVDjOPm/nY2MH9iXXjDRMET6NTRC+xNSITf6jiBuifZPycxpi
Z1OJODrRhOOPqeJfNfAuK9DiPtHQc3Mh70XEJowG5KsMRHGKnVeyvBH1jsCVtX9Msth/VALtTY35
elTQHv2AoUoQ4TlBSuhuwSpcsNn88tLfieG95jMj8GIKsE5k9i8NHZY9vEbJNtHHcc1nWRT4hLvv
KBEa9GmVrSvUcohSMJ7bgEMD+eWXXrS44+NNIFiwKBBFigHRr1mZmgqaL8y31ZA70aO3t+Sw5DFO
C36h5tNtE6LH3Gnj9S2Tcfyi9DzNSyaZk2XiPNZ4e2OEhG3svBQ1QRYiron4SY8TDbVTiELEr3Ib
tWRPWjxTxCKxzF1sA0inzX0F6PrSmIfOb+610vuxroEYpyUhcdwlmSzajwU5OJnD6KapC+o+l6QF
hkSu6246g226siHLa7WIFsDiw40lAsRaFMjlD+JwJ1CzUbqfkSd5jJoPBTmK/Xvq46iTefPYTfV4
tA7jHELczab73LxzgLguApRh0yPbiB3C2dte+JvERAVpRi3d5hpQUEDHNckJ4nBDgi/p6aGf4dxB
31qnRGNnJvlBRmTdqVgcVbskERTNg8g6lFMWel8DZaQjy/fRduKzF5PMNS+6/b6sNzlgg0vi1dfu
UArPuHfgoJKMp+6kQwpXpUzCaUjO7gxxqpSRPRj4CR+YgBRHI/XolHcHN5Vbqx9QkzRAb4NntG1I
nrI3VOeEi/j6DYl/cbII69Y17pkKycq68cS+iIx5o0VwJCNpPiy6KxOR92R0MAebex/Q4GPmn2tN
a66R7V2gwaBWM2ExvuT72pncXhU8zsKYHsMBnZszzX8NEwPbZGz8HZfaR93qJ2RCBl4uzv+goclZ
c2JSc+hDEhL3M0/ihNnZroZ+y/l772p3gxa/3gxlQKCsRl7h1L8qFzpyM1a/GqzW7EUmfwMHYtUq
B1ELblkwAP6py6YF0xT/pA/13A7ECSrHeYooQJKcMTeyrGEbh/RSBgC/ZsEUdULMh2Ae0RPYF+jm
GwVBlpsCWiT1ntjJIZxHHx3ttPKK6OAysbg3W38bJ3b00UjZ7RLLyA6mamLelvhFVSEa28L+iMOE
RAn2hRrXXNCNb5BQ663dFM9WJt/cYdzxg6HwQ+8JD6K2CKnoSyYQQQ8DOuIDrSxL7UYaFcas3yFb
fFeoGfYtU0phi7OHqYELiHfMNODKCjt4UQRNyATJl+059i6INOkOkmSjyLVfCyRoK8/LP9PeRPhI
E0c20YA5ALmOYainYupf80HNm4ou7KaiGw3Wi1lTANN8XAL7JLbvgNSpOWXl6rSxREwJfoqc6yso
XvJHgBbXX2bYiDsBcNZF27YZkzE9zVN/LJL4MbHgFmW1+1krjP5WOz8m6OAToNOMBd+RJbMiIlts
jecsRXgh4jAkJITsxHA0Okz+Mfx35IFxPj/miTswuUxd2jbW76Igm9ZB/kP54B9byqd1qxG91V28
Rdo1bqrwLVtO1NZOIYP05ZFqJb/4FsrBkrUu0SHJo8Dttz3Srq0fueTNZZADmokxTMvELpT5bpZf
OJr1amTWjWwW8aj9ZRgj2GwbwK9hm4DD7Q/HrrxjZyQ4V/LkbBWBwwCqRpByX5os0aWe0dlN5VPY
NPeW7Cqw3+lTOt81FfAbBHLb3ksoKXMSsUqMz0SN0FCrq+JZavwpnfM4la2NYq9dTxB2dm2HWH5U
5V1P7SNjSvTA5z6mwXq49rK4pw7uzmXXMDy5prbgXrePUrgXv+ivYTY7qMjH4ZAbMDp1uAT/GIxb
A5cQJ/jejEy9mgDfbm5/kvP0RslLbdeBxxEKJG9Zdw9DOdERtlB9OlV8rB3RPGd970MoT4cr5meU
JcLwubp5v6WMVwy9H6JgHHGrDC+jtBRlOa7pxB/D3Yzk4qwM1DqLHDgbRUS7c4Qhk8KiyRmpCRpF
XjMUH646ysY6QbV6bc1uZ6SSItWx71Tk0wThb8Y4iw8RY8JxUgRijYEcV50Lo8hnXZVWQG1mEO3R
0UQCiCqz+zQE/Eud1Hw0TDdo4tbDYQ7h4Agjirde0TiwiPUrAOz9LEs45wDFaYXq97BOvxX6wTDN
xnvgCL8G0ZGf45Bv2RTug8lm4+IOrCikD8EiAcwQeoRTLF/i/KtCpzt6OvnqhDqbPudoxgXAhMj+
ivOLUbj8KqNKdigz3iZ3WgSyT11qgrsw8A8Oo33pMB67+7Ipr6WFv6LqOmfjLinkxFThgY6/gBGB
lkkb9HLt0fcm7nsPyKxPUIw/2UU9egrDkdHuTGMx1tjnAkZ3b+h+H5UWvtA5eCpUhODcici9w0ZB
f2yOcrWen7w6eHJHQrQI0ByDdotPgKhHVMVt9Bkaw3GJ2nMdawfclDpOX+0MRQPiJkSzoBFz/2Tm
8pgUMdInbCKQCsla9w5eGH8F1ss4z9uZ3ZtCOl9DT8eg9+LIEfkv3XsA4VPwTfX5UyrWECc010b9
k9lW4GQEOzNF5dbCxJW9Qfkw9yx/MnyYaZOWcf2aGAr2O5kpfvfgBOip+lw+ufQr83gm9tAqEYOm
aKeJHGOIxJ6a1jo/Ks2LhUO0UR4prUU24W/A4GUb2MK8+MJM8SGd7feyrQ6p1mtXQZENWaENciRd
orLK6K5yu5iRGQoq1gUyJYg789F7jpH9WJnWK2Z/hHYWiSuZ+5WpTVhViMZ8BIUNijkHQ0fd3k/S
eLAR2nbez6GuiGyvLkil1rIzaGQ527mukwsMhjLdWcJ8jkvzMKSsyiiCKmZoc+rcj61DNGr9bHb2
Fd373YBfyTAoCuU2GrMPpLrUe437NRTBhfp3GWuN0G6c4XtsvN1EiZOBQ6jJ28yAQKzxlPkMIBpK
Oy8t7yTQkKKLvwN3fMwxTllhyrbPlg+u721Quzwnib1uCpoGy0dT0mh1g2JXtIdFBIgBcYXA7Eda
oVi0NLLxEf6JDX6mNorTWNmnPiC9R9RoNOw3fx40cs3wTXNHWt5zQ/vPLQOaIIqfw/qqdP1JLm9S
0sMNF6/GgnsCr/cw2Po1UtgJO7UNQqY7E7Y6x32hrHile5FTRrF7NuLwIfMAUaQJvHPluD+eao+I
ydKwhsWPB9KhyB4yjCxHoamn6LhckYQy5HQ7IOpzh0qERYOUZqVn9lFVgWWRjyk3vWMEuiBFFslG
GU2eYKrAvZ9up+ivCQOhESvnihtXuurq4upp40dS2TsjTtqDEToPZb+4a2xOfJR24zabwjPugcuc
SdZdkrbbqvlVwXqntlFrwTU0MzS77xr5FhRKHSp2ERgfZ9Q8HaFIaUDwtzHfLYa+zAgP9lCzfTXj
z5ayLoEWhlq32JqWfxFRvadzRRkXiTs3ToedvPP8a9tQFqCQZDMfX6kdv6QSX4Y+Is9A1qy5W3h9
kK45e+6QbmLJYouGVYnI2Lr6QjtKwKZTKyJNGBEzdd/FQfdQR6i3e6N687z0PEqCusLO/GoNPT2b
yX3jo2kIQsQKYe8+O5F/5dZHRjhTGc+UezkZz54y7gehX22QvyyKdKvMOtgZiX0vXZA8QzV/WFmD
pEaQWomikKttOHBe7mzw9eu6CNBJldk1MX3/LomscwbrcOfXMQOqhPQ2op9VmGELXVzt6JCeXTxy
TBzsD1GBT+zqb0f1IZBSMBtV7h4F0urUFua6yqrPKoQGrXHqzPKSBXZ1Z0ZJ/1wmZCAHeGoXSxz0
M/Y2BOZFM3hWXAkJzEa4RShfPQw7jEbPpRUG+zFy2LdbxK+laEBzSfZUPLeHrmbZsGh1botMX4RW
NLwl/ACXLcf/ZO88diRXsi37K42e84E0CiMbeBPX2kNnZEyIEHmptebX9zKP6pf5bjWq0POeOCJc
O5WZnbP32sX4CPp1xXQLCWbevhmuSidkYkM0zWqwyB2xUd8pM9pxCimwtZ3/qqAxVQ0hZ0hglngN
Sq3aNHZGjZQuQsGs2RQngSqWrCj+ynpO0E6SOFHa/avTEqNZDI9pqhHaVdfdQhlrF6AdSealU3GE
ZUCKXandd6nIVzw7WYeChV9mE4xitslOCJ/V3WzvGFPlInUFBYG+YZXA5MyLGWwH2abwcuzdNDqH
OiRKqCIEzLJ8jToK5Q3UAf3D2H0VJg3qAR4wI/dAtQr1SGcBtAz0YYU/dl0IUBVlNp7akkJlWjaX
Ia7v0IaQd4cEEdLHuK40qJrVpw23jTM4/ppRdS0TFnTws41P6aPGkUa+GVISAzpX4qQs9ccaWYiu
wUGyuuCu1YN7mGgX3+05qj1J6sOE/plVDnNBYiQNqPXkj8Z3ZWp9Ro0Xo53uT1FBeAlZKIlAdys6
2Im1rOJlUSqjVaLtc/HkI6Cce+LA3LRZjlN6IQpD0ndu79PCfOq0guLApL3lmiAgUuoozKTJagxS
EOzOM4RI09dwh+kOCXkYVRvdTLZ2huBRAk1sX4omoB4bOOvSizMESP3SEib4iozKaI4sAt9AONTe
l6aLZ2emIuXExA1ldk9mOlNMv892vmTdoUVEdct6zA8BfeIywHcpcXysc8nkd+xABeF/mcW+8k+p
0aDhqj5rzRJrn0NZLZnuvZT+olQ3gZJehDHpxwhI7kzCcHYR7DgtiZlbFNA7h7D5x191oLA7is/n
+ZqG6osaesRaZ2W71D5vN4SfOLAylBpjqjgAb3e2XkTqvMmp3nDNpEMZdRuTgtUeYy66r864UJCx
CXmjX1rmeriiNPMPwdRNxmf+VvB9SwXNwCMS1a1ZbJAbZU0EPFJOrg7l3O9QZk7b33rK219Dy6TG
nfZk2XC5R3vYFfeZUUUxjoH6CLqUpcjt00ODNh0KiZWTFyrO3WXFfhMR3oRbt78oif9DWPj7Pmah
K1qMYtfY7MReNaAHT/pkKM7uUigrCWVoOnUOAprbTQhLbUln5YephMWj0uPh6/Sm5e1PtDS0byuF
OXYjPztELeNPLuxTddMnNxZIOPCnW8688tBGdCbDEkM8hjdEKKrpfLvpOGvwWujvv+8SpKwxyy23
legoqf1+oJzMf7zqdh8RPrAAWy7tvx8YChoYsDhxlqJtoQLYbFlKFoffN16t+sq3/yOVL0sXEpEc
Z4HbePTVRadtZacd8gbBWxsQruRm1aNM/eyMX3c19xqj6UABu8r8YyZzwnhQUKQ6TCWjM4yVrqxi
dUsEUpe5qzDZF9g6uqxroI+yWIk9GpRlRuYjI8F9ljPwI6bXlcj+EpWqGc1YuhjFLBhPh+gk44AI
xJkiryMSQEu9g8FcazEj9nvWBPYJQNS2blEvl1SltPERQz39bWa3VCGdRWC5TwOn4coAbEl3NXue
MI9trQk/DQflMbbMz0gwsMBo6zfJFD/h2ClPJNdQoKetyzX6MAWjGgSw8tqC9BhIg3cW6rcjqV9r
o5jo1Of5ZnYrFP6jSV+W0tCylMFhNpGGc5krlnMPIg7i1LjMEn2Xo1g8FH7/s9KyZ31sxBqztyK7
d0N2zzoRhbqN6ypVafVDLZHLkGBeNVst7rgpmMSJ4IO1b3pXaka0cfzUo2lDULQ1YCMrvypRXBv9
ElhiV5ksVcxpm0rqnpn9khg48JPa/AVy4bFmUZ1W5TFNp3RvTujLNMtfWin0Q1M8JxWRNzbEisTF
v9aRBgZ9AwDe+NRM8hAnT+AOqbeYw9XvrAevLveDF1/0aFqVVfFCMZ71PlxYlpL584REzJyLedl3
/VuYwb/hY0uXjLk2axbSKfVVGMVfORK6ngo+jbjp1YfkkfkqDknPHm1L/rA0Ojg9RVn4tq8wMqDf
zPXXUJuvLb/QjimMoIQhM1U0iDOoYRfisW7hI0aI+gLSbq2p+aF+3RJ+hntOHGfeenP7LvvgzoM2
YRc4dCntHgbmE21/iQOXlZu1yHT7qfSZ/8ycHmmZwj0q9WeiPLa9mFklRt1XM7RMr1jnUgFnrBT7
Ure0Y9M+QdLwca9lLdczdy+qaBsBSUVGzShfZfViiLJfiWWldEz6YkWEfRwV9TIMakZLe1xMPvRT
05ieSuF9OoE9H5uSGpTRDTnezKa9apMzQBrD71S0Nqv7sKbigCSLMr2rSXtpJm6/Q8Tl3OVUMcHj
KiOIjY4oz9dZ3XbLfOYnEMeyUZuORpH5XmFE6E3t7ZJBLl0JnyaE7OxXzRlWQes8Gl28pUtpneFS
LOK+1ZYErMF0Mij4+tW5dky4DeyPuogAyYZobzHZouJ3f/S1/s61EtJHYeJPhNto+fzmqkZG00+f
SU2mlJZiw0Az3w5QKy2/fsJISQFhcpjYmNcgx3s5DBUsLurCoIntk0GxbufIQj+kbfwxETxviOY+
cpq/ZEIhdIY0N2UAZvGgIaDGvb9MaETo7EXk9ESVhqSEw7VdFEQLVpZ3mr3qwe/MryHrazBs1FwL
xIoAG9D88Yd6CHM7oelJ8yUa/BOu9eJEnKR+1HM6Fi+1NK5k1QwbrEjDura0bVq9sMjylvT73WUA
mXxpDXW89/xg2SQsKbPMfqKjbnGQUvz1BsnKzdSoNqLlixMsm03P1Bm8cYWnb65WNqxjjhN2iVsf
bVn80DX7YgFVWFFGgIH1A6PiXljDtTWCTdQ6fDJO9mUSdXttsI0dhvSnOITm7ToAqIOa5h2Mh20A
6YYjiHyDKFZzd1ZbnthODdYCSIgs36GS9K9aaJLG6TKYHxNpnOraeauYguGEMRlLE6y17kPlOR+u
pHPDYYNC8Jco5vuyupOiWE8WZcDR51hUD8Q2qcd55b+qA74O53UXeWvNCvampaH0IXkXV9V9kqDr
meL3pg92nlNs+GrzqnOoxXmDfjehNFOTBQKGp/E5LOBzxIn2kKH0LfsPDbTWwu1bbM36fkLvtHRq
8D2WQfMQcKXZdESWd2QjliiIKkkYqKntEme6UKe6d6SjqNn3OZHDea68Xub19rlTi01fTxI8f226
qWXxEDbIcwWqBGNmym3pePgiRwIR15HV0LredFb6LNHl0XUNGtQE0y/Na7eFi29wpKYCK4Qimy2q
ddw9NJJzqdclQsk6P3u5/+CQH2FOAEAy692jjrtwbPsTQN7dgNKpqavnuIq3TR0e7Vy7mF5/iEKu
iqOHDDOm2E+hKGihUNKFfW/S6aBN8g3UyF9u+qHDZlvQO3vK0T7AtF7puQRPW9B1r3UC/syBojAV
1lEHa1O/UcZlsejGLCPbbc6FVsur9zjIHhBTXGt8AuhW511LlNmqz+S8Zg5yAsd80D3rydatHyVE
a4dwIpJ2u31EiAlZh/JtClAzKJNKiZSipA2D+R1oCzQluq+H2HbWtAPfsW5n6y4tn+N+PPTRg263
n3rAHEcky3ZotinnCQMt/Mz+qjMYGCEtGwt2WkGZ2JipS7qlgrUbdNtrYorjiZ5YGYttrc+UmAtx
diMMq7r1WoHhoXvlQ3dtya6fcKBOCllCL0W3lxjTf8ZdDwq81ZcEw17NsIZxEwPRa/Mv16WClFjd
q5tW66ZtPqrJesuq/CVPmRZ00XPl9D8tCV2kz8d75hr5hvWjZAAgHDEdkvewNTce3Qls3DQa8vrD
Zn/67ig4GbBFF8baTY1k506PQay193Ghn8pxJfSqAncymiTWA5tlpAHdU+FTtTmVCnMVSfZoCX9u
nQ8RR4JdE54cla8U9LF9RjoNr5a+pJG8txWKAJ+BgraYuXHa6qxn9IstNgxyAvSUPfbKQQQ/G83B
gFEdc7hvC8tlpERCcqTyemdrJA3IcB+P1vsAWpxN/YSR8Z2iWYpjvt9ig6XanOWf6vz2i6BaNq2z
pMRWYnHHgzBazpOly30fgoqKHLpwgzmdbEmnza0dDGJCQl/C9B/Ilvz0LmEBiqmiqHgXW3vJuWrq
DUQcJ2PeYtfWD6QBOyvH5Kc7BmGjlIxv033ZfgmH+hSqOQLVNUMNzQA+IEf24JKXOGiwzXxqFt+i
0YwP3FzLGTcd9isOH4i5CHmWorYxvMHlTXjdTjuAUX5ORN6RNJagAnbv9ASDCY7PxsxU22ymI1PQ
IC38Jy9yXvWQvkDgj+cp8V9aHR914yZro2qOfhcCiMjLX1OVc8kQhOPGUEejJIOmnRwLlkNUFRR3
D2e7NGNUTfLdBGhPLr29kmMM/KGJ104y7vLMWFt0+MHAB84ypAyCRdwctoVm/6jmaNhXTUaVzqA/
KaMflZivHZPIrU/M28ITyT1TIDQKk8R+RsLlXHtLplvQtHRszIVJj7uDJgOjYZ12l4niat8Rij7q
zhtu9BT+I9cVdq6FEDR8qCqUuIZKsSA9yimCaxE2r2LG5z2M5rzSECY1BBsLfP9bw8wXbH2SFAPs
onRvlpKOK82gY9mwqiga+wL/lEQfd3zmUIC8Wt0J/L97ZD/3moyfB53MTuQ7wTLKGcgqv13HIyAV
5GHViskaxqicX84lap+jHfIn6j6NSp0sOVfwhyZM8qSGYMrxus0Q59WuDPbzjIM5YEGoVybt+YF2
qdFaA3UC586bEIYUdnROqVtt6TljAzCSB7s0P4DHxfDV915yqVlk33fECoxhYO5pmYEEY5e0GTMb
BqwsVqz7wJ33FtEFixLR5lzGaKWo5pVdxjwy1Be1Nz63lIUGkT+0IF6rXjhLevgvbUMCh2m/euWn
00pSMJvIX2DifkD0+5CblOlqepZTEwwPfnIPPuc4UxNBQI9Qleo9LJQBdof2Vz3PtJSiweGyPHpQ
4fq9bXd/CQ8fAumnWyvWny3tLYV1rhOYNOSCXGFs4DTMohOBwzB2gYEzfTfXEWhtMacvls1hnYOY
0yi24T9cZW6abzQHQkVXBruhaRXXVV9Zk6A42LYbHw/vmno0WClsO4vZ1LkmTvkqNBlD2GvMbeJ9
08HRDimiQoJFtO9Bhwbgheh2644vlGeoEToa+IW2/8gFbZms9B+HUb4aYnyhHPHc5YIBrvLqrZY5
lzHvqEVPX0ZNRTbF5g68mN2dEjabdX7FZWI/l3q3TdwOVe0Q2CvGUA7TtLmLHStchEWdr2TSK3LQ
vvKo1Qdu/A5dRCmUXzEnc/B3b03okcpU05cvfUh07nCmIX6eRjoHegUen94suvZfTg4gIvHpenQd
+JiB5WcwZ/iu5NWNlFdw7o3lxJC9c2ZxtQOLiRalTpsED4Jm+kHAnx6Nj2HKWyLojRX+9x1jX7At
jOfOs7IlbWLEJyjKNyaZNm6a3cU2cu/c7O+9XDz28gvp9srzXNJvfErYbfeK4dwv6+yc2kizlTwb
3h9SB5mmW9+fT6aOXj4TiulPDAbt7l0CAxa6N7X0Rt+x6oM3BV2ChVg9rp0ie44iIskzxM+lVUOZ
0ecRbvjSx90PxKFYe12A+TdyPqxpLBdJFjvrPjIeQkvHXTfkXJon57X7cAsiC5KKbhIlxk4a5OBO
KeWeliUXoSihz5I2GZ5duzqHwoFm4TqLdiZkxa6eI7+ptl42PzpCSw4kcgGqyNN43YrSWnVj2Gzq
tBNrVDJb0bZ01vKdYbYw5WjgzIEPuz642jWVdcOP3h1XRPte9NdGs+nOE9GySkcyvEM4aavZsrde
3kv82gDBHP0Ua1BqQ8oryCnJsinqDpyXhVwx3dHM8dfFNPQ7W9uJsu9UdAENxLhHodfTww3KtamP
Xzf18f8Xav8bobZte95tS32O/yv4VfwTVXX5nkZ/ce7+d5H296v+TzwrGazQkAxpew6CRooS/6XR
RoH3H5ZuE7RKkLWFdxNN+D+4qpYAnuoKzzPoDbqm0M3fGm3xH7ZpuhbMCNc1pesZ/08abX7Pnwpt
na+F5NZBBm7qpiUsld76B1WV9KWCUKNuvORooChd6ZuyHa1Tr5fjNigJOyisMd93VuSuqgi4L/nv
yI9bonciv3vsfaQZxK5/Eh536rHX4AHLL5FDPFAId03k10z3tINvTW+R5pbI6sgzhre1a7zyeWBe
fM3jabx6rets/tgRd0XK/D//H3mX3VEzaJv//J+2wsF+373/4l/1w5CECawxlm65wlE42T9+mJVP
ZeKFXX8JhJltqUMtRUs8vVXbcMOC/FQgx1gZcPu2eQ34pOsa91QPo3EpQ+tXG87l0Rv7a+GU41kY
ab4zO63duHTqz0rHpA91dyej0Fp6FiQymOM9Jig/PXNd/iLuJdrpIxBI2RkIFSnfUIHo1/Ra+yPp
MO3W0fO/SPIZjjVXhsVktWsWTQN90Tw+mt0QH5OWZegoISxPUxKs4ZT4RzMciPDS3FXj9+Yz2AR4
KhIlXbhmicdkZXK1R2cuzV1u0fgMSPb8N9vU+Zuc/7ZNWeG6nvBsCXxA/9s2jWToOt7UXgJETZu+
C6ON14NPCloZPPWBvrRZrR20mWUSLZ5om5fxG/OQL9cKmm3kVYL6F1lUCAWvfQ9Evy3aDqBXLxas
Veuxth+xaSUPxO8qSYR4ZowhLMO3X9Gf98SkUtjqyz4/BqO+poo7I9oBUMJSZXiCLoZAw8E6hsMQ
Zx6UxW0aYgCUIisu1miEW1SLiD+FZ1B+ctMrOL2V3vUt81Co9YtJDMaTKdmW3nznhk72MjGO9zIb
Vi12pzPC3uvEtFOWZB9E09zC8bQfksidd3HYZi+ivVR2V51wNDzebE2/b3ovIkt9iqPlvz7GjX8+
eaVF65Sj3OEcNsXfkMg0egNYqmlzyVFMBHNxdKnjsulibVeH1GcgQ0ZHpkrOeeytaJsQ5uj4+boS
4bElWgG0pn3pWouePcEsZqhtUdvistRf/vX3VC6PP09FaeD/QA7p0eFVN+qw+uNUtHXatGUT5Bdd
IKuME/ucU3he2yE4REQH3r/5OMjS//x5ni50abnYG6X7t1Mf7sg0V3VYXFas0MKrZvyqqLcsNE3Y
6O7wAkxtgkHNnL3HihNqQcjJisl8cfTQBgadpT/IB7wiwUtr6tleH0wuZ6jfWDymbaS9FCEFXVS6
5bYg533dUK44F0wpyYokXaLRfef8b7bf39DXOltP6MIWlmk5jhpN/vsGlNKMwiDPoottmW8YgMOj
DDn4R9eouVyxVA6cBAy0tPs1en3tZHIlOtZzJ7ClVA9ITlAW6zQuDF5kTlwNm9K4u90klvcLso7c
mxGn4GTMyWrQCZEaZ2aHTVhvREcWTG/w6wAPD5uhY+XuV8OhcikU4uA1DjP6y4MeVdamqWV60SUT
YpRjSm1BZQfD5WT4oIVi5l9IjdxulbXLwJsbLgFlswnKgTYwMmbQNhQCWk9fQ6EdcSeWZCA33V9t
Q2SNVkP98RlQAUdGxskls4f+VjLvAidl+VDQBUCblF/+9Xa3//lAcqUaHjGLwz6Xljr//jhwdafD
42j7cFXpJfojijo86feuXb8OocaFt8ddN9TuAEdx+koMN/5l0n0jFmCgZC4N8DqWcw21WN8ng9Zv
WyH9B1jH4yJSz+1pUyMb/uq65EJA1X4UTvwWq8pUBkr6SjThdFelME5rO+VKBD/43TJ8CSv4wapc
MlHqBpZgP0tKO9NdjFAcDczcYZBiPYJ67ZGpPtRsUYESmV0Ua5We7+jPVpvcGq0dq9+1Rv8EQRz2
YsvJ0wuih0Xv1z97VOVXFqv1iyXva4F4123s9qwb63+9gQXm/b+fq6aFXBe/GXMdQmYkE50/NzE2
ddan1LfOJNyQU2KkxhEbrnHUG5zrlASNbTo77u72wO1mdH2EDZp6Tq1pU7X5/RrDh7Mzl4AF/utt
/niKLWMEfbc3//1ufcMsvJdTufp+39vDPlogoobUR3w/c3Y0bUmuG6pchzrE7U5tqBGfi3Tzxwtv
D3x/5O0Lwnj3NxB1X77vg0TJN/j94ZOXsDN82en7JoQk8n/7Tb+f/Y/3Nb5QUZLIoH7i7RW3v/74
suqB7+90e+T7Q7syu8J9N2qKoXbrElKlnnZ7gm/Vrva95W+P3G6m2+a//WlxyibVJWSM38JJmNdw
U064iY6RQYCOjS266c69Ctbp4QqsIRL6mxYy5HJgHvvS2/NfWO6TzdQ+T9rwV1+A5+oS8xRb81/6
2EKkm6KnllSfVMX7hMn4UVJaWlFNBQmOYZ+cIUgZevnsd/ISN6xe08YJyATNf4iI6SoNrDNB9GuM
TMGWys2RAR9tmgoeinNtTYgKmDuojDRsVDxRxTQBMdNFCKDf03hPIxjoMslvEVWAdnAwWBEbuZxb
BCyJBHPiEoUkfDqXrj4+DkgcyBLgPSKXWrxOhJKKUoJehswmOoD+RRsunB9YZy9O9EU05aVXYUyR
qe3ZbYStOfWdQV4T+M5pncSDxOaeU+F02mlFh32bcRpQXnbB05L9FKoQqAARHqfvm0UAfFYrqgct
IWRjS9tUAVIqSiomU6q/hUu5xExljotgkOCpJCGBSkVRNSqUyrOM1/kWU2UeElNeAih9R63Vs0Va
TGuCHLpdrdIvEVifbApy3J28JmiPQhWIZaTjV2yXj0J50ApHPMRBffYoEKvK58OsFFIlgr7Kw9UI
bEfL/Seg8v4qgEON4m6dd/2nBBJaq6guYqFAeheVeTWtN0J4l35BrFc7lXALsUi4Kr0MSfbWRTp7
LIBEC4NOC+FgdbnTyAqrQ0LDGLGPiYoRI5OMQDGMPbaKGOvJGpvj8TOq0gekCNoZd+x6UrFkpRw3
eHFo+siKEtjIAUZU3ICI7pR1RYdm295TfENPC56qDtqdEdsM7yEBmva0dUj723cgzriq5wQOtfQl
wPeKhWhwDMwdfW6RcSlO5LOhItdm1QxVFqZ0hKMgmm4t54LEWVbnkKPEvlbZbZlKcZuJc5PEuqXj
i2XHX05BJiQs2DVgjoccJMDJxVVHeACMF7IINxVhcbHoP0wZnmCkkJYZPbSM84ueeLmcmLkeBIpK
nYusHJqc8qtY6c7XiFNL7ZcRN/x1KMnVCamDl01/V9/S7FjpzcTbIS4VVBwcEu/q8qKpDDzkavgd
VS6eJCCvh7x18IjM6+P8ySRCT4ces2rosRHxRb5eq5L2phFrHt69eBnP6ddsofQSKplvxOuikvpK
ldlXEd7XZW2Cu1A/BarUU5PvpxP0Z6vEP6wbkB5DNBKJGxwGUNJ5LD96LbhywUoPbpO8TB2AN9Ip
Jsoi5mHyp3wNxPVAKAF5gyp5EBv7PTzjkVOL2qH/njlaSxk04TgAbMtqHZzaBL7RCaZL/yTj9GoO
0Oe5IMLQzSkcztTTMJnA9RnjS9dYgnqfVS9iu3mqwGhvjNk4aRKWxCg5lUdif2bmlwvHK56ZbG3i
2HsenCDewA09GXqT7VtR/eQYQhkAV3NnAryAngApuxoAcs2V/VOjR0Tnj3iGskyEykoGxgcofTEm
J9cp6jUJDcYCbuijYIaK7SPPdwrHuRRahcXQc38NTYV4x25yknnlkeXQh00ibqG2dGQ7ZFS62osW
Efw2OcGPnhhLlmKwT2eSLa15SzvnjHEJIqjKvpzGFAEnaZi6ysW0VUJmyqoIHXV8n8Lh6sXU3DXk
PsS1tScNMGIHkLTpqMzNUqVv+iqHcyaQc2xJ5uyI6Ex6NLVsyEZld6btjxDW4ph07qJW6Z6w3OuV
R+DnRFxXpfI/faqGcakyQVU6aOjct7OgSzuxaMTbe0Qh0C08IkUnHfXHiGN6axn4lytyR3vcdaSQ
0kGSXms/Rnq6pQEDzFcllloqu1TU2SPcZmagLbmmrIt2vko6New30M0nWtxETufmk01es/TZwzMh
qe4tLVXlptJXeRSVpHvdwoERKl21N985wfptSlcv4cK5nFQSayKqbciselYZreVAWisJfNuMjvGo
clwnlehaq2zXWoW8JvoDesj5J1rmBaQP6o6eUvWZzmtNRCz5ceuSyNhOZcdKQmQrlSbbqVzZSCXM
Dipr1iJ0dlTps6ifJkooJNLqkbcfTDJqO9N8NFRqbeTTly4FSbZT0SKQRGBQqZTbTCPTkwDVY+uT
gEth4k4SiYvFeVcQkasTldvlyS+jU2r+ftzZM/pzg1hdXeXrGlTgyTiEpBmVAIDikU4QxMuVpZJ5
gw4AqJ3/cFRm78xBvuiJ8XUQtDSID/ao4hvAfVxgAFVYnzBKd9PkG6/odlGq69aAud7TLnCu9eXt
Gbeb27/JnAdX3QnHow9AmaxpXqZeb7BhPl3CaQjAmbUHBJbjjmx2uQ2QmD5Frf7X7T2aYVIuw+5H
xXi6sTKdjFJPaoDW0nw5q/fIca+CaP5w4iRaFRjuL2NbNKe0M+FxerX2s8+guaivLecMgSdj+D3m
iAKMfYoPOQNwGWNHWMwyfaevUn+JzDg6UdO+ahaQXvhvxYmyy3CmTzpS8MblQx725vZUNj1CHAq9
SrmMXrIZwJPSibmvLQ7d73frYT816aeQaFrwwepXPXfbA9FqPTS2znyG2vdqq8+lZX7ufRm+orBr
1qMehKeha+1zkDBklBZZzNhb1oPhVF+jRA05dVX3yJTnOLJqXk8+iWl9bxj3euejCVZPo4dvWqX1
MTUQRc0ox6URjMbBblq8lnodvUjhvtyeaRNCFGeh+NEF7riO5GgdM9IXLxD7Nbi8htejz4V4X1RE
brhBRLyyY8aPXg3JTkzglmXraPdWJYzF7bdYtIxrPW8+iCsgF2B2w2snC+/ggDzc9DCVWMG7T7cN
ZKTVHcNV9SO1kURzHgzHKqnqiy2HeFXoon4vCnSdaguVDs0HQCr2Q5n46Q5hU7/Lu6h6SAHDf29u
j9muG7r+O+V8D36rZl0800mOmpZq68ot7BffCx9v7xZ0wQMEZsoGle6u65J2WsZxR78vA7nidNZ7
i1bve0O62HLyOe8fDH9uoNeF5c4YWv3BLzCS3d5twDxddi6BrQHvYTf03TpjKk+NXoE4mMZpGepZ
8TlYP7Q5Fe+9H+qrCpXVCS5DS7+NRfXtCbl2rE0r/YjJ5FxpGkb9XtPCC6Y6d+lPZv5JRkNaD8ZH
5pARYllDcYblYZ77wlBp6HyEMnFzwNE8j1ep285n35HNeeicbFXFE+ZrXBa3r1J3VFdb6Z3dto7O
xEjQ4isAWUnU/Ce/392exZTPXrZ81qUYNfN0e4Luxe77pD3cvo+DAWKZT5F+SVKrPXmNba4GKILv
PTa/7y8UwgssCpLlp9Kgq6qkOzny2zc8mt/PoA5RL12kq1cunvi3VUexLab2rRmb719tewPyp8gw
rinL6WPryXIdcsX7icT3+2fT74+WbKDwLnDt7JipS5Na3P90ooKnsmHmlt0jPJ946cB0D2S4CDRO
afgzn7rN7bf4kCKUuhO1thaxNqhmtCs5Mic7IvFotLa392k1WyX0Osm9PdVorRlzN46jxa99APRe
7aNwpJQA73u8b4QWQIQiM5EmvPjB9OBwe0YStBgOOCXu56q09oLMsU2M5bUTkiBQGKb2OI/vdA09
3BZThLG7EA92pX9icB3fOXnQzIOgvrqosc56SElDqhegYKKnJ+3nVJj+TndY2Pgh1HCjOd5eKOyY
zAnqGgfG85SGFN0yx82fbw+ivQkpoJbOZUBifoHgmX2/a5zMD8Ogd09x3Th7u0qtNSFd07szMLlx
gvd2rLNNp4fF3kv16llQ4Lt9faAeA9zEzDzniCauBu7Yxe1r9v341toyeewa06SF58br2/244FhE
tsPPciqYnWAR2A0jJuFZWrvbVyScglSYYDJOcRuZd3aA8+/2SocQFYXgc++j2BHHfuJa/f2A761E
2oWvLir8ba7V+FY8J3nVI2t1e0sILNPKJV/lqOm1f99OIAI8h0WahsT6rsyNFtV4ZdyVTWSe5nbQ
kNvx28cy3FPmmV+K3GZ9Zozw6gkc+lnqTO27ab6jzYGmxSJ1ayxrcSD9MnvsYFd+fysIl3DriuGq
g/k7uxp9gdsDTThfkkDmz/3slPvWw88jxg6hDxhctec78kCQF0c2cbUFxlssKARVFw/fW6fpcjg6
+EPizJc4oaC93961NrpnvMT+ozSG9DAST/W9A1PtKBjo31ySNzemmXPIjIXz7NYRy1N+pGZoBkhd
DrEuGPzr7bDDmWq9iXiri/ATWoT2EBgJsD4LqazJ2N76rkTNjioDkWq5r2PnDcIVVESTXm4RBkxN
6FdvHauQ5zIhphTxIckdfc+o2j14kFL3sTTbBWKQHsClsR10+vS1R3Q7Mz/3Grfzw9TW1rkgHU13
S49c0q5niPlwpgQLYmTNa3NwAKA1g7WCBTitaL+8SbekPWOQ5p4NbvFcuN4+Agu5yPzKPIy9SxYQ
a0CYvvIsTVbVgdXBTEPhaMyif9RS640yxi6NXfulE1iahcCw1jmt2ISKJtTYJRxh2KWHuU2qo1/J
8vsmAJq3kNST1E7LD3+4EG6uhA4Ecj1W4fbmSbg95e9uhdv/v29+mxvGzgrxws7H28tub3B72tzX
OB1uf/6+k8s4qhBpW4sOXD5rJ2UzSDAVAjAgm0hrKBe4zXTmvQpY/Eh7+wQZnMS5G0WsgEKtnVFA
ti9R+Aox3WNCjIa1diDVgY8vD5W6STqduW7ZM+fPQR0bhMUAJ4vYuLq2sl3imF020SZ13mWrT3vN
M4ipr4lQni1YI32XdgwCY7x2+6u0EGHdntArqmcCLfyQqZvbX8lRpzi1M0fxmJAWh321ObT6r0LT
+EGhggLfbibQ1LPtoVAMBrgDQ7sOu2xaR1X/GjUBAcREeeBZXTSShAPLrq6ZNE/ytwsDwySReaSd
FAkObQdI7SKu+ufbj6M6Wh6A7Wd6yZVjKOZDa30kLe+qsVLZ5DJ6NnrsdE3TPulxOCIf5gXtACO8
MnSduGPisSOj0Da3+26P5g1TdMcExNtNyQqA9zKUSP/yXK6YKAQwBpe3/Rb+b/bOazdyZs2yr9Lo
ex6QDFpgei7SeymVKVc3hFRVP72NoH36Xsw6pucAg3mBuUnIlFRSKhmM+Pbea0MEXZUVp7gSFBGe
jkSjBtfZsh27SyqUFkJqz1EeQDgyu4tFbj1vOVqCf1k/oiieB07xkUIpQ268ZaF3y4A6wUOQRumK
6RXcufn18ee72xBA/iRSYKX4y2QAcRBZak+CdieRDHeT0RbrkKUKiUXPOCy37cqxGTkkcQZvYXK1
pdORtu1Uc22tot3qEUJq0mbD1pTuydFGUAJxigMXFRpBpPK1DVCgt9iKN25Z4w4Kff/AYdFSdnwg
6D2zGHWwjd3AELKLsRF6g7GgyaU/VDMlz0jMcW2AhAKxHvzspfyVuAEQh7ZJkdfExeqI6zSl85RN
oNDNoX97oL0fCG+p1XjF5vBQg3LGiF/ri42KaIlSqTPtika8TbHvnIMMSnPrPmtktY6YvdgfJpW3
b/nSs+w7wo/StzZNrXFOT2xrnbjk7IkkttvAxePUOmATAkxgZpeShzA6fy06o71o8ZTsAQm+Kbud
jioR2bGQVvUyYW9bxWPonG2nFJtEaNSDt5G9RIR0Nxj0xKFrDXEIBsBXI5ywGOP2yeXWsPRHTWxx
ExRPXmtvipoBMSnmUq/qeKGP99Dqg+e0JOApsgwsNwDZFw0A54L/pzo0LTPbNCKWb4woHImNsSvr
DWNXzdj8yPLP0MjdDS2TLCcPVH9bl9lWivSIYbzED8wDyJNnX+rEn0oTugVmvCghgvWvh1QzimVf
AkzTXe1nmMavuu+pJRuw4KCVLUwyjVTZgNjAQMSlPeuga1zybvfD9lJjMw7mcySIvbnS5gjuJUSx
Oeisa3b+XNcd4MsIRH9nGs22F+Upn0Gg/3ooHTwCUwMiV8vL74DIC9AqoteR4/35+bG6AbPsMjqD
qi76gz5/8M8ZObWH2H3zgVXgmKrUQankKS4I/mXmoA6PDxX/fKuDcIqqYL9NM40+G8hCLkKDlBgV
0ZJwn9DWujt8hCmaONOa59yIda7EEApPGwDlzOTccPp4nbtL0bAaaqQXHpB4FU76vgcadLTJiaaU
BeEiDNgcudxGKcBo/zw83tXxsGSzBwwcO+Nzp+zLfT//Jo+HXGj2Kiiwag1UJhym+aEKu2ydE+NZ
GHokyKGUl7LT7w+gPdCa7vB48Chg+PNW8M+3+GYCoydaPuwUKKMzJ/PxljUE//Pdxyf0yl3hGKt2
4T957cKPua/QxxBaMFIeUcLHQz7nGgN2bId/fcwjJU7eO7SWBCMaIByUDUUJmaXIczEgCue1DQkr
02M3EqLgS9OZJhqRdVraOdAhzaL8Y8I+7RpVdSSkjA0QMgZQwXRgNOqxtptQSasFEqhJ1W35ZnUT
gxpLvwaKSEUeULfRG7CF1ch6Ec4arKbIkmbNLJRyR3w8OOzWF6Ue53+eknZmtEIfY0o5vyoev07a
cA0FHNd1DeqS10LbSb/01k6Odge+YzT6XTuvU49lq+XqXJXMDBFCgmfGay3lj9Abw6gfDrZlDQeM
LgFqQF/gaAZKmiR5uE/BqXBEYtEG8qaWZqHnf3/fx1IZBm22N/HQrnSmaksrFwBo/erQNsU6EwH3
4ojqAdWa5L6JqxU49tr7ow7m0RjwWA4eb/3bx0KHF6KvahRXXhetotOqwm1wht2TABtr6Pso0+KE
VggJhTohcmyetyBQOGzdXFeouxzGzNK6p8WMgBwS72lwzE3LMfcLDYaqQ9+yGUwrYogBsO++1k6E
8o1zO9B9SiyQj4tw57hTehK4eA5BDSeJlp0ffm6eYyTWe243w9HrBBiJW2T7w0shJ/9S4DEoxRxw
gA0PAghtyUISp1DUkNsxDsenvq4wCSqqTQPPAcCBDYpMgUk+DVdCxCyW+KNhl9scUt9z3qc5JG8z
V6soDxkpAwOCKQG4znD7q8mEd00Fmg6Rtu+vdH9zjKL7ChbvuDEnrXjOm4IpsSOeA4+6NNNHumli
bPwMXz5Aj5IMrefVOhnMJdGm9GTgE4NNKcqNY2bpya1CUjkRLTFdHvr3rEt+NXoAmWJ+j1k8W8CS
5omMgpCl9G3rfSis5ai5xo/W0pw1eFPcF2Yev1MZSOyDj7sVAarBjIy9I9LmrcmbbVkm9ovfl5/N
GJqUpQpmSrVyduaIAcacyOnpdvNuofPvKxyUNHwU8r00Jns1hAWi0PxZL9Xpysuo6qko4ZA53NJF
ZkTaXi+5N7s0nr3T7XVgO+9/1xY2UkdMa6oZ062uq4hRzibOe6qYL6mTyKfHg5BVjHli8PcJeDbG
laXxpbQG8wDRLsqviLokbDyknY3PLXI7Z4+3WmnemxhpKi8oAEZIaddaGZnP4fzWGE+08cRDuWss
EC1I9Sm0L2u8RiRXlqZNX9Y4jRQljp3iqZZ0XWXJuOgSQtlGNQUHd2IFytqx2euRTd65yH7nTauT
J6mqN79L0TZiybDNmjS88JjOPM8CvJiOsCO4V3534c1Pu11YCf1t8OKDHAg7JU5Y311zyPbF0DVL
HFzMk/WLxOfKDwEwPjHogoYuMGH7G9Q5yjIMvqCcFxR3cyv0lbw2NYUu0DWD3yJV+VpKrERreBL7
vqmrtwaBAzB29mRNCaYvinkcv8Aqa5p3Ek3q7hA0dillikeV7HHWyqeC38Jxx3ynYF2dHld67Hji
SPjQBRiqRr6Gvxq3uuIlI4JzFmZDsynvGS6mPU2vUW5cmFViNq4HU/S004bMeneHbNtMZf7d+8zZ
gi4JL102fNYDgSZkUWbftnD3rmebV3t+mLrpZCfM0XPdogSZU9/SrHmR+UmmnvE+LVusFfDrm34V
B854FfZUEW9BbQsEFvMSs0gxImibAXvPoCvEh8mwchENIAngpX17kq0E0QB07fYT35WzGqS0DwFI
xbvvM7Zwau9HOI8SGFVWJwQishI5hdVVautIH+P408uctTdF06fvdziisihfEQJpV5VegpWyRnVT
ec0KSiDk5xDGMyXH+a0l9ZButK5/9BgRiK3A1gkGXBggw03uRfkBqLp/bQkPYgN/N/xQvNa2HiMg
ciMwIwgJACT+/u7jsyiciKQ2W8VSBvXNGVich9H6sISctjVdmBsKAAhhNcMHXEEcd2b/l7T1CdJg
SP7Yz55GzABHL/HZ4FpMgG26gZ+YWuZLwn1opfHI3ITxru789HPkeywe0EQDhABUknEX6p77MhmA
pZqE3Jklpv5ebG3M83/pRARKxOT3ohi7Fead/CkLZ3S5T2Iib2J0HDqfERuaDd7E5NWKh089JafI
9eF9mdK71iA7fvekFPs0oEdgKncMf8hrSvAUdmWzLJdYvVs7BUAzhvIwuo4DzaIP1zC1wq3mknsP
XY3u7aHrn+LM+MzikBzIJNXZmtyVQUPDG3kvN0+sV0A//S3nmi+EpZ5iLSyA+HvGnhcR+HzbK9eN
nuarVrYK2INjH6tO3co6uxu1IAgjph+ZWUa0EZuca+gneJGaNFYNfPBdOFXdO1/zkTbWsFA1F0aD
VLysQcsvR8V8a/QrjmiW5b1PJZE3Sy5pFHA+BAp/XuyHWjeeBKH1LIz0TW0FoAj1aCcYJe0YM8VL
2+mtXdEV+nx/Be6kUhsWCnMZEWTyCVWYAyPky6WVktkpC9O9NaPl091XOIcspaLVsim6UCl190yP
pq3I7HOS6tFnFFKIOWXadwTNeNMlA2fXcNTgJGjNTzn8soYeDbYXdGlqVrksms64yKR9GzRAmF6Z
2ydi9j+axmhuGYHcQzDPNx2vsb+8Txptwq1UtnHvDTM7+io3KMojrclqmrHzLcTrNLlfSWWstKhU
QAgdmrcDM9wbJsx78pXENCcGcx5RtX1nC0pmG5/TmfKyLbIINzESjSesMswV4tLdon6VZ6sFbGhb
2jnBpL1GL65eqgYkMsQuc/n3v6AysxXdCHcnl8PK81P5JeNkgxuZWqA+yvZeOT8rurjVaSz2epqR
vw/QcQ2DyvTOHl6iadAuxN63j/dsB1AF9xR5loXCAjIVhEMIddpuLH6lU/mrsQ1rA1XWW4eSKvVM
ul89lliyZ2zFljQI1BelEDLqenqVA8YLw4utT797LaJkPDm9N2KolNpZ6FZ+HEc5W4n0I70H/3ho
yq2rtb9RMp77JMBYqAm2FvE0HLVyPGWRkbzG5FixRZFBi4rEf6Ioz3/iqoRhogz6bPBs/R7sjBK7
iEwqMlVyA1/cNGBSmhFgSqhrNylCXoVSMiF1zOlSFum5sIHgS7oSllMAtzdts2ljRjX9dPNhWuat
OgaZue976d8yg3h3F8fPLfUmVNb68sIS5ZbeJes5VlXzb4j/SaPcgw1W3a+T/jWH/nBmeOFdpAKI
o9Wd/dZE0TaH8Us02qj2iMYVDHIafknLa2dl1/6Bb/ea6v17zKHqzRzIMAc9HRcBWdRZefyKo7pY
WUnvrEc5skPLERD4bbKzVdFEppgvHABKqa1dFT+Z8D6pLDav1NN7m5Tx2KoCtLdtParO7Z46JuXI
A7AO+ebozNLDPFrm82VCHxMp57gerulof+tV7sxH+P6KxT4/WmztKZqeOxdLuVUdA95UBK8hFUzc
tLPoZzDvKLVh52CAXZextSy9qxC1C9W06749biyU50Rr5kUZ9iAjfp66Wb8PtBV86vZVCxJoa2XM
rY6aTHsq6W5m/dtEpD1PthQ3y0VlcWJtejJn4EePCXsHfjHYZGgfSPjyK+8Rgdom/4sZDaqa4ean
nua+A3Ggl9qr4KNbSbmzva5fFoIFe3Ls7Gjl5bhoRejuNT0rwZAa5Cr7FrsYUdCJbPwgdhbI5Mot
s3e70BmxMK8vVMo9HxjYt87Ngjhyfqvc5ImwPem2zvGfYlOobeVG3XEs45BWpxAuMZ3FT2aLlkVG
OC/rEPE2z2CCGVvQLNzD4vDDDt2eHzjA9a2tSqOS5zgR60wncQIltCueTWoml/wI6E8GRyF+bX4o
8RoqQA9pEV6rJDXW/OjZmgGW8UIJiP7CBdxAa1YooxbgjNFqTg+rOEUjzVqLZbpyCJqxrkQB4C8d
hJtQ2KJaszmSG26OVcxdvmzGfYgBf8uOgyC8b1KRXWRU8vKZIzj95shZ+aI5eLIC1b8OTXau01bs
2ZsUq8IyGfMlkTiyzeLuBsJD1ZT1tHZ91FPtnEVmevHSTHGHsyIw4dyV00yPTimxMytX8mhQU2zo
ufYchJNBqx2XMjVoznuTolEW7ZsChpDF+UV5Irto9WTs6Sp6fnwoTw3stLm5NKtsvFRmeg8h+Nw7
Gouxl/rvMFyda1y/d8OWzqHqJYlLBsBObW67oZTrykrXXsmchBieikoumGqi6acptqHGVie3tyZy
xQ9Qx/0iKe0fttPWL8lc8CTz3Pmem8pFGYa3dHRN0vrEaML4B55IWhVtp9hRPDe8K3xJSUEME5R3
ttc0S95SYP8Z8sfO80M5E/+I9pq5qHG7FDeeDYZSgMePOGEW4fitoIPnuvgxhAbZ5SEIdgB7h0Mc
p6exY58Dj8NdspdpvhS2YrjABRY7OGptNEwEP3gmkrEd3gmeTIsEPwUCkzu8s2fBSElremuJlUnC
9coZolj1ReMT7XOanc0AY54dhOfHQzzQu2gXRgcLXC0bS7n3x0PKaHc0HzyU4b2nMWlTJ1Ct53Kz
MIRMoPeafgiiNjvLgNsxNHgwjYAJaVyP9EMa9CaMc1n9YFL1rETwoZGY4yzesbViKUhajq9e62WX
4oc5stwlsK2wU3nlRs7VTszANGxbXbYdc58yOmSfu5oQanxOAl2tLbhLGZcAMCMTe7CYIs5pck4h
XTKtTUKs24oDjZ9q4yFuZb/0qqY6kiTkoAJv7er1ltgrTHuFMozzKDlmlplbszfREtLBk81rknPb
0GfX1rHUmXzfKXQG+HxticksR3DWMLXAX+Z1UNX5QWfw7UsutLQTB4uizLProVExxPRfPKmWfhb+
kML139rSrQ4Z2xE8omXwNg12sXnjkF+QbsmKJwwma8D3/SnaGjpJ7DCq01c7iledofdnEuCogbk0
nprQcvcUxn8YTWQ84WMh8x/Xe9E6BTXZxqGgPQdBBqhwTESTYUUSfw/jQSXb3jODe92P/d2ExEIT
xy90LHXW7FBeOQHn6Ht+sBoCmIV5XpaEfZL67PYIr7rsBd6sFglCVy6NkG68A0vRwMRR2U4pv2GD
wYMjgT0rMRxJBuUnO6UJkD0QrmhqXRd5CcDI7QH4REqBj7HyL98Em1ubGFKa8FYJgDBdm5afIHAQ
cFz7t0Bmd4gosxG12cXb/rYuvOSQ26VxZkyln3OkljN2PEpyGu2kCL0XjKWAs2KsrVUUH8sweFfM
hHcoeIz7OL4zc36OG2JMtcjvgTLbK5zghZ0XqPTsQ3MdMk6refjtNDTj1tAxt6Ga7m0PQAaTSvGm
e4JGn1Fj/J8iXpsOdgHa+7JbnxuM6j35K54AjFTYdLo2nji+Skg5jDY2zPUawwxO0ui8W+5W5wiK
BkMrG8bo3CHXjLvYZqWDwhSwe9NDsTGZ6jwNHdgO+BXvjiytp8eHIghza1rSq51dlcwMuWtmsU41
BNmDJVRFpprYLE+jaf+0GGkty1Z7z+tpOARt3T/HVjg8GzaoIZ8IIMpNi4kINTmxPXz/g569ceK7
EFWqV03cErPzdXehMF7uUN8Fk4/QOSVm/QRO76o86q174lovinkGiUbt1W3VZpJUnBNNSwgzC/fs
tPERg3P14thcTIVG7F+zbEZbUAq0keFkwVB1582V8GQbzZWWla+k1Ln4pvy5JpmytiyfNdYzXp04
rndhSNNZb5R4GcZqhyqGGbGJiegGE7hA8Lp/Huh69w8UeuaQA4vqKwe1dXw8aJRzU+JadYxc/GyF
HZsxQlnfMPsbV7ctIavHMwSFrDkobs6hGCAAyYBkt64j+WGnAfcxP4B7qjULB5JbOyuFqroyjGPU
6+mnUWBtHEejWzvjZBwUuxVG3SLBxanR/Oe04ULkSbFDizbghdf2shkq8ymm1HZJ2k/tOo2x4dhT
+iHHgWoRJqkEeAp4dJA5N0Zc31rH9WhkG70j7NlkJZOpXmvEuBdTKsH6Q1a+yeRuzetuaMTetsv7
5o41hIO8VOZSU/JX7mAzscZoWlX9UB1swOWcsGS+w6V+8KvZBVN8ySAPzyMdiphBx/apj7kwA/1V
dO1M88Z6ldamtteM8GWcNPcylK1zHxXXO1R448+5uovGaYkizYwaD5xqfkAwmj4HhzOoHdAS8XgX
g8iJ1hk84owIFnpZRAfqX6ynCkQE9tLJWhZ29SGkEs99/6unruh5kiFRhhI3UMsI9sxZcpMabkmc
agSrSOvHysNdAuQ5eE+sAaxcr+t7M26fudBQ8k0d4HGLX9RpAndrzC9VuEXgg+im7alMWgfdLGDP
Tb/D42G4MPWpDwpptVxE2Hl2+G0PTmrql7yP1YrawreczvklRmPx6dBvmk/CudYOwYGy3JelcH5Z
YYivuE2Gl96tT+wO/F0fQ1NIyjR5RQ70L/FsJ/dEc7Ab9tYeZVMvReDj1Gaml4rokDOOagDnumCO
TwSG2i14NzR+s/gV1yFHnlgC1u2tBa+Lbm8wUDm4VOQJuqde8E2DtU4ja/d4F7NXt3KJ5j5PnnEa
gEmeyq4Ry9TjWhGafsbNXK6ZlDpLyqv1c6l3+jnrTVb0hFuiIUJ5G9rPXINqYbpS3ugH32qh+Vk4
uv4aOzwVoVb8/a3Hx7SONswpF1tXadgnCV3dROafGaN0n3QapZtq7DA2Gc1c6+jDDSxZMgw8SIRR
WyTEcPzBYPQm+ma4xbXsGaOnBAAcDMttnzdPtgRjnGRU/Uyys1/B4WArn0s/+ZUQxuKk/GqV99qE
4TXmUt9G9sR8UVfP7UT8BJmFY7sKHHg90eB9zylZM3FxaEdhts90PE96gXmHaVxwtyTeaTNyDm6U
DRehEzaLYjknB8psT8i2OZi6ERzSTSasHpR3V6w8wLZfyk7wxlfOR5fY7qZUzq/eZfJrUIpyLk0M
WHWmay+MkEEig9H/xLj4HiJOHouJb9FzGt87CntC6WvhlfUTu31KjC/DbsSMEqkgq4fo9njQxpL4
zeS7B7PP69VEM8Oqr9z49HiIWwSOOhJfjwluhM/SAEmxqlpQYSyR+zp8Vqxeu1SDpZowf0VP77x1
4CAzC01blyht2KsNUpAxXFhaIPMtTqwZ75Ij6naqQ8+akUCGxWBbuWqrJxrzJwt4vIP2BU5Br+HA
IePVkc8RCGVy532TQfOvigHXUmYe9X6lK9csabRl2wyUKcm05/FwbfXm4pGM+//Ehf8HccEUhkE8
+P9ejXf53f/H4Xcjf4//+R+/2VKqcY77//3L/tGLJ/5G/JeAiEVRgu0LF6hB/1uq//pP+IZ/A8/A
DMq0TIwVfOIfxAXjb8Ihp+yZ9gwNEBZZaknhSvRf/ym8vzE8d3Xi7yabep0Wu//9v/4QIZ7/xJzl
v73/P8EEhun+G5rAwl6GOdJD2vX4JEDj/zPzaNZNkYvWxp8xkAWKRu08KUCCDCbY+iAHLGXIsBYP
CCTWPLprjROQ5cjzg0TIa9Ogvoe+emlDlLtEJempkH21jHvFYb7JiFrgKFwmWZls5EAA3mudH1Y+
BMcA82xTDvbGGCcsHLbD2ZjwBWi+ais+EpasIycIEJo5x9Ayb2Paz7t8w6gRdpDJMN+PxXirvwIj
+W4YHl6lBazaku6lyKf+VDbpm1mSPek1vz5CXgtWEswD8p6mUeAAThCn3jP0A3Xxuuzu0QQ72p3c
NkMo9yHpO03X33zb1NYRaMNlNIx/4SVfdXNTDnsUs0Id56iFAUpyWbeB3IacUbvYD+5gTn9qffKj
Fn65LdGSn+uEAArE273KmMJpxmLC63RwCXNgWIiT5bnJoeGaIjkncL1XUm/kypMlu13KjDcjNXp7
ZLZ7Mhkuk2q2x7aAv2nVE4fUJN82Yf86MjVCqNt6TN3gwvOdKwd/TpiDWQNrPHuR9QN5pQ+O/uC5
Gv/eABFeRO69xCCNQTA+5ZEMDqB6tSKKtw7BVdJF7rKe/U8EQBjHd8Hdhq+30JB9idDZywSQxGJO
Q6+j0eDERwlvwZO4asj3L2nAY5mTtLBQgLDQBewY5l2qt3gDb8RCKuieMx27TPqFcod841Z8c8xV
x0w4n8pvi61gbetV+YJzgOct7/CCNR36TkhOizHlwpm/ondcbU1G1iFoZsCnTPhYzthjpWz5rNS4
002ejsavfApqwWd1Fgm55k3XqC+uo/2o+DmFKL3VjAKZ2umNDddc5pqtPVyZi2l0mxsmLFCowRma
p3PyUnVim1VurNHsV6MN/15gZlpC7zmY6bDWBrfYEgkCvZW/mu4Ae7ZxmE5UAscXxmgfBmxnqPXE
hHZZ8aLDCnPC1hBz2KROvvZWrX0oo4kxKi81YhXg6OphAxkqWALKUpN3UHmiAC1xxGX7iweX6mro
QJsJxF5BaYXlMuU0SwyOLuU0Ti8Ij9AnV0xPpeW5x2xG+QE+uyDyUbsj3UU/QPdOfTpnavaxuDr7
b8f5qBKju3FGso0pmf+oEz2wdH/VjrZNmsQ7sR/M1ukUfbQy0Q4CB/wC3dvZW4IGvhw+W5SY5Vvt
phuXAdB2gLK1Q2SP6YsCPVUiYIS8FE5eoHNHV+zeqYO+4u5lmGtgl83VFdqQuQ3MoFvQaoSpNMfa
n2Xol5GjrwhiVDhGtIUv6LaI05SJfSm2UNSXfcWLh+MNpmvijmh0TQ4zGXky6iKPMnPmVCNy2Vq1
zqpip8kxewX85Ieh7GsjWEjiJruN/RQyojLcZfg85lqLHaaQN4+CBZRb/CsuBqGgHcuNx590pcv2
t1PivE48nReLzT9TZm9vUs3x8b9VS9pzsIvglIkHdAfquOn2iX2WRSkWpdEV28qqoCtTYD0UPVVV
efYdd5FDZ1zyiw6OZGmhbqeSM0BgM2acdP68SYPXgr8CXVMSmF9TDNoGEl5HLcbO+iv0aKsJev7O
no/AQAxmchvSKrGfnUYFrJ/xbooZuaMQgKEbW+Zp3TUMyrLSe4Ony0vUM6YreIq+136nevoKasVb
GVq3F3kHWVhKAAnEl+ryt1cWbPoLG7uQtvai+BttEkZlxCgkrcy9I2Epm2X63UgN2lq46btYrHC+
0YepDJoAKy6gxkyfSkUxKAcTrtOBmIPdIgDEwzHDe7t25n9El3LOM8QRkd3ywsPnxTyX0W+B69nu
E1yHOxJ+zNGEKZdh1ArmEDUOijC/e20xbWZQoy94KRSIensOEIo1zpoTf3ULV8W/EMlAfuuDZIVD
N9i02FoXZUxxGOXmctXH4W+koF3bzotq/IujxDmsqFHTNE5NmlGupTeqdaHl46qfsztysBAbLI6D
IS5VGNHBsijDS0qbKnMcG1x+7P0Vk7/lkGd29EM5n7LSnVNtSHOD1RU/FlOdyxDXW2HRMtjkAmSw
kxmnIKZZscXxtYFJWT+bI2jAIkMabaorafHqye20+FRk4TaSuUBklwBVJvc6tHq37/nkyQtptzaa
9NrICusMdxWt1DhUhlpw7dRIjCipIfjG6QbewC+yMIcQERL7YzRs69b8a2KWfwpyfgm4dTDCOXjg
pi6aw5SyNCkuTxBrwPvjGD641x5liRxN2HyTTvb8MtjlEYjSgTNbzjgc7DALdesVGz+RF2BqgIgC
/t1Ys9a5ByJBXPelc4kc3FpioF8xiL6523cEe/lnQ97dhuaLpFVO+njCGtYNRNz0Ot20DQWrbhm/
gNNOKQo4t2PYbNma8QvH0auEz7Ih7N7O5Qv98nExTi0g0UqZnF0D0uFEK2wvRK1AqbPw4DKhnpaA
kD4zE561k/kXNxgo+2woOdHcZe9zch1Dkq4NS43Ot+VVzKQkHi4tCszOcIKfnmXpC8bV8VL0Hs3b
PQlJw3J3Ps8nBrVE38EpfMGFs3JEe8MptbWcjAJtDtRL4BVfJE/v3IY6ckVAcEdv5tfM/FTPKhDE
SbYymdPaVV3A5POk8Rc3ZsswxkvSjtqmcdpLnhi7kdwT8XEFTSRvPoVQvDBYbdOAFJcBFtjyGlgd
I9GrIH0vLco56Rt63MpEVKiDibQKKhG1vAcRO3A3d40MWLhubguBScmILCoMFP4w1PiFF2ubOPmU
sc5MMhmMjWojypTkRYxz06s/8ovx5MIThPU+ldT/Qet9rzRKl3utnAcnNqF476mZVHMuDXszRuZB
j6KlZJFjb6LNS2exjnyC4uQwDHPlWHOB1whhQvI84w9yAWc65QksOX/Qth+WNGyIteX5IEbjgcqs
Mi6fSMliCaKd6GX01E9vsm5OFXTMBhM63hK6hYtbqUb6bcxYHlMj7mkGjsDn2ye6GBlDNETlJwGr
PVU+Y+dMbENFl0cCXDl24+fKqqkXSidW1HmM0VQr5LL+3njCPzEL+5UEjKjokhoHqd9aKtxpvbo/
HvoqeSVWl1x6F+kAFppDC2zY7fCkZGsHFXITToG+rfCNLGOicqgz003R3HmlHA9+vGUildsGa2DM
E1EXYh9UYNnHUuembQd3bongqYJA34RdVK8je3Dvemi6+xT37NJL8I4Vk4LPQ2LtjOfi0xlsVIhi
5FTb9iAPU8gOMy5ct0f7HqTphhiuvP750IzULXq9QE2nXSVSGBpDLg4C4tQgkUZdyR7BagSjgisb
WlAbqeGVCHC6MbIg2dg5v0I0WD/tEcN+hKDimIqmhvqnrHybE7hJ6xqwSqCDTnzB2nhoSPx27nRK
MRtPfcrliuTJEBLXnb2MuxoRVN9Dzpgwtk3eAtNk5L0YBkBTy+lesywj1CPoLxWVsaFU5jpSTee2
fbDUJu1QgUhfFmhVTNFxu029ugvw0n4tEaWH2AXMsGdM3637lhnV1EKfoIj1LQvHZmeZPWRMrY52
3OJosO4zg/4T45186sKK+nqbmZwAgrb8cMh8rjXBrSTqzJ0CBT2NKE5ooUlbb0v/WOT1duCutTd8
Em0LbdimmGKxYexmZQKSB2XfbBfw8JvthQPHtQjbTW7g/qr9Tl+13OzgIAGd8rp1UrXuJgIss2Eo
CDmzc+/5UGQb3EQuDJKy3tp5uGlowz4Qev3OWChWuaWIFwmg6ZljHVuuG1V4A2XNU7XB7GN5PCMG
HZzTlHxQ1M0GsYRby8Jar5EwNSwJHrn+VtGlMaYLfeh+JT8kSNQrexGXuJ++hSJ2ssXdsSm0ACqV
rNS8Q6Fp7tSY7h04bv1UT9ijIvubzblaW9h9+VO3h9Tvv2VaiSvLzRGuBD5bsxdL8oHFwofqduI0
NRiOzr7HFMyVYQvnWAt8N/0rj3pwSA6XAK3jNx0Et2mPWFQoUfDAmyOYeL9th2tD5zSJocVcybra
eZq30fL+OiD07IjpsBgjsEU4r62PkMSbCGO57RwHLgXtf0ZIBowJm0RuTG52ZHx4FX+RPE3Bh+bu
QnihRVVaeKbihe1il90I3p4Ix/43e+e1HamybdsvYjUIIAJe0xv5UqlKeqGVxdvAf/3toLW3aq97
rjnv54UiM2WylJgZc47RxxvkBcJwR/2pL2DI6an9GXLfneHTbAmfrrZMzL56NQvUtJLhfkYRyAAx
Sk9xr96mqmcVO4ruTAjNDNUjfJAGrls/yxkLYvfYxpJVhJl55o2gkOB/F9KFEkl3E8/9LhwMddbe
IQtD+6mmNuE2CDJw8Khlw/h3FZYH8qMZv8dBtQE8squin0oN7rHNSvSenhgZluBgVrxjpGLcurHf
DJu8xYyORJRlmhOxvAWHuIceTcR0F3xGA4JbK23O4+xiV0sHOAvEAfodxknBTeK5n70jObkZ438G
3GQb0crzISaG9M2tvL0fSucVBdlGxpG4w0qtmNOF9+DcCcFFtRbA3dtKOSmcxaLaYrPN74dZ3tcj
iz7fKr9RHvxg0ozHhvWDL09qLOeTgsloKv2MGHUgogngC3FdODnTDqCYa3HKO8YLwC5jMfMhvYFw
t41RG26KHOSYg4tsm9QWojqLi6TOGO6EmkhSeH5HK827vbQigvQWb94sxK2eGYO7zXfJFOnqRKhE
aw97JaLiQsjorhBM36kO67Mfc31AIYkrZ+jQKdBh3cJAI7q9Nk6loMpL21tpgJjlfnTmiAw4Qq3b
wFD2Tlny3FkBuXUg0KGrV5yjnf/Zcmw6pK7xC7PP99kY0zMXYCb5nLG7qKcKw+4GpiXBeUBQ9LNb
//AaLHTB3BWnvIZiPbsETVW8ObMojqWWzbEHyEQqDGwbpGm4OF5FYfmX0S+JZBlscUgjbuVhR9Xo
BI59LRz9EIrO2tZN9lrGx2qSRAI2JcpurEze09QRVemYdOSzxgONHWFENqN002ERArWgW/Av1Nlz
2OBoIYbHmTaTvmawKbZUYZZJmxCPpmh2cU8SHEyZjcLJdJz9KKROIaaq1NZtWmfW4x1DpyML1xfu
XL/7JVjZT/1HPDekXJrdJtGc3EFIBLo90KcaveKkSxxo7ZATimk6n/IG0rdyKMlnuOpbMX4hKwZh
E1ktlkUHrWkLCob5lyMKgzMxfgsowAuj8AGPTd96IA9blwSYHVT94A1kBaqBIsw3dsZiwkWqTIiN
8wO4BFmzHd5UWZH3GH1Hum7BKx+NXQcFGm3fiA1ax2S8Uhqy9NuXOD4OfXfvqu5T24DYzsbkZFEK
7RJHt0SbuA/z2HK2p064jerkJQZpD2InFAi20+DipoDhSvU2K7N5Te8LhxQCeB7RLpPL1NP4EbW0
pXT4Ztn8ACClBa7kklTJKtz79vygoEgzm403M5LDrRSSxUGYzAeE/ixLaGftm8nfFyPTU1aUegni
rXY2HvxhpN0eZsn3OWLJLExaMVOZXMmFR4jSBYTJiAU3XwXPE7iH7RTnX9ZVXFJ30GPtu4Cb2XEO
Jzh1RAASu3NclxKeDvipVIxR/bltsKmPpfL3QzheovlxELRtcGgZSxueax9UJQ0SI0xwJVBNNEen
BT+11P1VMnMU1cGV5Zl7COB1KPTL9tJDI9GBWRGtGqhQ1ak0Mwje3Pr3uh4sUgFkf9Z4KxMDfFI7
mBcnYo1cCIaYXn5mqm5Y7tdmioB+KZbERQ1thoCRcGlVTj2OEkgaIcIM+clvU2OXDoxr0O1bjFXr
58lT4bVL8odggqiRRTWZZTonZaEK7jMWTmAVJpRBQfhjwEN+CXT2yemm7CqS5LGVw03XR+Km0SEi
Lhbee7okUE9Hmi4+kMCn3I6/dOTx0Vqf7jJdXVFfetdSdtDPCWg8dFZ3Cchc3Ea5FWHEZVo1A9vm
GNGJX9yEUwG61nKv/zPBWOcN/68JhuVa4v82wbiNNYOFJv6P+cX7N/09v/D8v0yfpbBCsyHFx/DC
d/9SwF59+R+DC/MvaVkUTX+Dopdf/q/BhfzLNB04qHwBahDfc/47gwshxDKY+BPk6islLK4k7kKe
tl1z4WX+wcNsUJrXXR0yDV8ayQ7CQdihxzQU5QUxHoLyNHOP6NiP66N1IyMLxbmZnMwpxd1g/XQX
3/S68cpJM9xcHpuNt/QjkdziVwucCA1lm8lT4pVvrcny1w8Likc8O5Gd/0J9AqOjAEixBBP1/nBA
osUghVKeb09ugjEEO4cyWHbWfZBzJ2a8X9+Y6JWLhklJgfVsD5SUkJtu/tRPVnqs5vnadcOSLir9
M4Y/d1N7kH+tkn56BE5eWu6uoWLb4N9M79N0Lwd1qRt//mKO5PJNA9iADJoB31wE33UlJZLXgOio
jbaJTESR5JPhWee7Mk6JzfAQxHnov0kmG+lguwE6hqDq9/R7UNqGS8rvGaMDeRg13g+Pkxj9qo/m
DPSwDtpD5qfVpseuhoznfgyjb/Riy03XILcdK/OXLZ59DTEtmQqx18aU7rWMmg1mOOKvvMXQ7SDM
ypKcDNr+c2Ui5m0Dt4FCRCpRea3sKj2itfstE/WEpEKcW0JX4x5NY2urhywKHzyCBFsLXYgpKxbW
TH2QBl8t0fVHb6Yfx1Q0zOJ9vKdEQIc3lde6iKudnIbgdgik3kYiDPZJrR4Uvi5UcCRjIse9bwyJ
AdmqEvpJvGM18/dIg/QZSAdmY4oklJQor8qnxOrmb7Trxnr4NfroPPOAuCVLtggummynUb/uszL7
5A7+rsLjhv2cZPCa9seiRTDpvJfjflZ4Vz0EDLSiiByLjWE8R0Z2IWVz8oroRLIbMzXlPOMZwenZ
GmdQdrd5Uxln/jRX8EjWNXTtX/2cD5suaK3dYPHxojR8iPtFIAYQa7KOo8n/rskyinDIJge/U8S7
pH1yChxV7MIK7d4cFtN5KKd4nzbW48zYiSGNiJ5RVKIlKzTOIcCITOMRxbWtcW+S0SPTNDy7Zv+K
Inba2WBYKPdHSklJ95gB+aD7necQlxKiYjr2TOIJcESYkT1O0RIPmJrT/TwgDooM9zP4SN69cC8m
g8BtaZs45McWwKm1bW27eYJiBzqI7Fnah8Rn0aI70zSbyIRut53n/CRiKH+L9FnX7rVz8oszURZa
eAKRy4iN8p7DuUCK1Fk78JoAaeNgPujyKaym+FA6+uTbrEdonk1nIZ2NIC0uieL84OKoPuZq5yOY
hCmP3qc18Ub7EVkxxiQOVtRd+ziYwHeCDkKOglgM7R8oqiN8z745dnP4YI8k7LryIB34Y3mPoaQt
8G+CezOPjHVOFQa2bV1OB3TMtMlkiku8CQ8V2Ly+AwaJNOvsZlF6K6z4XozkjhPGENvDXT59brWB
JKMChmx4J5Eb4SeWtv5t4sGDND0kgN5ZD11NB1/dMFh9IPWhQ9fo99dKoJf3jd2SG3yUms/4BqgF
Sxb2Nx6xAecw/hwPugP9RbM0zPVjQHh8iyCEUFUWH3PZIgHpC0x9gBPJh+XYcB8AAs/3vdZfjT5C
aoSpSDvIEGeaPucm8A4lP6Nyy+8gU7BZy+wwEz8imDLsw0Li6fXNb6FFW4PkzBxfuBPgQ9Jt/ht7
6aXzq58Bedt3Aon8ZqAqAVDnwk0ZldxW00w2oImKMcAkxMKhdbDmoD0skB87Bl2EyiMBVA23rRFD
jUvUwYFBO7Pus1m7HkHtV/u009+d3CDRzfd/xbXzFeJmcxYFUpJYVPeoEJfJMIl3kTCZWg8Yyx0n
2ZGwajN0lWdSuY3DNE3fJmeykaDMLE6VPsFl6iHgRTQE7OvQE7BDpsxNiVp9S7MWrn+aX0TTA5qI
xUMjyMcMTokyy2PVsuLWU3hAyDzdEVXazi9qdIBRa2jI3uz9HJahhOAWQYTLDZ2kh5qV9onU6591
H/9IEIpegz7C1msU/SGavqg2BQM2eQnd7ZEdlD6OO39r4obzpVl4kxbTq4rRBmy+ZcAUZ8MJm8fv
aSzLvZU6t8wwJ0L8zF2WgB3sMRtRpzf1mVvLIwueGnLZTzUQQZh9bQkV+wQHD7Oyy13TGcIQcc7w
qyUJneio/gkVgMcifpw2he1f9SyMLaszKDS4INLbpAguZklALtGxzZhj5g2siyXDbbuoWLMgJOXK
YszhV/yVsPb8yN0vYY5s3SQNhdENV5X8bvKFfTRpaG+BHb7Y+rGzG1qnpOPioeuq/UhXZuN/txCR
W/7E5M8jDWyK7U9mmad3Ioq4MNfpqa1gH9Hq3jjoBTj9WMkTEfdmTBMkngzEhe8PwcHsK6iSzCT3
kRw/y2j+GjvkuaPVZOnj0kxIujcS9ux9abavrfS87SxDQl/wQ29J8DswMzsoeyw4+aXeMIUNtxaj
HFJiFw21FX+1lcAeL42fLq2bPbYGxkO45nYMeRmpAc+/Q5JL8zwM4tvBz/bu0J+9HKFgaQ05VG4+
VlWzdi+k3k2JwkVRCQyxGr7CYnBVYFVZPLk0Eik2sjrlTgFR/si99t6towsycgJHzTK6wOA6G509
YGP2q5tKQXCJXX2Cb0wOaJdJmCbmC2Onr3bMxHDSECDtFSNKAm6Z2j8i3Iyyce8MXTm4/VLCGpaQ
OMn1HDzrGRjxk0RIwUAtY159RSDBaRxr4wdJGrQ4jGffTO5Dm24Zq/07sn8z3CQXMiknbGoMV/Q0
f00rTl5HgAwMQyQPVaGhTpiMrqYGhbe3KIxdkzRBk1jOFjF4Z9Pv4bJJABhifA3ZKlC6gGcwuqgw
EZW35FCZRqEPPcq3ZtRvwYxvsJlUTOvZ+hW31BnkgJ8SA5q9q8JDbZeEIWnPJPY4p/mWA4JGtV7S
EbCsB8tkFQlC9/No5dVhVikjK1a0d4gn533rezQOFgt/Cspol1MrbKOvhmV/5V1OW6BcXKtRqb1o
t5n2ymeGp+xjR09GNsT2VApUdJq7yYXTi4GPOWDWL+cz6WMBHQVT7nB6cAXz7BtnSe/00pi7YBUa
BAIyV68QUD+W5Hu7WAZ8U/qHFFl3ToYWdaiUx6Ldd9pyT7q3CaJ3rTvimsXVHDHkDa7zs/H88iSZ
Ps4uFUvnPnN84rAazCW3jH68U+YXo8+9bT50FrHCeNpHm0aMCNu954MLTWpmYWZ0pVcAfahDXtwY
4leY2preBIKi1ql3Iy3zEQQT6rxxh/aE5v/gTNiL8VA4ZbQbjdAlr5QJaszfc8J/14XLpTMD7WuY
+t6unLdRcKzgYLuCkU5oxbpvhQfhdFqmLa0JvXAxPBzXh3VfWPjZORvb2uQO4vsPSUdxOjGiajk5
dnRgyIrOyk8m2p1DruL5ZjCX63dGkiuj/v6ocANzFSyfahtAsQB7xtCufslx3Y6yIpKiRnlIOZJc
TbO4TVoKdhe+2ZZkuLp+NMwBRkqhIoJcZ5QlLFO0rJOrLNSDxRqDrGkEDjYfeU7IxSav4oCDsHzp
61zezgGpkPnMbM3R3IQN52qRnit2NbKjkzeIYa+ka2xVkh510FENl0FyM4v0+5hgr80ivJpyRE+f
+eLqWK28oRC596NeY0mBAkksy9busoMXd/WtjInr0/VNOAKHwIJ7RLjL+kPBAkWe+mWm10RoVnad
/JiiwCw/EVIdLCgj2nZDccUqKW+GdB6XjPWjo/jhLk4NTzzRxWaW6J9FpF4naLC4gwC1dKWLnkKE
W3jmBGChXgr9xD70VURqbRzxTm8bY07vkKBSoUKLdUPETZ7W+zl8i6ppujTtNglYwbBw+Np4Do5Y
wW1VtEhSUv0jbnLnMbPya7NYcaiXGHSP5JRV+H4dF47LJdIKF1rY/8Dy5t3SRuuwHSabZHKCT0bS
/ySauz7QXG53sfHUh037ErkyP8bRT22M5qHDZnDDvOSaGeIqpsvsYFBMu1ffzft7ljLm7OOnqZlT
9/i1qF3pmDQIqev5a8+n9m1KCAUY0+J3uDeT/pbPHEaHaXUIY+b7qoVMBQWj3ggESoeMuAUoKQfa
xxxK7lmZyE+yBj9wI2Oi0Eie5QOXMBe8H3TlKLMMwVRCcmWse/0Z7F6C1wIdPSdphKdqJyaOo9l/
UlF3U4QGkuMaeGitvDOo/enoeBqkAdNJH7HVtzxxAXrjIk2M4qcgkUb2Fqd2VddUuDTT5pwzmTXw
PhzSu3Eab8Iwvm9wEj+3kml6R2TyprKM5oIXHfK4CM6ZYbv7ZuG6UIcDCeHs3s1mRWMxs7AjqS1g
SX1fyeFTF0fcImPs0qbZ3wQpJkmdc1uFPnw/DvOrXeUPoym6m97pxSEW6Blz7aABKZbCSuMkhRHr
ck/ehyZD8EhPj6K38WXiE8lVQ6OSxf3oCHlo3EUPooia6it5iB13PHZ5SIqkFF9aO05hgQ/D2cgE
QdnWD+3htHZV/jsB9oKcHUhp398LFttUmYtmOBH63Af9s59asOedNaaAe/xoqx3zpfamAL+yy/I6
29p2QGlZhrdVpX9VEohJGbV7N1OfmMQxDYentU89y9xNFR0Av6jq2zqhdzjAMlFhvPe5DhxIOrUP
ltlbtx4RyK1pbvvaL7ct/ekxU87eR8QQ6/hLIxsoygaNf8MUn6JWUjv2Cle0Io5UKWodzGnIXDSa
RDqOldX/0rH1WY+hcybwCN/91QyQDbYVSxicSBsNCjrruZhUDNaPnUifHKjfwiFkY4h1vqcH0TJE
wFxtjQVON6a8RMiaGzOlEc80td4aOP22SDg20i0+izL+NQt+XG5PLI9tTv4x+07l+00ACKXj0N4A
zEPoWnK2mTm5TAzmAekS08vl6MR4SBJDXsEX6DgdFP8F+J4l42fzC0PDPiIdMuinauvWzb3hPccD
uIAk8DC74Mco0FpeatMQF65TcEjWx3NX2pd1b91U8LG7ort4Ui/Dl8e6KZOdb0TWZd3Ubm1dymWz
PuTibW1Ngby9WKBk72SybHC4HQFeklImR1gFDF4y/wE7cnBef5te3sK6qWyAYkALP96E2QLiczMB
hlkFMGCXzbr3Xz3UA5nWhaHPanmDZu6aFwz2JdP+8/pgfXoUqFHSvvllNlaB/dhk6b2YftZ3vO4h
cIFHJ4xDNwZ2/v4qNLgth314JjIbYlnYifc/kp3A4yEeB5lQl3gX2XY9tQiBIpcuQuaJlEe1RPJM
htmeFmQTxn59KZfNuucvBLV1r+FjWr+ipQAQe9EE8U4OjqBnD12Mnkl7selub3qzHHZG14ew8JOh
u9jL942jZgHKx+QEvnlqIFOVRd1fZubz75uxTdF3fjzZc0fhKEH9xlr3YYVhraSwdW+FiX08V1Ct
nwonYXz9L1DYygjLjL7BBh8/j3JptynrKVxgYXT/yksfMTCouh695whn8WNjZWZ1ociGvei3w84z
meMOpYxRChA80xppdZq4PV+yLgMiR43OAY1EFsFMzSdUFETOFN37QyOFY+d3aIOdpUO4wthSzsSz
JV+7MBwuphUWGCbim9Euh0u/bNbnMR0znUrj3iCHfna3ZVssFfDU9ZcVxbZC2nwjbVGR5q9WcrvS
2FKgCPq0wuYM5RG8MgxYHkJIcx+bFTWXymk8lGPxuD7P708uxNgn5jyY25UxtzLnMO9EdPEGe4Pv
rAK6ry6kLpBTQujENtcSsNe/NwUzVbiPLaKo9ckHe+GTWTVmSkS6HEDLu2AYgmV5fdwYU7ctMkzU
hLI8ly7HXeJAyjdGKANksrSK8ZBtskwqChOBcjiWh6h98RHybGM/5ZpuOW/9WLeM1gb6IrP8IWq6
syqxzwOu8qDXZ68ha9wIphEDG9IF10jJsi1rLLZu8MrA6RGe5bE3e/fQJdYnVOdfprwY9kF+MEjD
PqLvfkAADqjEqkEetQ7yWil/JsYn1Fw1qrnI30rXe5nc8MZOyJfpqNY3PvO0Qz79zGM4Qx7ncd7T
pUtEdpdhUTwk4Ybw9aKH2Mmi4ZQ4AXIc72IIkGalnb2EHtIHBywjya2ovPyO9UXYc0nNPpWVZ+/C
vP1NSdedO5eq1Ehf4tSBvphwvSSPOJvcneNyCMqlXc5kADFY0B98T3X3ScmPRWlR0qUsb+3RKKC0
DekhaZagPebWJtO3sbN/LqK4rPVZT0gfuZ4wXh2T4wJoHFQWWCd2MAa7fmAgJ335zcheNHnwO7eR
6IkzFlzCI7hHpsahHJA8+Il78RLEs2nWyFtVNOc06V8ISr3tmxI9TMnyzOF/tsl03T1opl3agDOU
E5PSUSwTrfKltItnbNLz0WuXVWbR46wL3I2DuGMm2qV87f283dhKHbJLXjRfYjfrLvTu6W0QPaEs
67WD7YgNVih4M6M4h8NLAkj1mU4W07/hmPpzh7UauH8dZI9j6KqdLhBOIZpB7WONe2V1X3vXo9yr
aUC18hsDm+y77LvXQiGVtFT0vZ1VTJyy4S+ijm5rhKh1oIF+5w/+BYkn0e5LGoOoNsouj2EvfvZ5
/wk978bomdiHwcMcqGk3dvQ9fQvZBzC1jLYEOp8xPjbgTtMcTZDDeINKBhIe7fd7Ur8Cc5Q7d5H7
2EDOjkyISbYJG9J7xhAQl3TR0iHuW/ychejhhxtoKDH1wl1lZQdDEZ8qmmYnqRkL+59ZIRCOPbLE
bKkRYo0HQb8NY+LsQnfEE0KHkVEItxIYNg9ED8PErYj+tXFeiyn63DeFAJCLfsynv4qoNgJ/8dA8
ocQADEoUMiX462wDGpfVhPyJAF3c8zu5GJZtO032rsCT19xyanF0uc5dMuUdkDT31cljbBrdU5kD
ZRzt8cW0SB0P+/YtMDoct5BIWdtzmOkkonORUPhAy42i4jXkg2Ed7u7wWCLQak3aNqwYtQdnrABV
VUw4xa16GULlwfM88U4DF36ApZJkY7nRLSfXZhllZEhIEDxO+MpzlHx2RgZmjNNMkT765DxUOb5Y
GzbW0tqCqUOWjVl735CSmzcIkAqW5+59JYAmuEnQQw2rz5M0wmudvE2OR7pq5QKLnDaQ6fESR2gm
rMAkkjl9o7FdbIKQGfYAQsazwivXVuza7ZEibh81LQlwI0u7SEIniqpx03HvJR8sJsJHNM8RgxWW
Jj8Ng3+DRVXVj4a74e6FYcaWBy8zfrgOMSqqN3836LeWiJYXhNvzIRLko1AbPcthiJiqoYQdg5QM
JAf+WB6AMMPGS7+PyzD1dIC1aNBI1/PqfjQ2WTFdqkh+HqCPPJgnDeCw5MgLqhoLQ6lRWRnyG7Ef
nwviaVLVtshu7fwQevWpdjG7FCmpIvEEN27mwk5CerIvQjJjQm6n8cAVvIt6SElQ22z3jgsWvGWY
FwwdOn43rUkWl8SsvLg9LkbZ1C8k0QOItftDjcWf/mw8vwy9h6YsEHTWZvfcCHlXTjYtWnGo0C+e
Miu+cWL/Ja3iZtt6jjhaIOTph+Tkuca3fRpaLLpygpnI9I6m76EB5ywJEDlnvXym8PwCANWgjQWQ
0uf+X8Jc6du236BOv43jRu9N/0sX4AB3W5SMfMlLFFR0k9XFHGwWI5VvHdWkPpE1s58n8+iAfd3g
LUGS2bvk8IbltzLrv9RMDohsSTdo07/BiResa60nTfoj3RHwZnUAq6QMB/KAu3udZ79oBjq93GKi
Bgu6Ir4D+ri6DOJzsjy3vrBu4oUcmmdecUnC7IW+JlzVmSpl3aBRqiiALrmXR7TFpiI8xdK5GyZk
Gn7zBLdjOKIYbQiazPqmO8INaS/rJjAhyK57QB/wrQAXCg46sHaQ0b0aAE0lGK10BgydwAmPHoMJ
DBXnLjYhUdCTZEznBDvGn4RUMvILHZDaytHjCRfUbZ5x48FTdR8Rk3UkdceztgX23kuVOefUNCcq
fKJcR38AW0vjFtcG9Ss3SU2FQhErAd6KRJfn9fmaBI4jTncW9UDgaN/vZ1SXQ5w+DUErD6ad+xdb
+hTW/XbE7nSp4EVSBaGG9RllQRKkEJIaa0TWuiSoGRhohWlW+8nM8qs9e9l1tjooSyFkXVae23CK
sVENKHE2dViijJXMZqTQyd4JKTvlsln31s2QZCyp1t0CwOKlPPSRmcLMWPBCqQ0LILF+VR3AdYTu
eps5FHAgmLo93bKf4YLHbuHdXNxSN3CzeMhSr9ogbTw100D/Y/nIVBD//Wmpfh6OTtLc1KTK7Dzh
G9u5waTnKTXRsCeEz2fxt42XX4XKmt458Wkzf44kHB7NnDwj25H5KQncfT5RFn5s7IJSEas1rdx1
d31lkgQrCtYLaRrlV1zlM4OS+A6f2Wu6HJOTOdZwAOLmlgRMdfjjuVbqWwAshKFOrPzkDCNoFGiK
l6PbWr513VtCI85d8TIk0r5w5bQveR9yJqQbY9EzwIio3jfWskSYZwfwYRRgBrFzejPLKgKmQYmo
l711A1EOQ8BQVmiydUxeAoavgj51nKBasunnXQx9LAJNNpLf0MsDKwuaqPboNi+EZadFhyVUwzG2
lPrrRsWdfwDyepcvyzoA+b/KiS4pt/WzYjTfLf59TQlXxBw75VKG4xlTLFtG2gaLpoOBXZxtxgVL
3VVKbS05yY0oCtY8/974npmdrJAlbAHbc8PfNd/PsfHb6TlwDLKw3jcgqf/es2s027biGHVb8BEA
c+9ggrXvAhLZ1fssBc28gwRB/tiA7OXUSmfbL2tE2EWcba7Neiakj7t+EOFC/kaph5qD+Fm58xhf
0/loB4b4lOQVnn2m1ZikapsAPEZANCjz0TjOLuz1MJnpp/rgB1XL5C2syv7Ywf/olhCFvAqeAh8e
7Pp7hnxB4A/ummqgA4egcyBn3sw4R3XU6kFJ49dpebM9/BBB+uWyjKkMVxFxUH7VPWeYvUpdYpe6
lQChbeLZxWW5wV/q5dX1oVM07dH223O7LPJAL+DjsBfB54xKd2Mva0E/qmPuHB0rED0zGYoYPHk9
TWG7+y7F9JTMica5yCoUDzKonxR4KjdBHhNSTs+zIebF7svuqjAlnhHVYxbikB0JAsCDueyWy1HZ
aLs5MT3YrW89qr9igGrO6zstM5rDW1u0t0rzEYKOTRijrMdztmM46x/IHie3cbLPkTytP3Iit/fv
n74+NiEUrb+bUVVNogMboUfe6Mfjvrf1tnDmR6NL36LQPkpwI0cN/IH/znJ0cYRY8zaajVMwLheX
5bnGgamkmEKQxsL/2FFdkTFk4u+QGPrrjBl7l4zjxlxejG4KxDgXlXUSKgqu2CG138/N9S32EzBm
OaGaRgtCbZl73zHJfM6W9oiup/Aol1bK8iiY4p9Y53oSHuHTB4wPFzsdmknVc6osb2s9X9aH62Ze
Xhi6CKiWT899fefjZNQH2xZLtNFd6GSoS/h0E+UunwoK48rGz8QisB+6c5/n6QX0QUghzDy8mr5y
BzM2icyzY5U2j0Z2yOrqk9159slPuzurwKWrQqTLrGl2I72WDZyk2z42H6ggaEZy5RJZS9JGjw8b
cse0wSzfHWvS3DiQL6Lkryqq/kdFXxPYQ/7kVeJr0spXmXl3dWX5O1aUzhH8p8Nf273Jknk+VknC
7dxsL6CBrlpVr24HrxEQLPReB8OwQpUzIYre6Pwt9MW87XqR4yKKt0UUMHGls9jbXoqy3fncTVeI
Sbcl6MZSuABz8VYkQ/ZWwthkuHELcKPYqLT8QTteP/X0KmHGMbNGHpkF5qmlHsN5B+t/Ks6qJgVS
QTHfNZkk1Lh78BJUy+rRwlC2kNtALcn4fsyojOOKZHRvcva2YGFMkUqh0g7nqiHnaZGpQanqMeGh
4BYmOF6dCBKmNPIHpgXYbmpXghUtzhNg7++l+eCqwPkRBc3EaGIZ8eDg7KBh77zBfAkd496ncbFP
rBQjy9D+tjBwWXXUP441zlFdGlhXlysFTWcgGEnC8K0xj4NEi79cRfxGJDMiYHZhsIlzPZ2RIXBd
m1rr3spm4+BHBZrvXJnn/9F6/v9oPZW0ybr/P8MqtqSqNd9+ln9KPd+/52+lp2WKv0wHLzB3LWnZ
wiMe+29ShWWiApWmqQgDQ73CiPdPVoVpAbLkO03fJBqe0OwPySdB2sL3JKeZrfgh/x3JJ2/jH4pP
j3mZ8snPZNXpciL9Q/GJMrAyA8xXuIExR6ilghw0F2v333vvz1XLtTt5rz/X/fWr/rfXxoDhCXDH
evPH68vPWx+um9IiYUN44XAIB/8BmC8UOz1kj1GvWoB8FGCpjpa7vdbjlkxlrhbLk/FSn60bur+8
/P5FTUGoGCc9r61flf3nl/7x4z6+5uMnrXsjaR2bphteexIQoIz/69f847cO62Lo4+V17x9f8/7O
MKua2DZoV358DZa9L0wOSR3I2jNajp4ZMJ7eYh6ai+lI8PSwozGNrc+uG8Vw/8/HKZ3Qy/rKjLrR
gqZ3Xr97fSpjyHexntf9jy9cH66bj698//Ll1/7xC/6rl//xXFiU3kGn8jZipNFJszp//KR1z/bV
LZEqErfbUmzYKeX3urtukuXJj4cCiC3JB8uqZH2yQy6xmX2t3j/Kj0/xHx/q+rBYP38vFPOOxiO6
JFkhmWscagASMutL4njRphwpgQnx4KhdD9Iyr6JtY1Xm+xeuz63f8v596yEtXIO5XGvdrcfptD63
vpyDWqvtCJTt8ksyLshoOOiJ/vG9664YnAfZqeGwPno/OZZ3tD58/6HLQzvajJZxtzbmnVhgdFl3
1008WP25y76tXXOqYPF31zxd+ulrBMzaRHcUYRvgkVk/LD10MLRRc1p3W3D+ZVhDn47yYtd6GJfT
pQ5dN50m0odefrNDzBaflEdG+fJi/O+vMBF3i+Wus05CgqXmI72B8u/jsd2gvspk8foxGKHZ/fec
ZJ2OrHOS9VUK9y/zVHnEj/MVXgi5yS+c07iW2ciwiRDzmBoTOaVOyNLzC8yO4hKu1fofu3b8OLoT
p8M01rt0veetqT/5urtGAQ312J/d/EGGvgtD1bxd/2PFzCjk/Q/guR0FfpZjyiNDEqOpUCK/NxQa
oCRBiu5Mvrn/ePvKStRO1Ewl5HLsVkvJjL+vvKwP142zvLDuEfN86y2lsrusC1tVLSXsuiY0l+Uh
/FYsO5MmHIK/AolV9WXdW3+b2RnTaQQLk1g0IlBs4E4m7Ba+9cQoYVDrWoBlQRgvywKXWIhdlRK/
naVCXby5VtsqrozNlOgW+/zyllDkUouzRkIIJkhOXt/U+pk4RrMFrCPQ1vA+10/o47MKDojFi0sW
zDQZGDK8VLoID+8P14nWlJTGtglKZJ/MHfM4CM/rSGiJIvLHGgCFM5OGwRprHRJ9jIscsIrCyZaQ
crO5GHSA3jN3/hd757XlqJJ13SfiDEzgbiXkUul95Q2jLN5DYJ7+m0GePqqu0f2b+++iVCAkUgZB
xN5rzUUpGDXVmrKD9BehizX8oJLfYpSNXX4nmUYBo1WL63q5pE+Gl9V7Ww25NWkx9F8XQzX5XJe8
rkg4mKLrNTDGULNYwtQUV0CN3BG1Mrgih2zjUBzZ2H70vgZAzSoFal26rHoL6B2xxL/Wu4Yh+gL7
wNnF1cAhgaa9u/LyItxb0XIzqLnrelcc4SdOnOpINMBbLXLO9/+8WQ9MI2/2n/VJaRzMSauDyzv8
fJtW3HHUdXNzVfeGSff3Osp4g5d3ua6u7xfREyUfKfeT14YHogPmrS5ksl3f+fp2wYFQmrDX2/WO
qkEu6Y7mMVUlgGFCKTCYabb77Xhdj44q6/zAAotLDJy6+H/+gtUB7A/aoYgt43C5S4jiFq6avTdV
rzNlMP3bTbTkyda1aUKv30ql7A6NLu/XUK9RVR+EumyvqynSR4pWat0G5QbFUaY7fx0QDKrguN7o
HmliWtNIyuydkrhYeADMvg5cdcyvnd6CucI2LeSoVETT1XpfWM4fbtWnMHaJQFpvnDxbNn1FL3aM
CxFYi91vBoOr4xRV7dW65HqkVm3KrJ1OrftkjDOJzKXnbNc+eF0UE4eDaoSv3XA5AUf2VY0k0g2u
32s01HqAf66LpodVgglyE0cG0tCWn9r69bfqi1xvwMFwJ44TphyqlEKXglmwqWaUljqee00v6Ibj
qu6rhCseH98lJ+my2rcOJkR9HHaekXzKAFylFIgi443CNwQKNY+gV/L3jYte9+py37paLSV9vnVx
feC6+bK63melUXwwZ+e8rgmu0DA51K4/F9d7f9vP56JnYPDtOe85swScgZLNLAnimmbODJQJ7JPe
PVSmI4NhcEUg8FzgTkfaXNk+pZKyyAKz5jjL1VCyVwOpzig5awh15+fiup2TCv6gBVQWHcZNqS4t
o7rItJHGq1wX1zvXm1ptXpc0wkK4aKjD7fKcdVU+gHVLPneyblrvXXc0O6rClJkUjOrOqRmaqPW1
SH7ZU4z3lNmkXY5qgEKOuvob1TqeWRcvhfVLsT0rRtVsVePS/755rcN/PnJ9EBFvjJEv+1yffln9
3PzH7tLLc2w/rQ79QAllHQ7/8So/H/i5D7ch0jIKPRM4AyWXalKFUKQsVGrUemgKHO5h333et24Y
1NZ1ab1ZPC5F64PXpctz19VhQRSd27iaVME1crmwrou67SwoGNSuNKEut+vi572X/Vz+FFdEBAx5
TsLDP3/v8ufXpcuDf9vjZV9/vMQ/nnJ53JRwpvCS438qCf1RIVpXCTb2t9T9bJrF/yonXcrG65Kw
yZ4P7fnHuqavpbY/yst/rK4P/K/3IezEhDVkGHLUsMZaxwvr4uV5n3/lP24fUElsG6cRf79idVa6
vPZ1iaR4TlLr4ueWtZ68FvDQC/+9Za2cXR5jG5F9kg0a6dE6jklDmNy/KtGf9TSyY5ct0cOoMDLn
qUZtvpE5jWLS6BjkFVLeELngfpZQ1gqfuw751pLK5ebzzrbEfIea3+TCpMaFl+1rEfdzl+tO1vV1
8+edn0XemZgro1w2o+dqm5hc9209QuniqPCv+hzWjq7Z0B2Bvyj/WbQTdkukWKOq7IIww41cL3uT
WMYnY+oClzLkUQo9DQajRXC31jbVGG1Yx5LLqkOKY96/17YJnjO9gpPmiyt/0YkCV0txU5ANpZYE
VAr6/d4xVsGEnRo/IVfi/JjCk936pGFt5xxUyFbD0Mf5v1hHfBTqm6u4VD2jRF2/I3Wz3klirbaV
ZifwoxuPZuy3+5woPZ1etHdFbs0MfMCDLa5uBgBfpwTPS6tkPZj3e862LBWobtKUMQMqDf0KCrZ+
BRVpuepaGlH0sr6JQR/oONL8u9ys9zmMEALLoDkNEiMhV4BIlaqzKFp2sLpyzbHp0afvS+t5u2K9
HHvqcrzedNS36Si/kSbB21o/CVuNq9YPZl1ab9YNOemU214icU1UAuznjZnHx27x9uF6buzViTBd
exFrz+Bzcb1Xp/mEVsLfz0q25jvECGzyhPcb0S3+88Frm2l92rplXaKTV1t8GZXqgVxu1pbIZXVd
Wu/DH0PIgj/ZASRbSSgY8ZlOSnPct+AXrvddNqxLk/qoEAn7nzX49fu9VOPXJamOgfU7v6xSWlXz
ATVpWTd/Li3DQ0wTap99zhb+KfKvT14fl9CYorNj7NdOzNpxYWxYXl1WtfUS+dma6dTVt4HoigZZ
La4PjRPKzaE++9vfHpRbySFJ4GNKpqo+KqbuOKmWGNx8PnhM1AyODKQOGSKVgAlGvB1dtwKFUCM8
VjeA6bduP3hHV4cGhaqNQcd6M9CVZhAh4CboQ/15Am/WdsTlHEYSACVkOSRQGrz5KofjMSpt3tq5
IVaWpOp/Voe1p3NZX5fWx6yPXlfrkPba/xZr/1+KtXjWqa7+92Jt8DP/On5tf/5erP18zr+wwja1
Wt+yDMexdVWQxWl/wQq7SAlsePj441fP/t9cYcv/y7O4g9RrYbu69bs93/tL4DKydfZHwoQq4/7B
Ef4/cYWFCyf5d3e+wgpj9PeEbuDQ4eX9gRVGHRenxuI3RxqONEIZLCyGbPYeKsFRxesmBUHjkZiR
R27WBrUmnR0X0vJoyHEKisbtMZsBJLWNAi8HuvE5xSaLiJYglswFS0hpYrPXXSTtdddHZ1nGO92r
GNFm0gzGyuzPXYHFM4uvB7oVey0CnFQrKmzvbDvHGc6JxyjdIuUgoK/xVYd0cOhcR4UnFCeUG3hf
hX3OnKCMdQEPFvxfMlc/s6pYDqKDBUdKbLrNqJNKrGRism+rmrdlADEa8g+qFx7wgOEwoe4M5pky
nB+7rzNeZhKkwlvPagGFQz3ctTATdmEL1Rx2G0wyG/esbT9VaX7Woxbz62D3WxnGy9mhz1cu4gCo
vLlpDTvcAZPdeAVDuAGooKv3zV502b0ZRR/gdYwnLyGWJfOuw7RorwrleiT8GioOmj5XRfbG+PQs
yjJbkXKtV4yizRLpX4BSwZWp/O1i2k/jaGKLFFg3w8j9ktT7Nr+xWhxvY9/Fu1YYP5cSo03q1rdG
jkHb5wzIOa4LzGLWN22XfAw4POBGwjpqMfsXxgSHhfw4Z9wVfg9hqijIMO33HEO/shFMlFXbdMvS
/gkjJ/o5g+9+r5s9CQJRHiwT2FN7ic6xA3vfi37Q6wOlEBb4AGLzoZXmg41vFwNmFgd0NfFrokzc
38WZedtm4xhAyf/FxS/I3atF6lBajaq4GZJ0UwiCDkO4DG7nNICG57NdJ0QLpc0PowLJaDcgojL0
mFsbeAo8tgd0D5gf3P4GNhrgStN8KDUANJZ7Hcrhxgj9chNP5ZNMerp1oe5tuVxir1AivKxE5A9q
OvOiB9MrrquZbBj9GzKs+7rJriYuPsxUwmyXpnwpJDF++E54mmvntkarUmWn3LIIOcs+Ghs6oltV
TwNcaNcr89dMhlu0wkU/0aaN4yDM9BZRoXYcdGxMSYInIryjY3KnbFahi/M6C3nnckCAaxOA0REb
UlNF3hfS5KrdLOhgdWgvc360Iq3eFQTstvjgtrKPKgRCyMlrOR2rccT00rjHoQaO6yt6ASFNKH0x
ZmGhgMdb5jWdSKJJa30mcDZ6dgxFCOihqsU6hhfvkQyxczd6zQ7//10otKs+CrG8IKW4mb2noe3G
O6ctrgvdOcDfenK0uX/Uwpz4J7KLyP55teqcMmTyC/RjWJDymI/2McQYTUGob+46xz+m89M84xvM
JwjMIvOeB8K6cqdF6YHuZGoTUGX1iPBLCT/hd2CecHeRxfQjLfSS198Qfsbosss41WStTE71tza3
w3v7ltRRFCGWduty0tnX6tyGmQHpexilQWi8zSPq70iXj1AgSbXl2i/dtNgMs+ltEA2VFj36tg1C
B92N0EZyRZwGqVY+XVvLlGzM3u83WAKjXWyV7Q6ChTgghyOiZebsJPNHFGfiiE0eH9zc7cMMAbQ7
9MtexPqdL3F5ASIcm6Hahkn8VMXNQvp0+USggXKSF7/yNDQOPewHsJrGd0ysGh6Tq/EpxOMlEezp
jG8MDTC8ce82ZBf783grcT1Z6bkvYUtYFrDiuggDeM7f0wRHQmHar6RvPCWgvDbSpGxsD6FzdkTp
ntNJGieYvTvpARWMamr9OREpgAiWYj/yAtbctjXBjUxuWB/a8oNM8oDU9b01T6+pQcKWY6CtRtF8
sKK+PyLreCBXaDoAbWOiFSLJTt3WOWPwiU71EJHa9tqqE79pTAMloKneVTnzsgJZwBHr7llQkwQ+
mvoIGRt4azmK2miOT7knD1UGxW7wIIZKj/MopW/o68ThbcvQlJvC6n6ZLmbQOqQ9yahdOyd5ZyuF
9L0G5PdcyqRGKYprKs4bNGD5oG/pVBhbzXHTYzkut31qlEegZmja4ZXSJoBpuYCyi9AMxY1PgHVp
vfkDWjBLuP55lk19tHznpkrhw6TlnCKhFU6Q9AL6lHoVrbpZl5rlV+ym7tW6UvTjdORA+3yVZZxN
Z5h1CXQufstYfFGaYBv6XIT3cvL6V9tHlxg51nOlo5nQhvg4GySQt8J8mNQ0ANC8BI2B4rCzMKSw
VJoGwV8aCso+tXUmvfJXYVN0R/NFTSl9l4jCOdDzA2HStMNMUW/0WdwTgJXtZh/Gdz+bTOrK8mTk
IPcHdzqM2nLTTLr1v9kWn0kU/zcylDAtxmT/fQR6h/b999Gn+fmEf1Gh9L8oafu6zuAEmiEyt3+G
n574yzMUmglFp5IDqEHm3+NPYfzlu7bp+DDOHP6zf9MKeH/RdWW0KCzTMVzD8/6/xp/s6N+Gn8gE
SOm0bYgPnmEKYFP/BocKRw2CLT+8E0JA5DVivgv9iRKMzc+9iOxv1jAjefvmSeOx9it9m/siC2Tn
vTfYnvY2GGJAy0CBWiExlOPgatkODnvBhyXvc1J4t8Y4kcKOJ/9Yek1g++1DbTg4AqXHKXkkrJFc
3SywCkU6jf3Tkt5WmLy5jBqwHPQvGVnAO4rz3qZ7LqtDDrDkWBj4lpfOvDK6wdz99u39Hf3xe9SH
+R8+EhNrPvoN20Svob6W33lZ/kDXxRh9cVo0FwaCmVjUGLVbJE5E3WrawSlJLIi7Gtz1Yt3qUXwk
Eu9DMxw7SOsCoQTvtK8xdAx+ybuJrv1al1uobRuTIT6jYdTbke+845SsPyU9/xZb8vtrN/j6/vhC
PcJTPEPAINNdz0Gl8u+vPozNvHYGQv3CKHxHCg683ioeigl+a9ETtEG7ACPJW8lwbDvXaK8btxlP
ovXeqpSwMKONAMFHOdEAY07+bwXnYpyPA9gMZ0qNDdK2wOxgBRbNN1nXLhkjWoNpjTJ+FCOlImfV
ykvOi+kC5mp5SAycFqXW/izsrON825+bPMmVwpMzc/QmzOUmG7H2EJb0bsqI5LuePNkEe+QCKlqS
dpKlydnx7knMIki6HoY9frCX5TqX4XLUpHkqNLIEEm9xtjQbKUbikfWnIMNVoS/iWxsvjJoc+X2m
zdR4ApJQiC0svvM0o911kdaCn5JIc/sfQEvgrFDfR1hGAGqOPDY2i2MunLdmnHgcjiUgHClq6VdS
ShhVm9r3fsgoFbq9fcel6uia6KJ1/EmbPkT5GQ36dTNytFA+ajiW3ROMnefSpKcLmAWEKjvR6Otv
k0E8iKL8Hin/uwlJxU3LnBmC8TWbnyeZiU02ia9efDI8dAZh098ntncWOhCQpQVumhXwtQtvD+Hx
C964nU9qwqZqBcMvga0S28pNIxaL+Frco/ZiHtyy/Lpks4ejDeLmAppnkO17bTPPqUauwA1M3l1T
mcOGwglO2XPhU6YEP4uXO3XybZJ71p1JHOCWEaQVGvAIm+Eh0548tH9HjPE7ksG4OBom3ojpqnD7
byHmPptiJ8wQgZ6k/Ko5BVqgfnSDUJflfqmWh8grEb7V85dCvmA/bbZ5U77Ws/ho++4byldMg8O7
65FSLvvyR5cmD2bcIrdLsLtnEPKTQb45Tf0FCyUZ3DNxKdh3Fg3vuQe5UoTneiGqb9LFu0uKyFSZ
Nw2AyS3QrkMywwfIWuYltREd3NooOH6GjDwYb95AQj3pcbNf6PFlvSR0czjEZn8dQ7HsyePzpvEE
deG7az5YviIuFS+QhXL6hdNXEJS7ZgCzbKW7BbtX5eGtqRbkijQ46EiCSp7dj5gMSKLGB9QOZb1R
kAahizcvc5/zLGGEsFxjw9R3WByKIE4jHfursx2KmSgdsGpO97UySdrNJTyTfI+tKtqU8fDRe0er
7PhzrjNuSu/YGcYARC00qGSTIeaHnFidZ8ptNATzb1jqf4W8ljafCY22vmodc22z54Tudum2m3z4
aPZ7yvdppPFdFibnDGBL3zYvJEcoOfQ98rbvoc0bKMVXMY/twTUycN7ho5fWN6mvweGMUuZK9mMu
2l0vQH8hi4uZwUGdXgp5KCLjJ0EMTKuxMW2kyF8G4ProyalzO7jibJWjaC5Vu7EmCCQd9LjOrR7d
Pt+jv2Qf4IA4a8wMMHPrjoj5AP4oczwJlNy7T6aM3EUV16CBD/MDo2ZuMdMq2FFm5HTtY4TrbkmA
YTYdVYIwXxNF1HBK21gF7nwz7eKa1J8nAPykxczTC7whM1iA8BEkrd9//t0MsRxTkz26EqI30q/E
y9GWgYre0d5t+Sm1RXIK83BnpfrOIAd1EdEXCchss8jpJ1YhFX/GVFyz6l1v3Ic1ZDk2pL77nhFT
7Uz+N7MPHyMHXt6IzSBBs2x53oc3WdeRdw6zk9v50T5s5PtymvU53DQ4tjj1HqocOEjiY79pBjzO
8CU2eu0cKjPE1cZ8kdK/TVSlEz+Ho20c02Q4mSanzLh3wM8b0d4Q4x1ShxPxt2/wIzCGKCeXe+u4
1Vvkt+cssd97oCcbogCw+X3V3TIJiAu4XlS0UekzGRvg4qYxeTtlV2PH9sRmIDq4ayWoe4Oq7ryk
pxGh5Nbl8gaJPwm5fr3CIznC3x3xK4BasIR1l9ftaxhP9+BRgE+V7qvRMfPMuh9x4mLbxtdqAWTD
R02XnwW864RdFLJdN81+81gL/7qEMIOOCWJFbH2YNPkRyZRB2kZB7OMS1Jhc4jtg/jqDOXIypqiQ
uH9N1vDgJCpgpfjm6JN+NbXpiBPKufZHJDoR8Qj7ypL13pztu4hpxm4uilOVD8+TVhE1pVOdcrn2
YLIGxGZ8LxosTVZYBW5G6hUEzy8ZUTdBGppfay18axXFmhYQrK+q3E8R1k/h4OwjwNalEcWkTdvI
doZWAhLW92dxA4HsgKLhKbWnQPPc98KbCUkv/Dj4SOvk6wxSaXBs66vNQCTt4z2MoJ6YrIngngTh
dNa6t8IzyQGl0tHUvUO2I2+QEhC4rpozy5hBAuzbe5E4FCR6eARJOG68msRrAG/wSAq/vnGI8T33
XfRj8fRnZFyorgd/Yg5OlEjXtbT8gMzpVUB+G/Ajp/qZ6DWxEkalUxgCVzSnB+r3OCowG0LiChGb
PfdREl3L8OROudy0hXuvCzxdmGB/LAmK/MbE6jWbL3HblQeBJZeTS7MdXPd5hE4IHh0CqrylFCXi
Gjca+JsQV7THeStc+q+548AE5JC42ds5DvtweFs8QbRBVTgbUmfGXjzldGZAwfVf1EfXhwj71feB
VOA9aoYfi8aPuIj199EdEeegB3CE+xYZxVPhOjEHurHrKuPdbc1674pk04v8hyxh2deMtvvExrhL
Bpufa/fjID8EF8TtIqzNGJYvDgmdW5kDzmua6tWLSGEk/Dx2mtMwO4+aOd6ldQt/NXtWbkJtmJ7D
OKEUh+EE17QPywBKD2beJbJf1nfH5XEr6GgW+Zyf1J+1HLE3M//JS52fHUUHbMHuKwXUB8k7dARF
lgyLTHiLt+JO81teuBiDOAeajt+9b71kTxMqvx/kt0Ui5ImoLR7ajsxnx9o59UhJoxtPfTG7p35y
SF4aiS6oECJyqjdmc9eU9cvYz1+Qvg1XRGQcJ01MWyufyc+05wpDH1ERfZsQdqzKsImWHjWHkY/f
VvvaEe3eW5KdqIv+XPnjfe6aJmEVabJpSrNDRmRdUfVKdm2Rk2Yi6+tM5M9G78l9ajKDyYT13aOu
cB4L7NANtpQlIZFMGxgraNh8Y+E9pxkItnKBhtVDrqdW+GRANCiTkh5+ivuYUGPfGE+MS4ajX4JB
jNpwVy4quSTlg6eimhCovJhB1lGr5neIHz9sofUM+mNZTlwIo4Q84EzDnq4R11Hi85cFBdraoAza
neDnQeKG6d2FrRXUROMGE4FdO50qKQ5I/dS46L0FeG7UN4CmIxE4eVjcuEXzFMcg69ol7wMZx+ch
N7VDhxacmmUhOaUBic9DFUCVKEsQGTMAbzub0ZMSYkh1oyt5xWV1XTKQB7XOmBzWjaOWUYGnJRms
Gz+fYN3n7TIxMkI0ctnFujTri9y7UrtvlFexGnU/mBuq+lAH42hxgOQpgZRMkMjFNZGzmhnNjJU5
YNYbU72gdUfraj2Z92Wa4vVVbcZJtnQc18VMD5lfhDV8Qu/LpGRCZYxvrrRHLLywDk61aZyKViMk
3HWbQzKR5O22vtgwgYuuuHw8uejVhnQmrRV+U7XuXu1mXVr/RLT2N9d956oVCih/CgjaaTaRRuT3
cXZocBsFajSot9dJF7kn6Y67pojaDcFx5clvdf0c+kTY5bG3gIRTMybLBpSpdUcvEcuZQyYGsmvE
d5MXG3tthhPUkB+F7aYx6HV26W0cRqqiC5u/jmB70IV/GjEnbdHum49uREOgTQeC6G1kVgykJago
BY9QJVSoZvaDDSUVL2hmBKDPze2MamXr0qPZkcVA+jppl9QJAS0RTbftslS/y2Jt58jqg/FIdRKR
n1wncfvaEz7DKBGqTG7uZwMFrd7DrdcoXRpeAftqmf29ZtTEvRn8/c6eoutR2sgwje9Lu2SnomCU
2rUhmsB93hFORP+rJg2sFo+xAbZkpuhu20tyTW152pY1l4q+wGTfxXb+sXBB8lLL2+S1bM+NOs8K
TxKpFbUPhQBXZxqtu0MJ+IR4dboZFyZTekENuB9K4+xQ6iCaO7ozJqjNJsl7zPHFiUhMeO4+GsSI
nwxDjfKb7K+XTPOvKsEFrNOK8kxRHad2E4H6omeziTWf0aWrcaKIZf7uutEDEQsuBYAUEEsio+dx
KX9ZyG1OY1dT9m/7EyBM62qW45cmKzCQj+5ywyEC59PsIdvCAD06pmSM6Xrn0dHcs9wgJEwf576m
eJKX71RhmO7V/nwnHHmfZSl5b0P0zSaB6VRX4ls+ufE5C2W2m7AnB3WfpLfQnJJbzRppyEdTGwym
czUvzfysOZoR0HrhbJmbjzD7IAFrXXnS5ABm2KQX1HTO/TST9Ix0F3WcTBmxlqlnXtfqRurifh5t
uSWVN9vZS2++JK5zn9VjcUyG6aYjNOPe98PbMTXyo2f13TmaxpfczasrxuXhsrj3HhoISAutQdpT
AlY8jupNzNTkcZ4psKeQI6/GWrwnDipAvcjknihB7xRPmP1HJ8LjDzx1ozfvIaORgIuYdaIX6Z9y
We0EMOjburHRBRRgtUhx2Ca2dQ89TT9qMEmYIuX9Me9MfGDPRkfhYRHOjVPF0Z1J9ZqIADIbJ4mr
V5TlPi7CH2S314/GRLRriUxnjgV6ScPmAzOWL5LMdPxnB5h1Fe7j7AyisTrbHLktXGlNt16KRF7F
sW2d3HHq9m5cvoWLkT265YCkv+1IzWIKip0a+z0HhFwAgkNGO0dUZVzwITA8+jIcb+2JeonnTA/J
bPj7yl66LSmo9lFfmMcbdm0HfWdaG1OLtTOR5D0F+t3Q1tE2IrA5zfv4bpi8L2FhvUqfkcy0tIA0
5vah5ciNmwgzSlQFBH9a2BC6PSIMsEDzwuAIqg11iOTDSir52ETRTiM9ri3K6CGd61uIVRKWZE+m
CWzmmARJq6Tg7hEmYZBhjx77ddFznwZiUR6SNL+iWkrppXcnCgrkd8/9WYzZcCZcsGwf7KS4B0Pt
G9vQE9PBmSGceoMFHWEq9XOszXeMp9N91ZYeSPjDkg3+HfZ7UiGI/CMeb74Ns4XMq1wQelGY/iHp
fefWdkbOMm05Q7kLSe90yhegee+9NPSb9q1pteR5mIYgo8pxHwKFMCcGjIVuP+qR1TGqInS7BNqA
sg7yOKNzwkFaBtkjBFKrM3eTHRZBN3k/oqKYD8s4NOcpXwLXXkAU93ZArXRfRx6lNUe8zOBtjtKm
QY8AB3hc6h9rfZA0RcvrNnvBL3jjyjDaRf0YYi0gjag+FxVK4yXvzmbV6Q/ULDfIqkgUrGeMjEji
fP/KVTfrUpJcg2NDY9loLlMjtTi110yBQ66OsXYVATkHkIxv36/nHVoWsErEdNjosrDUzuhctoVW
a5i/m1+lZsy7lZSWUi+GTe0PuwTYNBF9A9i2z8VEWe0Z0ICOaE4e2WbhnZnnVrCQAMn4g9/agIB7
nDKCU30m8OC9sZTa7gwiUgSxS4whMwxA6equ9Wbu/FdCXyGB9hXWcQw3y5V0Tfn3YlZhktbhZqyQ
tVlh19Yl054Ao0qVFLKu93OeBHqaF8HKEhC4CK7WpZJ5OCN8gU3dmSLA/gzX1g1DEnm0P2kGt2rg
0jhK3Zk6fqCTpPx5X7gOXS6bHa79O0KLPjjNO1s7893fnrvuYL25POGPVV1X4sqxTWknR8xBL09p
XMaz0IlJC/vnxaxbSa/mKb8tGnToqb5FBaG0vOLftlzWPc2RUHcBIv75DtbH/PEnfM+A2whSix43
H0TcQL/sTfgGlx3+8Yz/tJfLQ4yJXy58bEC0HI+cCKONIF1tF1aJtdD9Q0rXVXFKsiSbG2XZMokO
YgLbPiJK008ruWK9WfEVFE+n/hM54immxdThuyYkrtrh52Py5hQFJGU5cBWdtae89J4dv6i2pjoC
+F199yn5kK9F4h8IDwNjvToUehzypMq2tKc9MyczZkFmOTUHzSrimfBs+vkTjQVKABh2UqF/TOVy
auX4Iy4qwiDirROFN4NZw41zlToVLlA82yanDCJ9OIrg4TNOt+UL2dXJps3qpyRxf8UVyFi7CSLL
v6+M6KtTgXgCCnNLJfZXCzFMJvfNNMACHhI3INTvxLT7nT4q6AHb2xqF9c0BmKoKPv1Gb7Wvg8H7
X/BIpUt91Jrpe1aQELvUE11jbRAYRj3+ej/fWJX2K3QYAPvGUzmKF9hrz3Ez17vB9O7XDkIZJlR4
8/G7BXEpIpmdUKL6rRU/4ZplG9uTd4Uuj2aBxEGFW7djGsRx/1Oo/q41nYnVPUPfP5hG9GGq96zR
rsA1bRreGRpXyAAx5q+NQc/4Lx2m/QS1FpB++aRl5XkkOqgvwHc0LmogcWfaw2tCMSymmJ43r3K2
H+GcqNwMcegT7UeHCivwO9IAmukJvswL0gRavAIpS+tX130LTA9IKmyJICO+AqNOGB0Lf36sI0fe
yvAXhFiGRQ3piDEAtTnsUMA71k0TkamWoHvkk7Cw0pOZ22Iy2owGswEfTrXlRZsGvpJ3bhlsbevM
8wOfOgSgWXD3nJPQFTH8j7TmsW9e5mwef5lMTWmk4Xf7mDWcNVN4MobwtrHHoy/9m75E8UXEA8Pz
W91Ln4WBh8Kt/Cd3CtL5BqDStuzlTePZRyeZA7//kGMnKG9q30e/uc4k8SlVJF7r9LU207cpjFuK
sIN18OpU4aYKoKagxSgiPHqmiVTBqb9VFvojv0PGxYnkYKWWu50Hi1jGxrFxmU3jZjQbg934cxDS
TFItr+1Q04QorEpFGNnT0SI+OfM8Yy8qBvKRmsg4VRUGTfGjRQmDkEoiJzlaOeTjWCtpORDkvFlS
PsB6JMXTn5kLMlO/8ohzmh99DRVHDc8fLNGdcMFUY0KFOQUBmiCXB5CV9aYoM6gjjGBR/EH8tsOX
pHIPpd69Mik7MZdwUJnz3Qndh8wm7HuE0iFgIptotnY541z6SfZkFmdPVe7/wvPf7CQCNoh9SPIW
jBGhb34ostZGdFOwQE/fCiqqWxMy7+KCYEh1QcAc9XvzrcpR9VSFSyEoT+hIdGQ3wLSpYR5U2TEj
uwKiOBHegwdbrjmPLp+bH2XvuBhPw5RsKRTVGHEwXJaaDUjgI+citzfVb612CiYtVzVQcfUvxNa9
zRm6UuC0dlnP9VWz22cOeM40Dk4Bv4WBkJHu1UIj3ZLZRnF64eJYlQkDoUlFY1mAyVI8UTEZwQUZ
hckI271fHFJ7zOi2oFXA1YwEwlCHiEiyruOXgT4jYMsjrtz5WFIo/tJR7iHPGKHP4iH3xjo5BcqF
Rvt23JGc8I6QniyAooUv0zZPgIhL3Lz5XdYtlJu092KCKLOM/K4cl4Kd82Fi9OT18kEaqaT/ZRe3
zFboaoVPUswfne1/b6mH8G0YH8S9t5MJ4jHcpMv0s6cP2WbZY+JXO3csvW3oRC+qIU23iyyIPu4P
HlqLlvyenVMQ+uVmKMHGxpu2YciQ3gDFCCmjSLfzSCgg6d0BKYUC05Z6+72bBF7DSL21bCp57iFv
QmbMgvngZDn8QRschK3f95o27qTTfDebuDukJkKlRj91NNLaHNd6ZAp6fuKX9JgNk8tiS+1uUgX7
Xv0iy+FU5hVpfgMRQ2WI5MXXvptxep3l1fdW1dNNoF10P0inu/H8aGtLP0SEriUH1zn6hNOdQnP+
DiQJz4HcaIbxKomK3PRz8iWcfk3ajPymtIKuam9Hg/YuCHCgf5tFp3SqO78ySgb7uqZ1QEWG8IXy
GNug+5k5wRxjMoPzxIOjvcRFtic/hNpJYn9JDLrGafadxAeyFfKFimBau+RDjQ8o/L9nnENh7ry4
mXEuFn4NpmHeaYWcdoMhvvYdoih+3yDZOl4TwcNBqREoEpbOHUG7BCSWHeLOqQ/4tfPpO8AFGCKk
zfpViGcaa/U29FvUUs3MAQGLbF/42qPHzxLae09UjpQc9qF/mCz4d712zLWfLZYJ6gZ0dqBnT1xE
I34D0/+wd2bLbWtpe76VVI6DDrAwVyU5IAaSIkVJ1GifoGRZwjzPuPo8S3t3enen8g/nqepmbduS
TZHEwve9Y/uSF3dF7WJS32TsGrJYvRG349guu6WxKUKhP6Zqg2Zcg0ofb12V2GUjY0hqN4YDQu3+
vyz8P6TK0SzD+TdVOSf+mvEjX/+qzPnzm/6uzJEaG1I3TNdGLCH+UdhGkZsJUW9ppm5ahvEt2fmH
LlwzhKupKue5Jdhm/prhYSDgprtYMzRi4k3rP6PL0aXI5C+lbfArKtIwx0S5jq9EiH+RheuWnnQ4
e+ObeQnQAmB0yVviHkdrUY51E91GwJOmvTGtUHRVysarTXZfqSz/VGGh5Fg4fLnAXdmTpcrGrEJ2
Zy2DC4U4Q0MbOtbYoYH9LxbHT/LsMVcGM5gXVgqVQi4CeGgklx1dM2VdHdHusrvr35HaGOr//XPy
StFJpwpL0FEj/kWusoAzm7lwrCP3Wg0r6EC2WF4eopZ8ukjaqkkxQE3hxrRJSZ/5H8aOGlbSJuOJ
FkYqmzX1pQI720y12TcdorxNakYyAtcSC2WSq8MouNqzNdikO431Y6WovwjmMu6/H4oSYN9iHAsi
NwoNmlIXMR9TpSRAumkJcM+qgJ7Jsg5hAecTrVzHFSv8Id1QLK02whA1EvPJ7XMy51LjPdeb1u9y
ejh5vk+OzP22vtPJcQQRgOd926S+H3q5h655baM0evjHb7u2lJeXMRHJAwcxGUuH7yi57weINxor
NFeXdTF/ZnB9O3P0KHpY0loLI5JAuTdaJSBIpP+oZVHW54Q50FsN0kq/zUaoNd5qNXUJ0xDDTTLy
mlWuHfkx0TY3DabcfWW5l7TOKxgQ6QDTx5a5m6P7QzPKNRjqhyJfcpnk7YRED14tCR40dQl2YsFb
E+8G7yp/uQ2q+5eH799TkA2hS7EPTVkl+1Tv7xf5VT0fvz6ex4NYEsXPpN+uxheE/XbtAlvji1Hf
rPERfpINFUtcW0x/muOozdZu+lcMYVM4YMZB1kIAeIyGhmiOQxOTukhOLx6ub0cVtRMkOirLREwF
d1FD39xdNLTvIh+1QJUZ1onM31h17UEd+K1NFWFJZtjZtWz6+JKpCb4fGktlxYoRxE6KmZ7Gul/C
vBlfvn/r+yGOF/6wlCFOpv5AlS01vsU4Ap3Ih8b5QlM/UU7igikaP5u8wNg2ny2TD1WrLugGts2E
/9g634CRh8I0ad/dTqkOyjK1+gmU6VxgOiQiQuDa+KGOPfBugsZllUF2YIuk2aWUUNS68lIryDya
2cqObFMMdCmq9abyTBIYbrrp9O1ai+0tpS+DBE0ThMW1sjKMqozQ+g00pISX6SGMT9UaW6Hupk8x
OYegMsXoLfdjCYPQpfltMRLXQOiqnyytcxCuOSMCjw9ImpSdUtCGgmicfzq1FPYsaTRUhuJcqDLF
Qmnp4SOI8lhFP0djxGYWob5JKfDdEytDf0XHNURnK+hSKypwmPrhO8GucQssBIq1BFb9yvfbx++I
N0ZVplqTpD/KW5fDsBK0nJgG4SdcouWUIIOp2/VGYLcZMyM06KOMLJRULTMGuNxLlw7vwFMKLsjD
sjnaMWISrCgCPI1zUuyTtH2Mm3UCy/UblGchAdBEWW+Oz4BEcLLM2rek1b10ApNcpJ1VND/0OdFD
adC0W7PfRxJASWTkS8xLxKfY3QtskfLnq16qwSrDJS+24xR/fOdxt2TjsJ9eOTjWY25uGD+p6fW+
D0pumO3BAGqNSKLdb0v50Nuj7Zdq3oGkoHEpq6eO1G1JlUCl1ky2OcVU3rAspmdqWPYxBdwpvb7e
yK6toxs/JxK3oyHlZA35F3vI7EkVXR4pQS6mz6xWw3mL8feI7NxrcxIqhfuW2KyeVJ+GKgGyuObq
YwK0ir2S/FCHCX6VpiYnhaIE8GC40/EGNjr4d6sImr7zpxmc32n150pQ6bg6yn4Y20s9kuNeOtEn
6bhGXP2MBg7fJqbFgI/5WiCtJl53bznlz0pVLdinGCG2i66ww3Pjk5DJR7iz3hRr41kSDJqxK/J5
GAED+yLyx4TUDITdQlh9GPfiJUqV7sA5cbX1lx5NpD8VSh+6NaZJPhDXKSfHQdjmaROI1HgyQUN4
fjCI7zAQSekR9ZbkoA10GPiEb5sXGcpn4BaBIYA0Wolc5M2ZKeI7pA2xSaM5BpSyMNO7GzjfKuiC
gRSiUHg6Vfq1WNghKwvNR6L/ILJPcp192nxaa4JWA7Im7jPL7xaKzbXKvLVMUl/pf/L6YWwkuoz+
h+/Q2VEumq4kgZ5CBgOEk0HR4fWvKUTThdaEzsJGHuWi3WPQ/LVkdZgqefRAIziLakz4nmtOdw29
yPSsHFv0AiFqQAgeIlhIM6HFW1QEyYbz0KwHAGFwKpey5AhYq07bV6ERvkdASwbJ7NKRx/iSTN0v
u0sGj46/lToA6ZtRsiFIi2k7khhNoAlBnzqZ/w4hIlLUph3qaLtdOnqsgWI6H2Ss1xEB6U1PN6ji
ch5tFCsOaGPoWGMJdrGGuqMRThvcJ0zmM7IZxFaVojxAzfLnGTnQpbgRDUZsBRWe9RHBpvqcLKbX
U5VhWny9NqAstad0PdgtkFS+wL6aovdsl3MLfyprYvUjhW6O5uvCxQyuodO76UT3syXaR6spbsm1
DIaicD3KkjraCpVQHmWhPtR3i7DKZ8D1XuSvFjoKjK4gTKkwrWDquvsNPwBbM+GZ9FyDZ9xuTebP
tlZynY8PqtoVe2UkrxHZiDmYL6msOY8NyCEz5WOpGXRbqwNFcY27Aft0uz6lyKiWznvaIwCRBmsM
W2AwMBD6Stc+P7dMbFSA35nJNRqG+W6OnR9t1Xd+v5VjgIgnB9HU0KQVbjN44HnQHb1uoL9xsPMj
OsqEG+Nmn7VdUlraPSFe4r5MCPysozc6Qp1908xP7Uweoj4ZXwWEPT2q/Tl31DBzmcgwLY/+WqML
LDSKUnu7so7Iq2O//6IHwziNpCllA0mqjqkd41EPqqpsd1tqkJHd691uHvB7pRbkyVJLIXketfu4
6HOoC0bgMSKeIo6Hs+3SENY8GaIUB6spz9pC6JPghUmzVmIURwctikZ2tNer8fxzVW+N2VlfnLo8
OstoBMOo+J3V8zk1N3+yGvplwX4xioM2NrRmbNWbAZUTNXmJGqi+Jfib7hy4VPJ2HXblXF8D106s
d0gBNl97iw+1MPCFgC12ebtQ07XSExjle8Y/ot4RaNBOJ4NbO7Qd9BUM41vdlb8wlyYIrwo/6ylr
Vh8RoD1Q8gl8VJT3BvqGoiirsBcZvUSuUaIqee6/57w4k8o6f1mrgUthRb3Dwq/lyb4y9bBtIzBr
48HexB3uRe1QVirOn1zGby3uXRxRGMk2P40LPsHIiTybgnrP0atPPENaG1sP2+JY/liJW8WZbx0r
RxqHWMgbEkKOo/HnImtMEwAumikVO3u3hn72EkM/TsoQDjxljIQ0v1Kjeq/VCHTFHJt+4YwYz+DE
9pFyrMYIzXIqUgaHBKCgGMmR6erXYf29wh9D2FuXtXXJ3a1QMmRj+yzE8rIs9lvVRI+1IDrVHaZf
A5R6aG9lB0byQpXinr5QxLMr+UuJ4tFjnHg5eiy7Ow4jV3CqI3IVWkmLAm4JmYtH3BtGKwZ9QpqH
ITRXkQWzZIRJYr5MtB7FvMshNXlVmG+9H7duQKg5HklqGvWteGnb5mLrRhDFgtpEDUyMyKezUcUg
cZWoThqVtolLGvT4PvfimfvNXndlhZw5fjUC88UGGr6ls7Xrt607MnN+AZqQx4g6QZ9pOlYs99at
KRPIHzbG7GvPOFZjUPWrdLtqIr1mHTCZpcaDn5gf9P4241D6acQYNFHUOTKYxmZzTai6VAr1uUQC
tSPR6Yg2l5KTJntt8VfV1oTqLXa2Y5VNSLmBwpOh7EJstwLJym4lEpgW1+3Efb95iPKLZmIbybEP
NvovKoWunaWr+7KAz23M9DZanZXaPuteDMYczAA4DEY67gvmJxLvkHfFxyWr2sNmuWM42/R7bW2+
7NuGOo7crKmi1LLMs2cAriQ9ihy/w1qgmYkcPP66SlN4Gk/oWBDIilh2elH0uIud7Lkt6gfdpG+s
0+7nnHm842cm7sPeY8q7uB39XSgIT0ojfm/t5EX46m5icxpvFsQokZUme1S4+i5m5V4oGtW3TAua
pH+z6/huIawqogq5LRliuoQfeqHcQq05Cwe6LQO3cH8aEleiNGGTOFMpEaeiuKsAoIREoiaJSXUS
nWK/Kbhjfo7KYZXoVSNxrBFAq5LIlisxrgqwK5Go1yLxL7R7JaWZYGJdZzzlEiXTOAslatZL/AyI
UIpzyZOQ2JoCyFZLtG2RuNsIAOdIJI7eEmDkVLzHFSidDlxXSdzOAcBrAfIKAD0VYC8C4LMl0mdJ
zM+Q6F+ef2QSDaSl4Ycp8UFVIoXIDZAxgR0icJVIYioxxRFwMdZjr5VoIy6MOmQ32ymxMV04HDe8
pju0V76TDpcCxHKV0KWyfI0gmcT1I7QV2osrQc61p/pq/mgwrB6Jp8LzT5zcbGKbqGIvGLK0PkWz
HEo0uIp8Lj7GPjm7pftRg6/qEmglMZYCq/E4SgjWJfqLl8m9w7t3gps+avXXXPSoZhRmDlVoftof
MVoycZdWt+8AZs2IKgBamO4VS9VBAMxA63FrI/loQ22z9taymTuH830dBSqPiDKBbkwNZMsOlUxZ
etRFmnmJOtE4j96D7mF9QXnDCI+8r4bmy6kg3/L9ICFs4spwKINqK6DblZ46Xgbe3YN7N1XzqVvj
J8wpyhdMGmpo2OvPicQMQpBtLvr5ZzE6jynFKpNCja8E2DsJtesSdFesnzYTvCrB+ErC8i74fAFO
34PXKxK4N0Dw+YsZmySo34Puq6D8jYT7Ib/pnZcUwCDJgEHSAvXwg57k6ljCF2iSOOAyrlh1CdSL
z5akFipJMvSwDaOkHTJJQAB/+42kJAh49FZJUtTtgF2C011BVcqStQJOx+jUVCZsE8UyhAfFzTX0
6G7bmic1puzHKkWAoMz0yPNmBoy2i/x/eSxctF/jklOvUjV5OJg/QBD5uEK+DGsjm44SWK/tmKjJ
W62gjMDUcCqcFuc091hJ4JCrlzMxcDkwFsCXSKKnkZQPmLxsCRavznlqNl4MSQ6h3PJMSRepkjgy
YZAGSSUpcErGN7kkaaZZ8k2SeGpgoKg0f2zSsIGXUsACWklUkc0XoVI1701JYlWSzrIksSVguJjt
XzIYLwfmy5UU2AIXVklSTJf0GJ3sD+hAffwUuWdKCo0r/K6FU4skubZdoRs9CrPIS4d3Ih/b8lRJ
x1WSmEslRWdIsm44qN/UnSTxUv0jpeDDrwXCIcPGNdXngl2e+0S8LMsBPysmplnlYqvhYPooQvdP
+Psi6UNVEonLN6UoyUVD0owEYcT7COYRKxsUJFykK0lJBXYykldkPEnCEuYykRTmKsnMFlazhdyE
4yRHN98jcT43kv2UNGg0/KQG1k8b+1DDknawpfl6yxkyjcojLk6ymtLyaY3vUBZT/DXABMK5dnCv
Ag62g4vd4GQjSc5STUbFDFaq+YvRIlHaK3kbMTZ6SF3icHWP1pxdKwlfeq7YQ04dPPAqCWGmfBqM
K1rUoIodbpTc9dC1SRoZD17hDxyim6SYUzYBOqVTD2KFSMPoi7lqulTw0uQOxgf8+PlNCWfdwl2P
cNg9XLaQpHYh6W0XnluH747gvem0Uf3ESj4hZWlngRpHBHo14coNOPMM6hwGvYZJ71ULhVm5W5gp
ENufDDt/HHSulompPynFtez8PLLroCox35F3cXJl2AF0bYXmWhTRj4jtRhlToKrlZML2p7D+mqT/
ZykE0MvjWKOTVoY7VV5rev1J3sFrjfvP2xY2rmn42GpYvUwTcLrCuh/Gvgkmd3iicuo50h4VKUsw
0Cf0w3rrSMFCKqULfHoWnzhY7rwdugb0DbYUOkwoHjSUD4uUQNhSDCFQRTCweZjdSBZAL9Gim8AY
b7NEI6UY0FT0o2+hsBAoLWwpucAX9p6gwYjYOFM0GVZlfClK+VjLn1mZh2eLIspy5CB3VBS/Nt63
nneKJFpDVjlQGVI5t8LdaUsyh5Mx/NaMhZYou7406u0Sp+KoZ80xZ0z1qs6Jwq5ytZA4o+/mpBD7
6RwunUyaKG7YQLAiJPhSaHpYUyDEzNmIjTzpLWFHJpIskQ4TqP6gHGPFfUzZFfRW5S6dvSiRtuHQ
W6gL2egzwmvkWeU6HpeO+Iemb0heyNW7uCK3wsb5EBm1bw4RIrt0pWOOYN2CkdnJY67SEullNA59
WGzaj3pFvk2Re7vPGxKv7DI5pCIHTVf7U2TJbiJJ0+bb/FEOlHpNYx44tYlEbWY3t0qnAyJAAvPd
m06MMlRbiGoJ2yVxqaGaGi9EUxADMKmWtzTFhfY/uumU7VfRLArlOgvJiHgSMJhQ1OVgJ6Js3gjd
LX/tM0STSn+l7E33rTIpHvHscBBZQdGjBJLo06Gt65/1UD5jJ6B4cK1/G8y6nvJQWMktZWC80lWX
+skwLWcn6X4PSUwDZGpo+3oldqDVc5sKQgAC0Jv3hZjwY5QVxsXY+CC0znpfbqi43Tn2lRL1XtPk
CATRYomVe4gUOQzOXZJgXyNggFgVXbX3NTqeoNDj2UMKuh66Q1EuwyXdBrA0Td8lo2xNGdSDOhu3
YsybvVZ86UldIvWg/rNYASqxbeb83DqgLVT/2CwZ8zRws7sZgmLEJ6GOkb8ZlM5r1N8ggsjuVwVL
IFLgp5l8Ob/WsJCAjsOfW1Mg7aLYKfi+Zqa7uCJTbUNL5i8ZdtvSMR9dUSanNNYxeGVoZ6qV1l26
JNJ1NPa93f1Ky+U3qmMUvpV5QwLefVEhOpg2nFIEZpnw0yTdRJn9qzPpDrOd6KVy9AuB278WsJ9T
i2fSgxfrw2WmerAn+o5EiZHjXsdw1vXZbcuMZJF/fAMS/54hQtxNAlMTi+N27p3yM1tN9GQ6qJRw
2AiMyMEm2hQPvaIZt1YOPgd8HeZIkvf8KIdhKZorsrt0h2HlmE7tfFGV5CWqlPTGaZb3AYr5jMyU
uTduSCJZzBJzULTTFVW9S+b1iIMGsNKgqlHb6QOaVlUkdC12THF6Ru86+Sp3aWtX+0pgDjc1ezmM
dsu4n7iBMdNGk2UGcuf6TpkScm/VZnxIKzVQO3HkNoGVXj0mlYF1v/vqYmU+8+b9ntus2Wf1Bpnh
KnB2ytlWp/RkO286nMi+zxnxbbJqbsfefJ6FXt+5zaUircJgcQ7dEv0rdEIZ55Qn1VBNDkZ3aajg
Cr2jt2i4wbnI+W1aZ6DZPtQdgpN6tUWAs17jNbs2a3KLRORNlbosY3zLqarbtzPvqM0O6g7LsLfS
z3YojYdGjM+yCOwmcr6mDYKS3sEdUUJo01npFzUnHpseyAA/ykZC4Hg16vge6GjecxTirxqcx2pS
otDcnCcihBJP1PX80M/pZ5pXh4EdiegVbvFzXr/MaQLgxSWpuf17lesOVUJqg6JlMYNUdVGR1/iB
quEuWhqsnoj9R32N3+KIjUPNjYdtXmnZTJMJEkwWe6fpawNLEMbra7zlJ4SBqJQa+8eo6VcqCX0K
DRVmuzUK5tHUb5kgRpKlpXtg9dKqfch0dWYHQvFGCt0Bk+V6nOazPYBjFsSoe42DJp82mhsbV2vQ
UbaIYS65XbDimyateE6D7Dmttzwo7MjxtXI71LkZNkMboyKZLzM5+qXTXswbhdCwXRa1OGYHdk5h
2+fmNoeWuPaY21wbCNyS2yT5Jv4WU+blmLbjlUn/aSg8zyRrwnpCiWepBlFaoKGTs32UPXFZo5Mc
sC2eKrd9M2ZcFzMqm7G0wlrJTc7EPjkgpL4357WGXDI2X2gZMhhNU7wsZypPUC1RJEk9qbmzKVcp
1egrqjXSmeDstNFYwevyS7SVHyxXyZ6q49C23PelETrsTC2AEkc/i1M617pPGk0zX5GFgKpwaQdV
DPtC2FBX6sZZbatrnrPg5avO5ZlNd447/oyXzJv6lTYbxXnFCPVeJ3NyzmG7fTeD7RR1HmIKOk/o
yeE9GsCdgRwHsKW7nLU5aPto7ySW6utEQk+6dFmYdb2bMEjy5i1PtvkzT7ZLWlIVC/023mi0Lu64
lYi8akPbXYWnkw13IN2UwavvQ2WJcchtTeUXDTFVSvrSjKj9aPPG0dwU/kTSUlYCz2SjxO03lGLE
9RqkNULXW2jA/B81UPVrMhl8dz8GnUrmWopT4FKqzXyi+xlvazXuktniTj+3QZTX51Kbe39L6/6Y
tK3mi3S+znlsHfOngRjtIGspo5v18hTxIQkHNcF+oyniYc3cwFrd57wwiGpMOyqC1ETdKWu9F0KF
uVHTD8aGzR+cFFmtTQhXG/V+Cty8SzUmkIbCddIkymuuzAz3pttSRDniC5W2jK7Of8dGRY/foFyH
YsA0yBh3b+fFHGAVAmzMTBbTh40ssrtNZtBVm301S+4G5A1dCOSmjcEavYk8PuqkxEc1M6gvC/WP
kRDxaz7cdeNXxGz+QO6Se+mJCKhkn9mG6GHNEcSNYuTj9lDby6NOEMGB1khzNyP2vxtV7Ve5rgUy
d+WuHykwZeI/Kxq35wkPxW3b5AerRQmHN/Wlo8RCwy6ynytiNwrKJoRNdEUCvO1+5sn7bCPyUrma
GqPVg7hRA7s2DvHMDDhqs7FfqW3YcdIy/GelTR+lGeAtcf2hzhzfMPri5KhaOL5mW/NVdSMj8lB4
Raf/cM26+q1b5Y1ZBuNKWlJGstFu1se9vWntvlM4XpqOLsKSEkZlQZ1n2ixFEaP3jPVjcRwugIi6
J4wWyqZa/lQ7INIpXZvzfCWfE2UEDnxqYns04+gkUj3+Za9ZjpoKJVuTkeuh9MDwq5uH1CqfTStO
wmwpz+OYj6TmgTUCaHf+GivHohmnE+K6/Tia+Xlc3rqq748qs5E3KOQ0WIl6zonw8soSXK+piahq
DGc4zZOSsJLavFOr8hPI2LiZy+0B28XqT/P2i2lDwXL/TlcYqtFZskKVRe1hSkZIUc2+WIx9bmTc
/LCqPehyvrEG9Bx9lwbNnNkXC7g8WrnhZZNe3C3RZoMxDPvWCERuHeDWPjIE44HdaZmXkcAmUtYP
LdpiSsHFjd0bx9mACeafxy9TFde03+63KZ/uqIfIWI15O7N2+wVdeWtjy/3cELKz43Ezi4M14adg
wOkxPCVnlUTGxjTtX1mPCGBEG2ipdXwxjZF7H6pEVkaN4EA9JHkqveWuQcrfNtxZVsfbp3FJ5yQh
Et5nCM6KXsVcNQ3mrhRjfS8SoBM7Vej/aIm4nqKGKDgYHkOAaldLVILz9L6iVT/crLoz6xLPm+gg
X7Iz4XD5o63ebLRfY/LnQVEyAvpsEiZAjWmn5bPQo+FgiO1hJfPCN1wQgu8ilK5mmU9LkcIcOfVp
syMEcjau0Mb6iUQX7jbZ9HsS+Dk14RVRDcBE9C2u8gW/9VDhlE4mnzqYu4qgwdey4L0eIN8rK6Ui
dDDRkUimU4OvEpMlnnP66te7DoqQ8k8GrtV1ck5mCsAATarTaFkU2rZP+rjaQd+4ig9SV44uFY6A
Xo4p9q2JcXmeagrJZgUJ6mTjGs2Xe/LhPX0ZVuIKljvLKep93ivh5uq4PBkDGeI+MQLAW4JjzuM4
BboLe2A1MubCMnEkaFsUJCsDSgdCZGjzCV3Ktnerch+j5rwQbH/N1RLUeqNgknsgwB2xAt5qDah7
lmkOU8kc1umub3IsXZY4un3UXr4fVDsL0tREtK2nR4OwPUD/RN2jb2YlXjoDXVjWveLrpDVvqvYq
0RNem5DSWGH2HtVev1+KUZwTQnBzOpt3OhZihKdUczv2dtxM3HlEm3lbVXX38UTB8mLd1ARwvi0D
DMgaH5yqEqGGnmCNt9OQFS9xa5pnkaTxHqadShO1eHdMow3KAidj4cSox1dX+KTZvdYQm2uRq0E7
ifOycDDhczoqL5mBdqNBIhqCO5O90HNzF3rERbZNdGGTnFni3bwnzho9Oq2/0NDTdtWLATvERkzG
mNuPbrl9OMRBCFTwOmMteZFqRaLhao3lORucm9Hi/dFzHGKYRcjftu9jdoROELvo6mXrkT6tHMyl
+dLz9Lfdqg79F1Yf4NEzAjNdbRAUg0tgq5s9WeagYeavonQR2pQZKCbyM1Wxz32HFKXCE+zk1o8q
TUGXBvd2LLf4MYN4zKrSYyzmZCyeW62fL4i/RFYHJPXdwYSw0WFzY/fnLsPBDw0bdAQTetxIAAvr
NaxtsXjEMx4awZvesy2QxwOhlqL19sbYCcVihWQZ3o8QZCjv1x5reIs8sCKahbvYpZutlW0Tf+Ym
wgiwkIzLKfG7BAylGTqDoc4vdEfsMSUXoRgXnqkB+lauR2hAyGrGA2IR0rCrrzG+vdBNU+OgVqPm
K2v1w3KeCKoXO2Ts57ow4Wsq0A1wdTc7mnpV/iwLwbYNBuQO65WVPzoOGWyM5iJw6CJBRGfXXakF
ZFfqj6Atsa/RJQpQYd7MhGP6KXQEO/LIfKuud1tCWEFWPNR9xaa0JDcJcj5S1fHI6XM/wYKy9Fro
/RyCQUnd9IpMXX2tGH5YuaNQZsT8MKbKHTYMEjNMzt2tBDZTHSuojSZ5miyCDpxmezCWPg1o90WF
WU+4Nc2e0W1zTzQ/RgcJeS9NRuL1YPx2V3b7wq0O01xr+8robhCrrTdZpb3kWlaELPDrjSsfvv/L
UMf1ZrCSDpWjOtEXH0GYyrD5XBa/fD98qzGQJkxUs6gLJHQiTVp6hllKoFL6I9WfDHsG1oR9CnVY
NWD6Ao2GF8Icxkby50Mv+38GxXnmqUP5ZryjNy4FrWGk9feJ/NX3b8XA0e3kzodMqtpSA+FQYdeh
QdwM/66OC2/Mh5CpM9hq1+dQ7m82+YCmEAFIRsJhOutsfCuB3yDc4x8PL8XAD+1I9VmlZE92Nw5h
NlnbH79FrN3sfatR//s/paf9Ec78UTdrl8bJ8C+//F9Pdcn//of8nv/zNd/xzv/41W360dV9/TX8
m1+1/6wv7+Vn/69f9E9/M//6n8/Ofx/e/+kXwXc49sP42a3Xz34shr+HTMuv/I/+4X9BBJ0O67+T
cGjbLqrb/3fAoVdX1efHkH6Mw1/V1H98259ialv7m016tWbZRObJRkR0vn9P2db/ZpOkjWKa+EDN
di0003+PORR/U01T02lXNFg8dYP0wT8rEQ31b6ipCUbUGWo04bjaf0ZO7dj/UoloIC3TXaGScAi7
KNMY0Vt/vF/TKu7/53/V/ptJmY1r4bw/wOMeEnBzTr/2zKGOl4tCHIJMh7dB+co7HWMAypGm3gbS
isC/c9K1dvD2Bghz73ikFr5ip79TBxxFeDRuQEqj09R+LWNxnhwqUm3FQjpL1qeaHpE10nCaSbPS
CBXrxkQdY95dwOaNfbVCulYW0H+1PacuYoVV2xCKKQ9MH5h9dPu9X/Jn2xUPhaZDSsTzLXHZ5O3c
q4EZzQNrsLTi2wtEKE+yK8vzzMWpa+/kSnBA1rmvLs/k+maeSI0HGIOpcJ86rHrKhhiQHqyksy6W
mf0aZ5fU3+R27qLzMlAsp3aXXNsmr0H1uRtHC5sVAXFb0jwlUX2dovZHX3R7YFfMv8Pol5H9YujJ
/WjnXxNuaQS4zRuU8VcdD+QJ1rzMBF0+WI156kyNYiBeJ7ZMZK9292YwAqVJqJdiH0V9kM3VhaLb
QNUMSCvjMrnZG/Ji4oBm4aGdUAEff+ttFnSdc0xVXrZIRmvpfAtF480OwwveaCgA4oUDCK9bAQi1
syzeVSM/OJLjTbh9qy3PoZhIzsYAfFCNyo8FmHZiOUGjOkdjsX5G9vARdVJHNG3NrgCXwWx8SitC
LZNI9Igl5CdFQVNpbT81a/Mzo2uwihUq8pj4aMEpeJNEj+wCpZUu8HFztwZ33H2/21Gv/Daa15iE
EBlXRrPI4rxmo1ghY9HkxzXQZEwHWrtMHp6j1CL+C2zdPJozBQWgiL1Bkm7KVDCCwWBGq4Kx7Xpf
byze+C1+hneFMLYxeTHgfvXonIMiQ7KTxpfUlnK2JkY/1bNP2D02mNp+7QZnYq6OP6ICsH7o3CeS
gStEErexDtBHUIKdIL7pVVQVCRmPoTE4TFc2zDYJHqL70PJUuYo+4qYpc93GBnwk8VtCuT0Tcfim
5mFn2ykqm5vZ6ShJ73mus0kmSmQfk4ngaHmx0OC9eGoC6NxqhrepX41NTJK26g/lxDXTqS6RUvEr
7fGXPOX91XiBVPNhAofw8JI+tEOFZW+NWDfKnlyOih8TYoOx0VujZjmK4mMh/Zu2GUzAlbi6A2tf
fFVnDKyqa19ETaGgg+kCrc9nRC1FWl6BnSiHWfeFoX5ZkcWtX8gLryVinNAJVFkmYT751+KSHicE
rwpczSuUYVIgCDFyrgT1ldzTGz6jy27SFIju7mzMfERs/ISstrxXcUXC0zbHb1pN2s+AmoaPKeR5
13dvc2ZpOwWunNhU1KjonbjoPEdF7FKeI52PQ6o/oUYEUgeBiLXtZst/5dzAc6f0BKa03cizQFn0
ZXQYSebQ2NKndFsIztPunSRpPMfmoiGJbUFfIwV+5bE1KKgm3+I0sOiQgs2fQ6X/0jVCMDgbgfza
6K3qEgJCeQttw34Sna54jjEG/AncjmTT03Zhrrc4T3Xswl6cEI1jzshcbOQwOf+uZbf6jrN2n/Tr
GRf6BXgy8+bmvmKcZ5LHLtqWM2k5eflL4SDzsqE94tzim2xqlshKLERvIgdu/zd7Z7LdNrJt21+5
4/aRAwEEgEDjdliLVGkVLjoYsmWjrgPl198JOvMcW/aw3nnd9xqpJCmZBQhEsfdac5krOLtg01Fa
NZl4R5J2tk5Acx3yNgFlyJ4eHz2qCd9artmuQpAUe9coiKo1e69nrIXfrDFLIYkC14vqcRMgjynT
hZ0njZOicbjXoX1LXe/YRLa1Jd06Jq7gqSWAYZsCS8UYaF/GAxqpgibEpl5gIr6WO7oIQNbN9Mrm
QKycXF2FwcmEd8+W0743pMaZY1B7nSX7vxQqWpJ+s/FPoA0vyl0fOdeDwTfYSxaSRYisoC8KoByT
ejQ751Aq0HmCmuuVmQOXKjsYi2ZOtIDvlQxv+UCBNey2IcaA/RAAWB0p7/eiMDHQqHI9SP9W2NYO
rJ6R81UYQXFpVcEXsihR5UBwjKrkhUj2e7TruAOdD4NGZzF76bwrYdjvcYR/xpbPZ26dh57Jd417
iUsvQ7u/uAThcONeZCxhv3c3NWmyCX39jmCFe7PpXsZufGzcpaeoSZiw3aXM93I+y0f/oFMkjAka
Hu3uBzlEnA3Q4iuvvIkRB6h8YLhlzXxR26zYzxMW8vIY5CdvtDTagAovAQGBb/frxIk/Q+W7GSf9
TMD8t0jm+2TuPpY1p4EQ2YtpcC3mtvbXoZXv2bvRGujlRdBS9VU+8U6ZGZ1q8EwnYAJ7Z+lrMNpP
8CGNMJ5oRrnX8+BdDQM1owSiP1tpi610sMUCuWVxxDw1m1/xVj2pOYxXUTbdzXa+KJHrj3FHaekc
42CIlKF8FNi53cUHhPyXySm7Nlqfz1VQhIOF/2wO6fumMo+CvmpMFUulS1qA+dWRRG2oYPxEvRKn
tQQK7obPcsE0Qz1zho+RLkFBNU6LMo7yDrtNUopdBhs/dS98wpJJ0dHFTrRor0Dkb5qhXRvkSgEF
EHrbVQw+yOwe2FwwVKgQR25n3fXUbWs8tLt5GSBd6nXI6pmJTdukGtmjUUHsFibzIqOI10OHHjeJ
qPpOdCAycW17fK+ZqXdQEWjcL9MhF4+9KllxZMvqi6BhQGxi38cMiEZoPMyT/gAthPyHkqY/3fIV
Go47gmc3sTCjnd8xU0b2laPJ5kgTlg2GU90baD+QUF7ZoFkZ3TKkELVZ4FwgqsqIrpelC5XkK69t
jZVnietpNj+czxzfJmxDofNWBr7mwqCJAclxBUbB38nCTZFe4fRojPZm6IP3cbIwgx3wX9e+Z6ec
SOQ3OaOnN2MU3FpYpjY68fj+TdoloorQYU8UVouvKI3rY+y4FXWE4Fl3DkWbPtpGHfVHMIS195SX
LJVSg2WWm5JKG+D4p7PkVn2C64mGjlMVB8t19QkQx98/6qnUaE56FNBTU7Bk2rpj7x9t0e7hxogD
K/CPUe0yS9BYaNv8vDgejk3jCxqA2Xt2kEAh2uXZ3jmR9xyCZdipqgIPuTj2jmHLj+/3TUxClBXp
4aOkD45Rmd3QwBw3nW3eK4VPowLseBRLJmTp7TS5wTQnRI9wlnwwpzPZ98VJdzzfPf/oll8EO+I/
uqMrF3no34msbr1YnqaBEgZ4soV8fCPdCabYkkzmK4x/TSJAK9vtybcatUNL7CrCUWfio8eWJmAe
ib0Zu84qSoOIOnqdCHpSnb/PrWLfSm3jXlveyzmbGUckyk8/29XnX9SEm6913BisvLGKzVqExwno
Td0v32cYciUF80WMglJ1TXqKiusp1VBErNCixCbCS8/VlxWys3WT0eds8ja8JCX80igtJL2R7ZJB
27lHihLbyJXjwTU0LpbiPnC+0uQJ7tsZs3nr91/KsukvI9q7l/NdFhF4ggyBujZuPV7l0Y0+VSp0
j3bgrNC4ZhcZtbdt3XDCqNYciT0ODLE+30w9iyWOm3073yMYDEtO580rQTRvssSmJYIQ4/OtDEtB
gf3Dc73qlJRxtxst72NBd3ZTc7Ku58794FEF25WII4/DOeyAVCawAv+6b43AudwiesmX7ALycj1o
4eebMpWA51LWjlAAQA5V1lEYgZvDxaNyMrTxhmUOMo9R4WLIrcua0sqpSShphA4Ig+WeNcRsp/zQ
LdYjIhCalZlxOv9ol19/vztUAGWDYOeW2tuyUYlBMmj6Yz6ATmvA4oMyrz8BLmFv6LEISIsYU14Q
Ue61HLmaGhpqs+mcSHRyTnVeuN9vBbLxNlIbNsJeHjv/SVfDVGrnoyDFbXt+xF7+kVsUXLxNhby/
Na+E7eAaSfqvFW+2Gs3mY9oExUY5JiFLASil3qc/QmOSdBfDuIRksPZmOdzHujWudU5oxoB0tLaH
7FR7nXjAXeBvrNIN9+e7zhxdA6gBeDiwNiPR0HrI4kRctjPSlaHPyjXdj2qX+Src6NgePlUzgNrR
SzEQwOFv0vFj3nn5U9X5zjYrWCCQVM3yHCWk3XG0I899+KG+8BsEv1h24z+5n6kFuLbCY83Jgqn6
FYI/8w1rliUmKp2DcrUw8bJXhSWlQIeRRNOwqrFNtiU9HlEZM3v937y+FApXsjLR27yqFgDRtSZf
Vx0WsPHRmevrxmMxyWbPjtMXFvtW29LRd6MjWqr9n197MTz/8tExny92aN/0F5f7j4UKFv+GjGcg
oogH6NKyYWw7/2HMJirZcgIIi+YnQhh+ftW/q0t/H/JXxa5Xd/+frH351E1++H6W4trfRbOlevc/
/41UG6jsF/1f5bf/QuXd5Z9jPO7fy2oXL//z39///T9FMPcvvjHXV1J9r4H9myngeX8JQYXMM237
e9rcv4pgtvrL9yUIRd8WCqCw6/6rCMavlMnZzy9dkARM3f9JEWxBGvx0apFC4pjSFo6FPty1l0/+
46k1iSIV0TTCOPStFVrmPPzmzKcuDHcmdQSBPsck7ytR5LGJrw7Y+La/70wQmfOLRRkLZd425uQP
aScMw+1QHUwkpfUHAalWx7c/HOa/z8cfkyxAHfzm3S7xG9Tt/IW58IoMgJTBrZSCdA838SgiFr5t
Xt2ansUyUkLEqS5bWJYhyBrHOxi5SRcAe/N8PSnkfIb+bLHz7yWTfm4CO02xHwRXcal2A4K4iSLQ
wB4mxlLYoZT1bzz7a4s0KkUWGQU3PA1mN3hhAWzx6nZ5usnNQY7wGH+RNuye6/LL8jfsoIDFJpvl
5UiyPgwI5U0obctLaYChlX2p0AgsDy1/sjwlIAeWvhJi9rBbnmpwqmOruq1ZfZE8+z9vqqYktbyn
5Q2e3zAJ6yXWAdeD1M4bJ9WB8gMbj8HdBKhG2tJgp4NBPSabjNuYnlbtEGBPBQqDyaIN022sTAJe
GLNzd9uwgYn4p/xaktgRVvyT5U9DHkvYyaJhUPpGppRLoH7WPf81HZAEOsOxfzDz4BMcUZYUPEdc
FpsaqHaAoaPm39b0mcKJykSxGXL/ank6K8Gd2B4kaunlL9J4uKv5axa/KSY2vg5tfrMUVZi0Y8N4
gytKlruWf5EWPAGvcX5fvHgtSAP++6Mur7eoeVEp7DU666I/LL+iEnn+/3hwzM9t0lH+6Ggh8gF4
HomHAGk7DnXQ2Lzw8uLnx40ECnW6W24vhzBYbvO7tsxXfgm+5sHkrU128SRN9MNLJICVsYGx4GPn
xON1CJJD5mGX2315m1gPLF02JgB7Ux9jFusu2cHL3eWPWzGuKPEcJhO5ASLUGjKmxKHbJfm664rT
8ngwN6iJgk0yf4p5jeV5WzCn4DHWRDicn8Litq+hn+FhWN4VyJL1P/9UoZyuUdSlw9IARrPG7eV3
kGhW/RYF+PnZ0gVPFAt9b2b9LuefL+9g+WdDtnP9j5iF8a0Eh76edr2/cFf78jknB8anFS5db53j
qNLVJUmKa6wYm+d+zNdNl74bjeDBD1m6YuX6lCLPzwTt9cm+DfLsaajcZBM71G8U0V+tR8SWd1U3
Ai1YB90rpcgIVIfU2U2hOgGRez9oRFYU1R7S4oPVgog0YiTJaUKFYTKHL4UMN3mEsNzFjw/UKLql
YL4l35nzrNvag74je3ld0Z3typkjaN8wiP3/OfT/rH8kBJqSH0b3XybRXVY28ctP8+bf/+YfFI/5
l8nkh/fJET+jeLy/mEldAMNige3YS1vnHxSP+IuWErZW1zJd05FLW+nv3pEl/1qSm3x09i5dBYiL
/9G0SRPq52nTtR1pS+GgZcB9uLS2fpw2w2E0Z4Xo6IB8RW/qvIlvjKRMTqiebvTYCzjrERiT3Egv
Ca/kCrLqEk9SShrUrazm6GR13bWhiT8Ct0BKsdMUlw75kah+mHm6or3Qor9qHWAZDfCovR/1by1o
ORY/fgRn6XvRlCOtls6YS/X5549Q1+GMAALtrclXRXAlxXGU6BT64BWQZtWvZ2THne+9eHia/sPF
9PcX99mtmJ4EQuG+enE6z70gpU/vmzpCmV/u68We3kzRNrPEgBV78dkw+aR1sQ5spCw/nGu/WUm8
3kycX5+vDW+TxzkmbdZXP35/sxgRPUup97lqb21Qwhsx0DxuC8B/XmiwwbmoY/JOmU8JmQB/98br
vzp/vr8+n15yelsQN199/rEnIypzOPiOg0+NYua7sGFKtyeILqaM1Mq2NZmLir4z+1OsUAg+c0p6
1AxyG3Nx1RhvHJLfvyPKrsvFRSjdqyOiKUQFdqVBUpfSXYlkjLYFq7jLNz74qxUcH9yBYmV5rGpd
yyZp+ecD34bKbvs6INp3xmg7qZKW3ehiygqGderq8IgTL7ieW4prVi8O3WAMt17TjOsMFfxlZUuk
PKPrnpJYqv9sl3V+a6y2TQtvKqfk0nj+8Zxw0BPZkdAdYpcXL6CMCaLpi7QRhUH6j6Vprt0gqd44
E3497I5lWT41AgUjjFHr5xcNgGwNyi67PUmUDhoqHyAD0rPtnw/77466xYLZV57ps9Bffv9Dp9tU
mPzJQuKjhTQRiW6BLllSRM1sUb9xHi1n7g971fNR/PGlXn3BrjRDEHlZt1fT4prM+k3YJS8V6m6E
cXRXJ1YEcTRd/fkD2q8is88vqzy2RLZC6wYd7edPiDCSat7ABW15JmpmQxcHP0cWGHs4myvk+b1/
EyVTh9FmeNCeRIZW9weGBp9mLUkYhGra2yEx9sbgWocUBT3v29r1LuOu6nokYCMADGc0MSn58HSM
GH+FPe+NwMJBQzO2aMJvLf3ew5TeNrjygPdgwhSTFV+qVRbqO9EZn2TtxIc3PvlyQF8dcNuUHjoL
R3nWL6etwk9mlZoLN7M09qgxvrN1gRso5FMZUQ9EjPUdqtit1/sPbYbvDPHh7QCTHvGzg9G9uAcX
VbPk9AVNXzR0qhw29pQAJIhZjvWcLFYPY6RtSFnJnPIakR8SQyxONf3X2bIv2VwmV2P7Jc5x9YXg
UA/BByr26O8WFTSuyz9/ZCF+nbsc22TuWgYrBJbWq0s18TOSl5xM76mAo2XuZiphydexpPTTDo9z
UqZUHZWBSRS+bDFxOAzn2+S316bGJTsnxmVYvhQp/zfNjxZGj01TiY8RitRtbJe07xyxczuHOG3t
7jBeeg9+Fxx883NiqOgR1xUVakgKhKV07GIYzXQPxU0GJoIMnROM1+pVZ/A7meR3Y6/uoAQ96u6S
4EL2VRPxbrZ3ZWmTFF9nLcdTMuMdsyPPwthZH0n6uQur4ZG2O0QNouhQiG1Kec9W/lE52X2TOM7B
dw26pAX0mB7GRgntKMXu0kiQFbNX2UgLsTN1Mn6iNa4EfiRNK0aFj3YSo8jobxoX9UJM+UpNw5ep
snC2VcW0FWGdc+xWwFeOAJ29DXtc49BX3YM0Hb0ecGeGAyFvrQRDVT3WMTXhSdKiKfvsKM1aA1XV
QB6cZkn5M96J0vNXpf8lapwvpdfcOvIBkykq49r5ZAn3Qc7k7uURHn4McrlAbxt4eJ214kmavnuE
G4Ge1yFausyRZTBexaui0TdZNL1xVv06cCnHYdXKUEz6que9GkFGNNQdEj6976TeVcRtqD411iIm
NmnELEijdB1ksO/+fC7/9lUdZl3HXKo5/qtX9RvODgyJTLvmU2sPd12ZfesQ4Iyz8Qhf/H3qux/+
/Iq/Wftg12EmEL7wfVe+lj21od8XRtax9pK9xrOdM7Yl942h223z7Hj9vPXNk6nZgVbO/EYJ59cL
V5HUsCzPfX8pe726cMOOxPVFLb03vPJDBUEymQjcwdVu4FOi8q8PnvFiDJT/3/jQ9i+jJC8sXcDU
hKHaHOqf5wd8RAb1fI6z7EB1cIWBF877NVTiEXtt/JyzZ1hjMWZzikGHQB7aJkX27PZPicN28413
8+usz7tRYknZ9Yj7dV69G/Qws3Arv92PI6sgcxk2wird+iGxQCSzcWUOrbhu6eNQ4MVbFASgPlSy
BZb0ULr0oxw6lX9+T9bvvhrWw4KkWMcWQr5aiZAhhvij99q9hZZvnRGMUblS7Pq4f6rC6VvfLhiZ
GrEvZeqQeS97D8L73eQF5mWbCfLpwHhDfQCUSEsUJxhMI88liIrvdaPN8EEk1pWOTYQ0iej3GPoD
TRRVvQjOZDAueMjgjcN8Xtb8PDUCS0VDyI7Q9tmrvVqLhNIwjCCy270nZ39fbKi9XQsvyLdFD007
Q1Sx7pO4Xvf24sLKxvQwtxQuM2e58HN2a3jenwnyRZjfF+06bTdDVeGVWIDnc25vvCHLdqaDZiIN
A/uik+rBtEoi711IAqOcGML8S5827wEXAPAReRHaTKtjlh1CjlEZR/kbqy9JdPSr1QAf2RdUSGmX
MJwtv/9hpReIxs8nNbT7Pm0hKkWHiFQBLwJxgmzqstc1ZsVIwt8zsnVHxtiqjL4lsbFxIhb8fSeN
A8tzyiXB6MKoQ/zGsSEirseZNiQl5G3IDcmymdXoaXT2GYTTYxNl6ohxl0rKsKx/XHuTVyhTLBiN
K8eq7LXbp0cVDuG2Clq68PH0PLc54olUNnA2CDa0zPZ+KN2XP5/T51XfLyfAD0fj1XU26GyQYTm1
+7ATS3r01OCRQ9yME33YgNzPt4wL1XoAgumKHoyL1Vprz3Me+0Tf/Pm9OL8b6VmAM0kzChHh/Wro
U1MvISuQgOfnXo9wRU0nCdmtCzDN1WK6jB2MnlVMfh0QMgaETNzkYENuPL+68GW2gCCby6DEUO9U
vmarOp08fxFnkWW7ypc1DtCj9SjTzw5EChRW5TPY0x5mo6yIB3bVhoPxwNM+NJAtN1hrsnXUl2Bh
EYqgbo+/ZQV+lcCzbnTmYKHN3Q95BU5IIbNHSBiMe1SMrN9xGFsMUcpWOXZj5RPyh2E0Nt/bMngW
Xvnodglze+VvPV2/7zROxjoiCgyOp2zCF4WC/fjGsf31pAdCC4mHNbBrUtL4+aR3LEWHOGE4VTJ9
DgNdomWlR1HiRHljI/WbQZJgWUfCA/J4VnP5kn+4vNosdZHjIZSowuJbUtXr3KsODJ23BPjSJSCe
GhMH4JlCPvz5I/5myUstDM2z5UtqqHSbf37lOkA36QXgQQkh23Y9JvpOjfIi1e0XkCooD1Ww8ayO
7JwidVcOhjbyMtnJB6zriamBj+OpF+l08X6uRnxCUZNsMSsHrojeGHZ/c6Jj/LVc1NUsLtjY/vxO
CeSsLcRO7R7Hmo8a8FS2yXNvZrej4azzOP5GOu9bxazzouXVlU7FzyJhxqI0576eUf3eaMc45uoS
Pbx129ww9m8QlW5m1yMCN8At4sKxMHz7QJXhnRWoC6tF6TmgzFjZpbwd7QbIGTSHHQQckk/i6SHG
daWNt5ZAv+7X+CIdpk5k8Z78RXUed7jQo54xaVCl3piV5zIOejhqTXAuTpR8+/OJ89szli0SannK
bVT6fv42XD9JQxyS7d4urgZtXUnJq1oA8Bic7VXG+bvGKwjZ8q0T9tcdOXmTVEk5XflCpHo13iUt
yWBCVu0+n/V7vN53wmN3iGIiXUdjc8N2BRcs+88UsjOCNCAJidNuoh7P4RCEOeDC1sUN3e9MBPXz
7FZvTJXi16IIb9Bj82hyMSvn9agxTB0qiDblijLkM6MKUDBJJEZatVfsG79GMavjXqqda7Ff86b7
ioZCIGc0Ew39Rkaxb/bEIfzz1yV/932xQuabYner5OsTWYd9YGGSQkffgdEliTC6MJB3g9RKsCKx
eG01WY4Y381d2JvhhoXjRWVRROwSld9OOeAIJ763x/Frh57uvkP5DDOgvQ7xRho2bCgVXc+MNJe1
D0zTJZl7H7PQvC6YF/xEXGklkA/6aOLmimmi6FnCxebkIgby+/dtfVVU7BCwdXZ7GCIknmG8nDsA
6IadeE9WTbgvSRmEyUT4m6PxKhMLh7WZq0tiJduaNcCfD9hvjheeENdlMPZYS4tX53dkwKBxCrfe
9yFpIXOcbDs5A6oooDOWnfMQR92dazTfkuHNIvZv1lrYW6Tnm54wlXpdxEYvQ7m/ISLUHTPvkJid
PMRGEKBNwd9EwpS4GJrm2Pf5cMwC6pu2XUPupt/1Hx8B9lKONN2lG/HLzADAbdaVkjB2Yqys0J5h
S5nmllTOkqaZeB5VgXCxLC4TabVvnK6/20zy4lRz2cR41PJfXeUWcQQJest6r70Jz0AY7S1Vfk6q
MLwktdzaxgZInnCeL5I+hE9WR29cxb8ZZXysdL5EHSOk47/6+lkpFdqPgFtn3QzB1L8gyTVRLYiZ
JCc8xXzzE7MV+s1ekjWl6RMV4Sl07a+WGyoFMhEujvmsz/3PpXUWpmv3dqRosyMEm+gwUjLBvfkP
hoMNseyCF/Ss0ckbF+DsGPi3ifGMiS3advlEdnYcg/kZ7PC2szTa01qScNgZa+0RJpN5tvGogMHh
XoP0bsLhNdLRQ16uF/VFdW9F2ft26qe11zbJsx79nQ1Y967N0G7YdukwA5pse4sxfix0NWyBW5Fg
ZY32+1TKz72L3xypWMGV3qFAF8sTSRE8p56xT/q1sEzzHdUc40EChgu8wXmK/ZQ8dq8DaxyDbyuR
wcOY6xuwCQHuiMG+o7FRP2rE6qpDmde775X91M0i+dpT128GQlK6+MFjB3FXDo6xGIwwFeUFe24V
Bf67BBDGKgynExi+23mexFNbiBjBg+1/CNqk2NteuQTLSXlT+NkTK5nuYkkMuh4t8+RUnThq7X9i
E5ReVWJMLtWM+YYZsngap+TBbEK8ScNMuKTQ08eIdVs+6fFZlpCAOpbkGz0bJAyYGWjziWiIJPZI
06nmL2Yq7jB9fdR5bOwKS8ZXk9fFNKX1SzUtjNpuyOaVystumy/ZeqHM+iMyCHZgOoPXH6cQTRKR
Q5mKe/R6GdJXnMCs6rvsvTaSbi+We+eHvGhW6zmQQPhML75mZo+vdVnq40SZ5PyQUJVz1Lhss0WK
mCw/SlP232+dHwvAt7R9A652VCSH2c4lpUf38nzr3z+GHNppNVCTU06V7zA/MO1hHEd+OMVXoRyp
dZINsQ0hg5yi0UTlDKMN9pLXfBrdkt3LDCQjJqTheL4153m2hQeG36kP5xujbOabjhDnMqhvzo/Q
+Ztu4iwhOnxOD2XjXpJU6tz++0cN9DpmrXLt5W20cVrgrUSdp4d2KgjNsir5OKaoObSXowHoZkKQ
Aol6my3V0e/rp4lvYBeRr4u+wAnupSp3YirEeyMqy1MbsZcxWCabVQVGpBLGu7Gs7/rM01claQS3
oqF27BPNGoyGvXFCJ3gIo5TE6RaB3fluzhL/akLX3LUjSX5GbqwQRg63LBOaYYI4AD20u23JVDaT
k9VGwV2d+c6iScku+gp6sqjhliamm9xJMDp3FJj67TjF82aesPNUbh+BUo/7UwDRe43Lxn8CX5nt
q5I0IV1YwRPoCPjDUuNImNW+hRT6NElBCSPs56vCCOYnRCBQfoR/l5tN85R/ypYHZRuR697hwLYr
bw8Uqn5cgtnuXU3ipyfqx3pqAKenYUGN3E62btnRomNLfAMT3b4532LpOrDXWHlkie7EoFkjJZPd
XHr1DCu5Tj+dxcae0u4RqprL+Y2SSAflNSKQcE17rdk7ItqQTeo9LjVKyDcK04oTkm1X2OLeJJoN
nsZtV1bt1p/52H4f+I99VLj4FpW3t1NemHQTYPliqK4M8tNPY9WCsT6JBkoN3fPgTvf9AvORH/pu
OOGHKG5cuFbXZct5Ulpq3OCY1FftgFLUraKXCNjdygLvRg3CrHdlCCClR/jOjlrn98DN72CnuR/z
RBUISPCKwaRvPzjjEz7VHN2w3NqVQeEYvvE+yGv1sYuONe7ST/R/RwB9sz4A1k4/OJA32uVx117I
GpUmzXxkWLVV2T660pggCVn4pmBWVw1YvmKKPzGQZJ/g0PDn6X1ilc2tEqn7FCU7O4zzp7Ebujtb
xVfR9AQvRjygdC9vVD4+hl0TPDrxnF4n2vhyvpfJOL4qWnDGeVBamwFC+96h9nrHJIMbyA3uUUkH
9xMZp9SFZnnKaIHCbbGag110ekNeVQ41QEyPPhGQgHsqm35bOT3ibVioU+bnkawgVNdJe9+Nkbjy
ZfyuQbB1r5cfQA4zfJ/KIq0x1USKOJSdC384DgXskHq5mxD6eh8X1cYdzE9+3vR7gtbAdbn+h9Eu
UvZrLteiBcoEmNNBhGn8uf3KFz0cemPomHyUvA1cj/24A/Oqda5py5FjM6Zqr2pNm2JogEqEvXvp
GIpMGh1HmzEOp5tQ1dPN+VZP/Cb+rmztzEaym0abft7YprdjXkU3bvbkE2a8y3vHpzQWWiezt8Wp
QvC18mpv3riGax3dRTdJrO588KfcO9nU19IquvYmrzyFIq1OkoylLXphfz9MybpLnWJHi7a9s2I8
QvYovVNtKRJ8XclZ6s3RzXmyI1oc31UysNEPzPn6/MOhbyBS39wDqAkvpV9vVSisCxkEz3OsTy6k
bXAyX0uj/+IGgjmHOhsf4OT37UWXRc2OHbW/AWm0jaUOT8LErOAsDD5SeY7WNB8athErR8Zbo/f3
JJu9xECDicLEOphNu3COvxoTQGMMgo4xkHjcSt4F6z4AwtvSU4cZ1faKuPTLNmrfaxIqA6t5SfpL
yTzOBmY9avkRD8870yD/gvIXQdXOphiRpHgpDJqpd0KsogXORnmpOv3emvTtPCxd5eom82AhklQE
lFmiJMGH4KXvlRUc5Ox8saxoL9t4P1pHLEYMa8a3oo+vJ0u9zHoEgU3AihHihOg8NeC7EIC+dbWm
FQqtNCz7rdfNgHKm+shmKDmKcn7qJveWxNoZIytQzma+sKfsrgfP0rFlyqoB7jj5yskodnYx79sY
BmVv7fE0E5lOy9GbvrLjvKtIQNlMXiPXeSWpQOYTQQUtS1aHj1UVrJXN9NRr2G9u9QijBxZn4rxL
pIm1pZXmSvQER9sO9dogNzdtrL4okdWwLfNoRW7yXeEH71wi2zfGOIl9m7AyMcx8KTJCzaUaV5fq
Jks6tYUjrskWycmGLY657fb0Jo0bcEXP8ezunHIWG7OZ+EC2+FRU5jWlElxvipxMa+PN7D39dn6J
BnhKZW9dYB4Ra+akfl0bJAM1DSabyahx4prJBkUICJnKviVr1l61cI3WPXykzPpgdep6guW27R1O
1RTgCxylpEVCWl/jKit25iiaHa2qHoVmn+KAtq4dg31E0YCYaHvLP00uQ4L0vhoad0ep7G9GYZsw
60pcCbN/nfbzndn6Cz2LXN3AdbfSMkoSDXV4SMkEATIIwyUkzXzVA4wlv4umhTtfedGCbo8iLHY2
tokBgq6IHwnI0PhdnCOVQPBaqzJEJ9t2+VeVJN9sQi1XA+Y90JoCxxiMxDTnO5Z9++T29qdaVAgM
mmblvJM3sUEzOvRxGw/DCBIV7WlsYZRVlYmAwcGWkeiTr3YkY1YbbMjZFQnfu9lyn1FxhCtdO/im
XQd1LREfNlrKDZgTcFWTvrTBy24Sc/wAlw060DDcNFVvb2I6nziUBmKpmJeq3ruAtNTs4asQWWXO
F23dfSmYAJNqiu/01Nz0CVTmLo68TVFX4ykdpvF0vtUuNsDQ7y76lqkHZNCe1J8Ko4pdnmKPbS51
RkdUFRhsaSAFiU5+AZS8Nr1mi/+32JQmNWOVFJs+D5uT6sIGlUEb9sS9UYI/P9gldn2qNDmi46Dw
2BKQLgx8XAMgm43pp/XJYn+DZH2orD1WsStvecFaTtV3K1IuRoerVK3KsaEwXkq1Pr/3KB8LKH7J
F1oDRMItcVwue3fcXdB9exBVDFehucGZ254cZK/I+xbZRzPO2z5W12WaHqywMbZtkH/uw6rYemFa
g0rtyFpZDkKa0FxAF+vQRTG6E8lK06EkZiqi2Z6P5Mjl2NxoAi1/sJBMVOOCmnFbYwOC8DBVyEaG
ITDXtmcB711+0Bfcea3lHxrDwayWxxeNdiQStRxSeEaeDCpsVZxix3jfGMGwa5d754fYgl/GBbin
uQFSUNYFcLeoOKlx/qQcFkuArSS6HJf0GhfyOFRUXa6S5SjXbVtuRDUXJ95ecTEHXPMAFAALMfHD
Z1r4ltkpXW6JIQKdGWlk2d0H1Qcl4DgCnc4/ytnTGCLFU5EBtzUbxyOdlV8mmc9Qeb45OMmWMp13
qMkQO03ALU/nW340HwxA+3MwyF0rBUynqt97TS0hKjb1+4hwn933u0bkZydOqY7gNgfwVsQuTyGJ
MOLkdP4xLWFsY0l6TZh/f1hpqVaFmzSbYa4I4NDSbtlrkFieL8Sapk4/CzamW5oZiqi7PmMc769B
P43HyGvhyu4VHlN6aOZAx5N5Df97t4FPYxwE3/iqymOQ7+zgsI9Jbz1nxgahvbrKqFhdZSO438Q3
sXWSFsFFniLYgIe7C6OvZIoFJ4p8zTZLGyA9BWDX2twRF8Dm2lZHeLzzekiBCUh6D0bNXhUa1peh
M4D+aAbWyfRfJovQRBWN2zQAFT9o8nN94G/r1qjJn86perMf4eZMNk574iIuju75UfTZWCb6aS6O
50e75a+cWiRbO6BUYUxL9J0ZHc6P21EhuCiWf226GOsRnCx/fv5xfvrzrSUbgLgBPBH/y955LDeu
pV32XXqOCrgDM+gJvacoL00QqUwJHjg48Hj6f4G3q//bVR1R0fOeMNIoUxQJHnxm77Xvv/3r+/z1
eP+nML2LZd6S9fbXH96/St6f7v2Xf/1eATcG/wVW838/N5IVefL3v/7rmYgxexPm5P71lP77CyO8
AuthsN9Ks4upuecnnGpiV0NkRxInm79MnfdfZdhk//bbu9vz/mf/8nVIObINsvyX+5/fH/pQwS67
/4v7792wFqR0R9f7H01xNq1VXn7VTUGr7AXlIvdJgrv/9r8fpoRGupxm4uX9l5zp7YEUOrHyMutQ
GtTiUVWLpQ9MgZzm6tTpGhRWNJErOYl6kzZJvh1yI1jJwfUW+rwLHJLRxtHf/AyJ0SyH0BDLOHd+
cyPCj83hvE1VtIfYNpGK1loPzWiA7w6K4ex4dOKSJXeeM5xRNZYKm8gMwgfSpZn23ziB9e2c6wsC
YmJ+vyJxylrG+pdH63KNGHXQZz/l7gcVG4AwDnJ8kBPpDTl8Zn2mmDpp9l2DyVTCvCFYQfY5xNkq
iIK3kok9ATXkJOqT++m7D8LQN+VQfQVDmJE8gH0DRzbdf9C8ZAktXQvmABhUvM3LeB+pydnqvngq
4HLD0ql2tFYP02htYr8DphIGwaJneGIZzSlT2ZxwoI9LH7Wf5QSEYAPmsXqWwDF0KtUVagafk2ac
VV/xU99Vt9gO8EtZFvVT+GCVwwMEtp/GFuR74D/h/vnddUawjRoaD89qVl1NxOAEUkskbBEGFBY0
dgyLmLEwEVNUSA1NqdatjbL0TrklP4YWrGjxGKRVv1UhBiyGkf4DXJCvrkiidepVf2TYPmtNBd5P
7+UyLoYjeTVYMTZarlze2VmW2IJjU5Fa5xWYz7Lwj6FCmxBTGxlFr+1a89spAmMXdS8R8q3HEC/2
QsbBSUOfcjQAVnclaiRLP/mYH9epn8TLuCX3BQRjsWrj2OD2fEnkn9IO4f7QAm8MQRoNQTsZ0UMY
PDq9c7d+qOpFnpIONIbl0oC0YdYqZaxlpBdNU+GuDqZvNI5g9W2ysmzlHXPyNdCRdf3NQngW5/JN
y2R9dG2iPNukpdrBbnXOYrkTnQ0iM42xdeWvGk/hKBh9LGQAHwawDglwxFFsSjcJdrUpf9Hddit2
OOU2dM3uGjsLvaXkKzTW8rKFb02OiVp1rDcRpFdsFHOXhrCkd2cElq+J2Mn5i/iZhmYkCQqwJPgW
ePbdDR2TT2VCbYDU4Ogo56Uz8ailGFIIuVwDNYOFrO1JMciW8VDY+9wp5KmI4QgXuaQOJqHGCiyC
bJgkooqKPtwE1zJBOfHKSpQ6NcyHavLoFsRHqqUUIer03nsfDAkh7ystW3Wtgm0SqGQ5CfPShkwY
6kGLd6leXnQD9UcniIqpo4jglLHLNw6Rnlu0rz65APZnT3T8srYx8UYx9T4ms5C2YjkZ8Zs1IC6N
i5bM7pLGKSopUtUcpkrW0EbTsprpRyxXbgkHfhohPpSyfRBmptYR/4nPnGvftvXC1uueq4aEr7GA
lpB55iUzWQunuk1p7xCuF5QczJkOBZfrUAMpqvHq0Ncx0c+mn4JVslbGH1opf9p+sA+tgYmOSt7Z
5g5yrXwC6SP8nI8R/57cInON8+d3FAeboQA4TsldrqLYd8+AnUnDsOIKhxhyTqHYSTP3O6FzIqsT
wTa3TpvsXzVA2i/LaZs0cQopuP8Tg8m7cQIihOnadqGqoT3EaVJtxr7DGj3lzl6jmzNQfGP4jq6h
U5VHo6MAs3Tz1QbRs8nxtexLoyXqAPTobuyCY9UmEPT9JHpqButPIM6lvNQJexytEwCxAzsh8c/w
z1FpLfMJ6KChCGu+f4p6q+r31WBc3VDRxPldzo7S3TrWiCyTQvlczQ/9MiENBtB+4x4a17e3WqVO
tS/T818PJmdjY/k/QRVRYLGEWOt+z+oPaCz/mVtFp7JApiIA6rusA11WgAwHIamIPm2PNcL5Iw3l
sIKFiVchDKAWWUXMcJ2Taq4mza1QISmYTFbMGF6s1ApckmG/Llx354yFtlFxtW+CVi2G4pdtgF+Q
loxZk0fm6rXuCmeTIcJitBUQ0ONFG8JfCWAyOa0B5zIYAjZo6+2vsZiivRt0/F/5Ugv8es19xVzz
pxDSY7mWLfgZbyan6G6TEUZCjEcRxRsnDuvffd79NnXialKKnUKP6WOHwqBOHL9JrtmPjrUd09Fh
FuotBqXJEyrnbUcF+2DAVoHETTY80s2F2UIZ4h70HpuhvQH08zY1yTkKWGqEsD637HI0LjeMHnlb
7kKmXhuUV2p8rgNO2Swi9ph18wfDRuIIIh/tDrBbbZhMtjm+Ohbp1lfmtmhMzqiWT6bP/2lxPF4r
Xr4xulKm9hvZ6kROunCO83Q2SCYvjLwxH/mbtrCu/kQATSLcjJF6DOpRQogPy5qKwffWfT73WDN0
0s+0pau1w0NUH5sRspJJMEVKBRhmmropS/6OU5+Lzu7S85DW72kFxHJk+LIp224jmJqtqZND7KAI
49QoIaKmxjmy6UJKEDJ92adHl2U6yZk2kaWhPW161R26aDDXI5P6JQTv+Aq0bE2i56MxhejnZgC5
nC0xHUHG6/EDS0f+2LFAwpFJ0oVbFOQAM/LalDYCNq/ZnAY04iTmpn96I5RLy3BsAL9zdm1mfUHa
hBvfk+VhMevaGQrybuP2oNBqtWcuM+7FDO2oiZjuGhnstZwwvYU3fGkktR+rJvFPg++HG1IcORMn
k2XbQOIStITmwigATHVWkTEeJA+VTQ8bjObVIHcddnxbJg83aBcg3Fiv7kKRzLgMAzq0cAZzh3NL
PVjBY6es/ElmIYTz0HxAo1A8oY1PN17RNCuj/VAkVz6LJGnPQxR/8HGrnhvYKkd0JsXCD0irSfL3
uO2qow7WewmgLn9HGZevGsdMD1ZXDvsoY8ZQAc3uh9740WIY4rIhJn1YdZVw3/OxDmcRIFMSl151
hGns4cnD3tDQEzBKEkGS7EwTTr5r9NPV4mVeiMQmOwu3JlRWf9j6WrYZq+hTDN2eaJruJp0ovLAz
vTSDzJ/jrN0xgjKQo2U/jWg6QBIq3Ni5/gOZPUHEf6r6LwYS9TlNsGk1GdLKqPBhkMBeES3krSQe
9rpRA3xXpNKGGoCMhGVWjwJmmyPqYbdF2TlWesYZ2bMkoXkpwiDe3eF4AWUKCY2IkM3fMc5rMXZw
srLQWNtxQINLQJRplRfHzMuLMBgXBnkz7EU97UF7bYYYs1I6ThtNRs5Dl4itPWIqZ2m765r+Udii
uYyJ0rmDGN0GDK+JZ567awAjDe1etAU44Z+yihq2L96VGWEnZniJqtLf5dL8chsdXHJinQdrRk4M
1trp4fPqI3zUjH0T0DxoHq1nn/Ih/MZax0DUdQmYSyYybYp+m+mlsyfwsNiEWdPOUJYWfpPNDTcY
M+YJg72zyg0cymjBHiW5dpy6RmyIG6BowieD3F3kkkBss2AiorECQ2gyrp3YtpZ6X7e7CXLNHinP
Hp6uucq8DFkVJ0WvSAVnVLUSpS73KhXjwgnG16gyxNHCsQBufIYuDblPDqbKljBy5ZOR5evaYaRc
om7ZSmLrFyyqYrJ7c84txuMLs6rHlcvizdDrPSfSgPTDIf5YddGjB8t4TnGshf9t2EG374gcE7Ul
Fs0YU/T1iVyZdNlLacdUCx63UT23tbVpt2cj1cYNIckkitEuHyfaWeSu8IAGEX+ajFj3tud/hn3Q
nZVYG1ESAZTGLEJCHnUS2e8UFy4TFUl3R0cLpguxtjVUxaknzs4xafwSIraAvCvCW+MtIkwU5w7Z
QCmYwqp2yUkuiGzs04ckqdyLqpwl4pPhRSfRO1HamzGwlXHVLRmrYKNZw++RWvFUkFk6D9dOXhJM
6xQ5zpY3Jtgp+y0oRbDGGa19Ov2fwC2cNyP5Lcc8WPtiGE+213l7VZC8jYSZm3oanaMCB4xhFy95
MdTnoEmNx65/lqmJAQJZwjlKvPSSN5wkjPJh5efdLY9axkNZ7Jy77CLgot9CD9W0l4Mzh+3U3AIq
mJ8xU+5FA4tmdALxqmOhGvU0rl/JeKETYGPcHBK3mB9qO2ygQkJAo2z0L75+Y+11ykd9FxIEsQNV
/SwjaPOsKMZHRQ6qNmn0GnenurDfq3rybvcHxna7JDW/ZWmxvNMzFxHqDHitR8xA4fg8Bclw5n7Q
PdqdfgB7/9kzJmZq3bGhAQoLutWvz1ML8r4YNLVCDcTLahW30kqJQXDbntFwy459yixoIWifQTh4
eyoGyVQuUNC9Vq3Y+GgX13ZBsq/r6MWmBZR5sqJ63aTedCwYFK9jU4eKqjPz1LWOdY5g3VyJaGuM
QU9QBtctS8oKCOgJ7+hw8EPE27Hsv+MK8qc1TPYatMJwEDSsZRzXqy6qsNXmIVzHyAw3Bqy53jim
WSifChEvSTOxMC2dRiJoABhEGyUkUTCxoH4PIn/ZaEF4ir0CsKEVA6ys5gnoCMVPvrN85xSxwWkO
SZKvHHDDV6scmyX7EWJMs6CFkpuQYT+yDDLEF1pUbS8i6W0HIz6gN1DH+4M253XLgRdGlnF+y8dy
DSfFeO74xB+Srm5xEejdYYy9jyIIvzXMmw+ZZSGVLOQeMRWxHIHVUzIWkiSqPF8BWmxXpSJVyQdf
ts+bENh0XkEumtpqJyThsIHD5G4cB2av0bzjh7kmxKZJgnrbkPu2rmLvfaqncwYUYAFVSx0HN5Ys
RYp3jLENl4QfryPN+Bptnfp3zPpDQ0+8TQyvWiVOfjOnVl3yLh6uATk440jYwZhbYlNwCm2JHIGv
6IDwM6roDbC6wSGZkbOuIeALvIRSKOmB/jGRuIrwl2/+VG5nvfllj67PyT5KDX/oYA/JB3N1uQy4
xHrb2dNYO5zeGP76yCKEw7IUiXz9c24k6gwKcxJ5vG2dxll4nKMEyLtMB7Zp08U7PPbPBaDPVeCb
BBm4QPJE4znwEJp2n6TgThvSFi7tUc/db6+F/RRVgViZYny2ndzetw3BHXqNWGEmn+YF2GTZNPQd
HjqBFsEbUpsG2hi5o6xrpz+OjQq3ZDlO90gqrlkDcii1Zsl+AuE7ZpAmLOWGpDSFYcFFsk5XlDYE
tTSI8JhrwYVnXgENUbXkQMfGrypY14ZJpa+x9mukv80kwI3AJwXBHkuEBkDVJDrTLVmeu64glIs0
3jlzc9V7IdtPuSWC2/7p9T3+EUgu+kIEsfWgGUZ3CCptV+oE1GYMrsyB+Y8TtGeVax9DPvwOTWYh
eQueophGyPeTbexLDaB85/pnqaXqZJSNt0JNlbPQZIlaGcaGWK2YWBlILZI0UsAxamMN70lpUqa4
BzKwOO/taqWcquJW75Jn6CdyZ1FOxXMYRF8Mu8bCIe8EJpJLRjLUEujrZA+ql21uTgbMIk2i96rV
mNQy46dJRc8jR1q5wbtkahoPUk+3KSGqx1BsDIOsiwk6GAG/DL9M4TeggGKTRNbC2gZqJo1xjzqU
gmzCXulbz6qAnFhEZ/Us2bK0/MWazNmOocVYS8NaQxW0Dk3SImJHP+YCCOUAEuyxYrg0DuxrW9wL
RxJTSOMpmscqjaAMpCFyiFazn5ril2va2QEZLHzPnNwTEDJiR/YB2m0Gax0wst2IvXepEei1FozC
8dwmjNErKsfcfYs032O8KIst2UPDqpIkl+fB4G44DSHthwO+BkVvolfWtSuMA/a7bMFWtaeWRSSu
YBItMELZyyiqrZONKmef9/mD7zblqSgSJj+1UhfXpeZ0muHEITzB20/9axYzByFCgWjeSiwI+H6m
glJcrIRguRHhv56ZrGy8/Cw/Q1jUyt9OBKJhpF14VemuoKwqeJPTs8GmbJ5IuQfDzPKVTdg7PTUv
XC9H2n9HCxh5Gs9VOjUHTriDPTopppv+V9ubEAuTUlvWFuO9aG0HfrQ2K8q3sDS+oqzJ2HIUf2qa
9u1AKPRSK7+JbI1OSOy8jSuSP72YR11mmO0SLPfC68sVFCaIll7wZZrFNUjuc1sG2aPJnqyOMP+2
XNW+pjt7o4jEcvDZv+RlVi/DRmrHWiQUslgLwbgUNuds/s2elyYrp3wJpoT7dsewyNMSBgtyOFvN
JzOMJSzM9M3t92Oj3ENK2uPSEAnvjlexFQXUvcbAf/An65dyE30T6xHUT+kQ8VVC64u7dl+Rzk6D
zlFCHXkrgh/DVeVNt8WIGsJT60ImydYJ+WS6IJaZOfo01AhUfWwjoTXfWHN/T7LUR5Op+Bg24438
92WoKnnKcBYsE6dkQzjRD3s1Mqwebk1YUg/EGcOgMbV/BwYjGjtteJd7YLwuea2OGLJF2vnWQXja
V4aRWMfTumHkOCNdR+84WPx49uA5+EeqBn66rVYhK8erP5Kq5iLpYkIbruwqsLYuy5Y0Irgo90oC
lYxyDyQ5A14rMK3bHzoBZiBW4dYacR9DYb6UDFlA/aWDpt1CQ8CUMOf4ZpMs5j5Tb5Yb9AeMfeVW
TqRplqyfBtthoW9VEhWJ5Ny3G/94f8h68UcyW2P2F1cbhhfxnp3MQ+BJ+xQpMlS9Tv+dKfsmAj26
RGPlbYyIAKIO6lAVd8aakRApLQH9D44z3uA6yOg1HdhhWfxGMDXMXDKdMoZgiZzXY01I8FjeUzBl
ycEsYFCndUZmU6j2xSBuVuEOW7Pi0JrSivXekltGFBKQi87jN3mYqlXeW5ApivMe+OqQ2uky9+E2
E7b4krjFLm9rOM91+iwZCW1Zl6Hw6KzqkrfqmaJq3A86gK+pyF7h+jNeaax956tmgRF8HbgpbRox
7pxIvQ3anYEpCfUPrGcISWnM6KD0GRpOUNRGqwQG8zqlFZhwYRhhcqgAGpzgc25mIfu6GELvVkcl
RNtB6ptx9D9dhGtwFQmzsQe8B1i32mVWNrvKLK3jMIZi4dOLNQnjtxQsAoOG3tgoi55mKvWzPxnc
B125zUN2MWOqgY2l0T07frqtS59WB38573HwSNY1qZ8J2TdrmxCZRS1NJjRREZxzfdjpg+0fMmrp
fZfhMnck6eCumV0iqOO7IYTHKujLtYRkSrdAbzNGlznMLkrwT5ihkW1z9pSsoIZ6P0mbVlk7J+B8
l7DpkhVpL3JP0GK/AcRvrDwguNhBOkaaznvGZ+UhN0YQZnW0L1BQXXOpXfJRdXuIt/XFD0PQByRf
n3s+lxGUZOLNYPPCFwaEgBYuSi9RQ9hLnYn4lAaSt6drzK0qMk6rQk+W94Pf6+gmXZI/F2Vjmnvu
HZd4pFTUK/lQhsnVMhn6TjapulrSHefULy4h4txDKfWdTNszU/lqqSrlPAUOy4lImYQAU6MEPeIj
gP+Ae2Pjq0hk8RC79borK/uDDLdsiRWIp4S/Y11UufWqd7um+25kYz9Xlt48eEnzXNTop+iHQaRZ
YfYqsui7dJzuuyQuzxGjv5gUelih0QrH03jqNLJJa3NIz55pkzM0yA9ugwUaRNKXUqeMDq1FYoRP
qNUF2G24CcKSeJyuXYVGle01VulBbD7Xsf8Y5RMXkU53PpaWXGKQHpEs5talUdw/gqQR124GskeA
CEjaTK/V/DDqeYZbVg0P9gBoWe91+2VCNU7K4Cs+OX/uccFq9NnDKK1hV5OXlBMSTJ6dWzk0/QiK
7HF46H0jvChdz1k3PBYBnS+jG/comHOuPMwMjO9hU5t6Ea21kFx3WmuxrwhqwwSAt22S1P0KLW0y
k58bRs4U8DR1Zq/h4w3TT0MYV9zJ2hbbZrQxFSI3jvtP15hgc2tls49L4nnB+qbriWw3HFQRsDq8
Tk9pPv1Iru/Y64pn22+tXUUfvUj5LJPAo1/7geMncVM0qxOAaQih5TlXs7DF9lpWq1NwzJVkyzLF
JwyN6cU0TqFiuV02xCqmiX9rsrC89k6pDmnHVYdjqD56TqCfO7uoL+DO9npVPllCY/yMM2fvKUVB
0xBR6VJxGX5ovQyj/8iwvzl0HjxjLAKLsQyDJzTCr3bvAXZMq/RYOUF2M2s+8KXlxyvXIg9uZJp3
9pOS4Z+JQXeIzPzEjpYeS3a73DfGTZs05q0c7qZgsarazDkNTliTDQa5ljNjVbeluc7mu4iWMbp1
QlKsRrRNPQsskU0lc8G2eQy1Ur/50aF2tpitst8p46mlQzj0Q909lE2WnYhE0Wg8U+MdYSIGbkNB
V2bN8Ea/2PXnQNreh5U0JdsfbooG4x+qQ5ftEuw5Zpbtr2JIkC460j7kRv1JR6AfTcU9AcT+WscO
7s5JpA16ct4VDqeUHMaHfrCeS7IVwe5HTEjmB48FFciN9pZw/37ABnEzSLBzYIQcyDNGRZQY8bEb
fXfZVPiNatEvaFl7rloewoZ+W5v6fpe17bbrUmNf+SJ5DBDGOYRyuZyLEAC76egwwNiNTtgzkskP
vYYtUPpW+Kpixq5hXgfklpYFDsaKAbSdFp9ZQCECrCO+5UVrbmu2o6/stpHp3ZjsOXZ6NXMEd3lz
kJ4rX/N27p6hC6hup2EbOtuh/hKw0PwprYpboCseSDpzIbXr/K8BUctshW4pvMa91wTjmmDrYFW2
+aWcupj6iRadJAT9rDPrnymNTw0CZV7XIn6LKsY7lYdfrB/Vxiang47WWAqK0C7v5FmmmVrlqDLZ
Q/kcwsk9mdX5BZ+63EZO92Rq4VVBoH5t02LYBk5N0xbwbZSd3cToeUf29CWb4D5hTpIFuyID/NPZ
Y3frcZf0+A7eHcXgM03jm4HbkEWJ6Sz4TOLyCPa4/zZObTp/CHYHZrhOS2ZT94eE0OULEc36GRrT
inhu9kHvmV2po5NxwRtpob83Cnxnl0fe0eqR97V15G4zrcvP0MrRbgtBijEXN8Pe9BUxVbJlfEhL
NZHpJusQUmLvy6+RFdEYG/opSkAfSBjQB9OagB2WMCIteM1HK7d+e0iFXoiMMKkGRLV0XXiYJLcO
JEA65VFrgu+BcdBjHBC8IgncW/r3eVWBxrSQkcXuhvGVo+r85I0/rqsRRmlZKDuByhhLCHfttmpm
10GcWFCNSVOIzc461EFnvVRw8//6rSO530GLG4nQ6NodKZzRKiuGfD+SgQwsJfwcWyt+IRvbl375
2plB+NhbPZqLJLn5faRdAR9sZRQ8M9UZT7XlR8fc8N1bWgTRq3HfRbSDPHQEiPv4Pp+jbDo1vnAZ
p6Tjc1oyacNkdlQZIgzaHOvYu1iiQl9V71PACgtzgSRJBn2YUswcfNRsgAVaf5O2tNACEXYxy8sn
oYZtnfce/pKsuIgRH2RhsckdkZqvO8CCG7a7KCpFXc6BLz+MGrxtZRK+7pu9taci5yNBsbEYchb8
wahxzFDpLvVmmDatTy9LbT2eHQr+pSz7jvpOM3a+YTdX4qz5NJPG9gqk/rVpvfaRJ/YzKuWvJuQh
6zaN+l2BDG2hmjQ4Iftu1mw1WbAGyrmmKIq9OUm1JVkqpODN6/aHt5MBYViTtxq31qbI0/lWbFgP
dLr2A21li+VHHHNNDOtmKAHevo0iT5+rUFPP1G/hAtBotBWS+qgv6LH7qZkuYmBQ1ozuW2vp7QsS
W1pcNx9vrHaMyxSUK6ISkzMWDsEGcvxUTmOc7w9aZ7DswQPJ/II/Y022U5Xfbb14OvJeZQfUesZj
IA4xga83WQfWMcgHzjSDtsZxrefJeGrgfL8ZxDu3F2/ww9eItJArRJG3wfHlKhOEyFlj1F9bVffX
3JtOOGAD/wDyBkDpxNxgU4yUqBPGV9bEhb6pK1XfiQZHPZ24K1t1s4Tvbj60dvYr8dFeDom03tBJ
RYjsnpqOjiRxjJAY0E6do7q4unanXWkYEAFFHTOeKVFHI9QOteSdB5ry5kxGu7M7F4Si233QWRh7
jGPWkZFduBsGI9/4A54ZlZHG5KMDZXCS2s5Aqxq5a5NA8VWJdw63mXqNmIovWXb/ymwzepnaB6eJ
SL8ORL+e6va7k83jKA1vNdhlf4ZUcehKSwCPC19CnxjUNm/ISx+1acV9wtv2JiEfd7fp/6eC/4dE
PFMnL+5vxtx/I5qef6kx+1X8+TsK/H/9o3+ywMU/ALVBrwePoJNwoGNW/Wcgnv8P29ex74KgcmEY
4FX/J9PUJyoPE6rrQS6aMeG4kOuybaL/+T8s9x8eGXawRIQLAM7Vrf8XpqnxL1Zavr8O2V6HLo61
1fw3kFyhM7PPoxS2GyulVdtNMz+sPowuV+uo5ctywBuZ0pUvK8oX2oA+ADqGxtCrGE+Ozh8/yk92
wfAXcfV/cHkb/+K1np+ca5HZKUx+TA+Q0/+JMWDbG4FicMadRvCHiRF5YRFWRDnRX3FEzoIohQfO
3bKNmgVbnLQOB+nf3s//CzV0fhf+DteZnwS4dtOy5yLfMP+VnNWIWmcdHg27EZPIVu9G8NKyh4ki
eVHc4Fki2sxD68J5/f2VlKwlREdlrb3pKU8xC3qmucZTSfKRmZC4pHsxlmU9+8yaT1uTwdKvec5a
xJDwPz1x8e9P3cDUDwcJ6Cs/x79yxtqWXMFunElElsusv33r3NlpYVm7bIYtJAPSKy+Pj26UkKWH
ThuB34JkzQ+8//oCGBhVcd8t76/1xG6MgDxacoeAWb7fDrUfwsk+f+kM/XkwIwXcmpTzLvjgRbJ2
Sd4c3YJvw/751rB738lOkApcpdtQb9HOk28Hj5ugaRZOhJ3tmNahIRqYRehWgnquTEjwInqelJlH
07YAcZOItXEmG6Vo0uPYYCDshxleWRCFDG+9AjFKrNYBOVcrP0Buh695UzOCXaoxwDwkCrYg8ikM
tQcNCQIhpHxNloPENIsa4bXwlm4MB1Lxw1MHI/bJ5KfLwoKc6WrldsRE5cgImkmkK4GDzWkjlnBi
fiXnr1YElDjJg/SppZsJL0SihQ07ByWQ1wUjRWR4lC7ZcZqO8q4mXtDK3sOCDLwognibUWfgwQ1/
/LDEap13ObAXVoGQBtk92++lxxqkmi/wwGR8ncVYOiGbkGGWyM8+xnKZs0ly5O9sltVZ7GtXVCo+
qy7gfaQ9owPDpXNXa4AtHKa567IkEOzk1SYCcxW72g5jKJ+q0jq5iYlicIJ470T+ghS0CN+Gsy18
TD6Bj0O1/jTIF4zI26FXq1jMs0lDHehTZQlpMPJssOAxTvp2XA3FF+SwBdI4Qvd6/a9PqdbpP1rC
N/H4JnwcQk88VzY+Y8/t32on+RRFdJGFt9L89FMhUbQqy0V+4T+3llEDahdL6YIWVejWRsIB7gqP
UYVkwVPPkZvIBiJ5G0T6ef+b3OBt6gjFHIT9hCG6ZhICYX3KMH+lk4mylj4i6sDOO+gPi75+sWfV
4pjYr5g413PHvOmgyqd2Ua5gJ9Hy8dq5ko/1TDNzZXgakuwF/PLC0QRaSph+6KN9untFheDBDjPB
ErhADHsoYIqb+1LFWsQ8t7oEBhdigY2nN5xq1dihtcwKfW8lbHv7kl1uJ73V/ScIY7ZDZTE+2T06
39DnSk2U4IPZxQ90qylFJWstp9vZislp0j/3E1MZzaiwc/PWlSnOCoJUDMi7c05V+thXJFhiRNIi
d1/0fbsKHMW+igbJs+RDXSHIovtY+SI4o6Ln1PMII7DTCn76fGF0GK79Cd20G+IBSxWZYqKfPpJu
7JnRmITvRN11igkIrAe+Ply3eNSwjwrWfZg8Vz6rs27K4O0ZNEK99WUaZoybaUw3YV6+KNYCnBzf
YavQ8GUaTpS+xyFL+J3UhEFiq1hYeinJ+8RvX+LMg2JS0ATF+UuT9whuM/5hXqDm1JqMFD6ft3SO
c7wf42QozFkSZrrRbbhYDWYv30G6G8Mtwgq5cqMQBOx8o6l8sgKhvl5D7dXWvd+tgKia2d5JYdSL
FBZLOlzht6+twcnmJcRG3d8b2XJ9lH72SYRYsNK8bUlHVKFHXgAsQFEfJz6YWL5B5MwBrtI4gx75
Ujm3iJS+c+3x2WlHqTiq+Tijz3Ex7yUNt1875aN9f0fahoO576P1NGjfGAQf1cAZMcIY9eiLl0MG
xz/eeYZkhBzy0xXBtCxM9oNDxv8e9QST5cEKURWeKTP5KeX9MnW4jhteFFnmIP3Uaihf6BP/zHi7
qWeKxoZgff9GVCl8opEgzGKsiosd0VH8WnvV1Uq4vdwvE+4NJtEb4eOEvInFKR+NDvSA4f9K+uhQ
VuH7/RKZek6zTAepW3qo7iN9EU/hxoPRtnDjx6jnGbqy+PQzlW7IAPsxdW5Asp41xQneTmMOQegM
lugCCEpH1h5BF8YCOTBONwdJolqlpX8N0q5b2uaAE0NfMeXs2cKNDJnM3yFyLBhQ8Pnma98Kcg4C
m1QkqnqQ7Tpb4qlpkWrZb7APB+4Kwf5+YQYjN+84TH/gDurgdws0jEO6Kaf6q4lxevumIhSrfbpf
RZbPsWKH0y8rSq/YJSnzuUvoJm8nMfKMcFPWNPaUn0Y0Y8u2irBZlCMRYpPOUcK1DfSCxbdTfprZ
fxF2JsuNI1m6fpdeX5hhHha94TxJoiRKEeIGFlKEMMPhmIGn78+R1ZZlVXarFxmpgSJBEHA/5z//
oHgBEXrAnsR4PrrAZFEp1BKN/cKmKOjw9ak8ldLxOQZ+VxUVyeDyq4y9gGwH0hOMpAlPA/rhgqV4
zqHHBpxTAAaeqJcV8rh3V73yJNAuddlTYZX3im2V+TCuFj2tPclFK6fQqpWoMFMKA5ZkHRtMFnnu
d5wZ8AtE8hBFsARTieJBm5+gGSFcSNPfNpwTxtTyreHcAjwh/+0y6BjKcbk1o4tg62MMtcETlXHI
2OhrSNybZcfGFy7b0Hv/SWNsABw+RUKGAYUKa2eHzlvPuyfzq7gvdYA2ct2POtsknwlJ7SbrPWls
+K3gfAfz2xoRKbOp4I/BDd9k31nVfTBBuRaOtnZEe5kYzqQGq8tMHGc53kwhEBfK8K6NXFwTNFrW
6AucSrFlq2UbhJmO5QuCUBYycy6OJTqTmKplo86ZpUe/SKg9LG9EQ18hMQHINXahWaeQRsP3JdYj
ycBoKTi788A5TUxTqeD6VdVwcv8qQYwE0ZaEZxCwjgExUWr59Waq3GDrpU+VFe5d09rFDJlW0SBf
+3Z+D9zTyA2dRTaqthJbGCBGG1uqtTfiRN4H8oAQYIPNjL+pay6kLtS2Iq/XoZM9gIJMkqBiDEpV
SqPOL9tsD5v/XNlQX4m1/hHlmOZWalk1YrbYrOLsMI+9B0yDyCXjD81HV8llrXhmPeNcNB3y9qog
4UoYYbrWPBwz4Q9QVnEIKbK70evXyy1rDkyIUtCwNuNe1iKezPam35EPAujaLKRYApHM4/vOunW0
P4GNx23WjYdslv6mD1WpuyYLmfQQA1kGNqHvYsi/PZ+tFe3AAH9KKyg2vuk3dk4VoFxiC55KE9zv
4E2kC+lexJiuydZUytN+VnX8aDe7os1vlZbPIBS8yVJEh7ibmMSwKmsO+jVUGLt2AkguOJ9ZzALa
Twm08Sx6ErDCVib8tlXZFF9N172YkrmKTLjN0YCeq9T5AaDo99b8aHYfjVrYAZ3PiS9gtI3dtO+G
96zDOln232HOrTPbCJqtsTtzC8JFN9unlkJvFebxt69ev+izYJV5K1cfhm3uFteuzu9pWl4rhtMj
rqhmGDyJdNlHxbXF//jgkfRpu9k9R7ixKQX7kAYeX6QYuKVCN7cwcc9T4q11e8SdzOBabawC43BB
iZiJ+3L5Bb0NNVODmIP1+Cx/FXO05aZ88NSiutRzYiyuSxmUmB/5YBC3pBZjCFa3pQZZFvG0YXM1
Uv05tFr+LCMaVc/qO1gKHBkclLvmLagLdjg4Y8gQ/BtyzOtYNveULHDX3Pfe+DjGb1YF5XymzAgi
dudCJ+ghbLKvpfb1XMQjoaa8ujXESNTg+GuIA+sBxMYk/9YrjkoV3HmTfQS0N9AaKSFdPQTeSr4T
I7vHYc16CSlMhujv0mYt7BOjzKs/h7DjUX5BjmYdSBuiTDOAG1Wizmr5n9EYRxLpD/sR1QaQ7+gZ
H9gY0FoA3ceNc88KNlK4H695kD3DySV1KsnvXgPjHaUS2iV6d4PRG9F4SXAbQTk3XetC4Xfuy+44
azSupts9FkNykpTgNBRJiyDgatv5PWmoaoQ3QxZB1KOq+LwIb7hcUAzy3schvgRRf2X6y35SADIh
dcTyLP2mSqQNYd9Dn4x7A28Iw2Eek4kLyAdFgLzUDWJMVfxHifPLLP8QhctKLNxzmZvXbA9z6s9y
7XvukOyTUKUIqEfkyQbmJum9HVVM2TWvEGYevFLtL9lM0ZL8VPUC1p233Kfp7hOuGYsg8UKdG3+Y
HxINYhjs80/R3jPJhrl8zBgyZPAW+SSjGQ4kfF7DP2h2fhli1h7ZlXcoEvD6zXSfWNjmMBUVu6r5
YkhtgN6zWKffqkXagKmwoL0OM6vdch2rfVja9kGfOKyCwPUiK6794F8G43nSYR76KSXSZHZ/KDXv
NsMk7AysXeHAf7dgw/U9A5da9blD3BC33jO6wTEq0cYXQjTt49BeKr1ISDTIzlrFB2ETLyYRTB40
TX5YifPW6v6vOAgevVxcIRlTNRjNAN04/106iN3g0mc7tBwsMbIn9tutWJSGfm9DLOO211WXkpBA
usa7bh7ghpFIjURqZXqEPkEeweM7Q8fOx6EwAIj35lY4IxpsI/qr6RTRzi3gkpYzBaFRJe+ZE/7E
L+bSWRUzTY3SwnTDN5cNchWAZdN/sUnOhIQLNJx7CbdcUQX3qDwu0MY64pPhdksDyVQcWU9lHnwT
EY/ZNN5+aYYdQvBpCgmts+eu6SI0X72erHE8urBZ4wJKJUYe7dGMBnDYeuZmd1yxSsoRL2Zj+kXy
NEIbrnPPg3zQp5AkEUHCYm5fuRnFyQmSCukUelgKZsEgTECn0MsC+4Rx9ogD8/OJ94HpV2al9Wm4
lnks9G1fEFYeEGHuJkgb//6novA86TADqf7NmREMdgQblgZ+OERrG9XhQSQQc23ZvzGbJdFUHURo
UqwcavW3yw+7EJcU4RnJFoJidcr75En2kbtblAE9hdjJc3A1jyyv22TzhNPxIphe/tHRRSUQkf5S
cy8/+ush/qIFN3M09MtPNVysMi6IhA4Y8mVGevs/Pc3ykL8fvHy7/LMosEel1/772+Wrv38WLM/8
9w+XP1m+/f/+7F+eldAJkCqQmn+8vWJ5k0x7tGz19+ssh9d4xHq0LUSE5RfLP6GenwgGEaCGWo1m
Rh0ttC27+OeTEvwWAeISS0ioO7ogR9rV8NdGNpBujRqzl3XdR3wg/RA258y3ytPyfeS5z13ly11o
FOUpCNHADfnIwA0BuB7fO4bzO87lcAo7VEkkiBNzo0yzOs+GouoqEy2O2zktP1z+kTKPN1aUaisn
srQTKBgytTCbMRMavVOErua0fMVy6p3QcK5RsxsHx2iuKJfQwE6ReVpCdGMAGUTU/TOhpv1Oc+kw
m1p+ZZS+VUjDcYz6AOloR/dFwgaGRnKLKgOqmZ7i/e7wBnVakUIbyHx2y4MI+gNO6/Me9+FsndhV
Sf6e/ZZrbvC7g3M3WacaMe0mwpsRGa3yFayKreMSOWinyUMvaOWPUAexbdHDjIkbZIWQNDcTe+5d
YK3sNn7EnAEwpWSczYk8ca9a3PQ4989wkcATb2mGpqgX3oqg8kfNh4JY1sFjqAtkDW+QxU5D3mpr
K+xSFjS8qxvcGQ6Wr+FSEz9k7nBJGhSeued+NWF2JWqIGCSfgVbbz7Q0OXAnzmhrTGOpw8mnGvXk
2eqi66xBR9GIAps787Xzs+w85AmzJ+njMmL5f8zJ/vJLz15j1YCCbCh+Bw1j7Ea2X7LY92M/bkeZ
21SI1V4k7dVJu8eGEQ9rIPxSOPSr0WXhlRDzq872j4wJHuBKbfBSpCm1UFwO3e/cmPoXtGrWFhNu
OJKFh4EOh+xyQfiYk4rQwPrNGaw16jEGUZZ4GgtPslRTAU6RdyDBzFhhh5cdClypWjVtJ24mA9vx
SiUgfxkL16Voyeyz7uCpgmwAPY6N/jXGkXE9+K9Om5nUAtNPMyZVEbo75HQq0MRvKgz1rHQ9RDaY
bzE99gUzUS+dsNOXxg7ha4pvEBIdP/qQskcmAZ0ctTmBab01QTirN00FXQX0dkXY892wa4iLoLhD
8GomwNAD9bE5wCvMs+FStZa/xQ8V3WopD5Xlo0BFL7CuwvY3R0C/YoTBPrOqM/4nmF66dCNJCNd/
iFHkTXtbj0/4aanAjxr7nYDQhSQ7zlHS3tLAFI/Z7GGjvylDqGIl7GfwOH0NzW3b661zDOCsW32L
QrWpvmgND1Fl3m2lScuoxEo56JAPMpj7GRhiWvNSmOUCp8a7ODLOMS6zjz3YNReQkmHpklOY7Ew4
YY6LOcMg7J3TtLgLOQb+LYxv68h+0odwVzbEKhoNHoCtNbwzM7wCI7y5ob/vLBYLN5ZX4QYPheHd
whBIpPZD6lV0ldowkQ2tf9K4Aqm4BHJq4ocRY54beN21wmHFCQhGy+0Ka54ErVAZyE9Y+QdjCLCb
mixm59J99BBBYGEKK6KtB2cTjUc6lU+goc94Th96BvZa7nIxlI/uox2n3Q6Pe+vRgJpqovDyIbZo
uWCdSfDlGrXnpsh+GV0FINtEXLZIyVzjEXIknHAXuCpyYXRhvMLW3PeMmL0f0+jlT6bj7xQ6V7pz
c5RC/ikQgveq553N6ZKVoAjFPJJWiuibwOwaoYt7RcFaHyTD88mMb21VQHwaoUB1CnsMjKeh7x8m
ZcExs3DD46oxfIBYJpC3Oal/JH1pO4cVFPZhTrZdFTO7tdcz2MIxdpp9iBHvpczT+MEcpmOKEh9R
cnYd2gzbIs2AM+fG9fnZ6m3nVUvozlJEbJhfXHWYi1Qweb5tJ/fdsZ23sVz7Kn5MNP0Wl411aw7v
8EOvVHKboCc3B5neRHjmfk6aX+H84BTpjUiPPUvdLRmGdT+rhNjwh8dwj7xB80fbg/dK59C6FraZ
4oQlLIogLVg5FCSZiNDjW/K1wskOv6VVOB2Qzu8KRgVpSI9YMOuLE8KPqv5G9PFmNr2rHtLiZGxi
vjM+5038Zdn9NsH7ccKZzO+mlU4VL5VBoJFvMgMNkp/vB0mtYndfaTyCTUhhrtsiuHTS+bQVlqGB
MAKtMynRNm22ZUpGOJz5UInqBm3lXhbmE7MtkknaY9gXnwETQkdd0nBrd5fe1+JLK6yt1oSbIQrZ
pYtLWwl2yw/y5Lejp12Tqn7ybeshltkN0jQtnRAPab+xe/OTnAN6JFkfSt14HyLz2XPhO6MJc6wI
hx/XkVDEKMubOHkcGwlxL2IOoKgAGKJyzotaHJLZ/GmM1dXIo4uZDE+mu6QTA7TPwjzBSNwkefHs
6fmljqjVsF+C0BSlOErNBuGlWQxMZafzpsm9F4uea9VzX+YzFHXcfdK6ftd060xm4XNp2+/qo1FP
lXjDQbKywRFj8X5I/Z82Fmd07NUqqfuP0He/Rundmg3cRdbk0XvL+Tg6iKIT99Awz1vfeHPC+NNp
3IPKgA9zSAYFvpRG7h2j2T1VWnEKjG5jZDmKHHt4AINfwd7d+UDg3dhikXkf8Q7ZWECnuS+3MLI3
9hj9Ak95mV6mKKdn1JGSgnjaITG5eR/t4zl40QomFCxLkHpzSauKBhNfmoETj9bq3U2858YvfpVz
dGpxeQTUyVFpO6m84587AyZpvxpWspYIMKZMSDtnAzNDJvcPlubs64d2NC+DpthgqV7hcpC9jM70
B0zsB6UKcpHqC76/jx5nXbJdrcEPjpMwIM4U5xG1xpijnw4anA7QL7hGhvA9858nAA6ckWM67OHQ
1TZ+fvhBrHPDu9pTqcNDQYcjquISejIFHXHOLvCaEdQnDF9wTTy3qe9ty/yRujrakJw2b5wkvMtR
/qnGBqFJE6xrAxtB3dhKyDzwvvUDTGJWg7JVU6ZqgwT2s8nkp9uw65fkGR/0jBGrA6hcXXBC2xqg
3H48bWLhXcZm+I77Ck0ZhPHGMcMVEjraKCf6GDSutQF+GEb94JoB6gCtJ0jXd+aN3rX1ukPMsuLj
OGpe+mZN9EeyMPfFaNNexBh3angCr4o6h2NqeWfXADlOtRcQ7mdXwy4nzdno3RGM1sz45KfhhNHD
y0SRpJAXYjhtA0CZdjD21mLqhkOq6ecUyv6e1e/LMMJ3JyKoua36D0wMoh340riqx+4uGKDGIx9p
csWt40Mfy2HVluzp1YTZJPo5R5G7bWwvhPjRm1wjQ1r86AKA08xy0eehk1i5wG1srg+wHrnmh+5j
iuNdp+cMtQSWgzPEh3WZaG9RrsKFc/mm9ZC9kvit0FtsFFDATTPufu3QnVPT2Q+uuS6Q+2cqGM5D
y8wIL9kyLUtWeNR/k+OTrzYOsy7kcvFNOsF1KPw35M2ulX3aM/U1tZ7rgUpNBb1wViTP6UjwcWgf
bLP66Lsn7JzIc/qUWE6o/yZ4EdTra6RATOAG7F36V53p+xIrbqDDY8YLKqYyylGIA8Nig0AMuvoz
n73b/MfvEpjmNuV9jZsYuxzDZzhJXCA6L6GSxn3lc07auCS0vI9/4YG8RJ2rp8Uom9UIsoh6SMDs
aoQFys9VDLp6ChVcrvLOJw+jRZ6OSl59a1rlBgLhPF/V80YkEJn8Xz045DWw+/BWoYEHjDoqjGDf
Z2K3k+zmE9xHFHcFdhYQzW2wISG/31R8bRHdvXytfsd/FfaKAVeOVZG/rh5DkWrgIYV5+NrWPwdM
XrQV4tLl/5UKDddX0HH2NVHiAcqzgL9XD6lw0lBfq9sx4HlSoshrIskRz9vN2bTJAe7WBohd3+rf
6sCgyGWMKIF5iTfHSxdsrt+1/IWRngO+7QlDrwhFR49SYQmoHqFer4qrU0yEujpWpyFTfSZc3SJk
Xb14Rej68gYYXFuEsTNLRmO+UU+njku9rKbeDl5Oy3vnOSSp2nRb6q9jAt9rJtkGAfDq1zWB8Or0
qLenTuH/vtWAozIxHovAzeRMM0HaeMJgTYz2lvWbzHautn8El09esVFfq8fgsQdy8qnTttgCNIOH
qpBy9XAVWq7yzkOeTgWWq0ByHLgqEAoZezv1o4hfqxh09ZCqJcClo0Mhw9I28i/1VCoavSDDyQV0
hzz5OYjyqp5SPQbpUD4/qUeoMPVS/Ikf//egIn6ojiASaAR4KV7iYehTVup5S1bJ8nLq6bBVOPA0
Vo1KP51e8PBFsUD1gh12KS5F/VMXyrerLK+jCbBYR/OptZjqlSkWUh3+2b3JpCOykm/SKm4Wd1U6
IPOd4aDv40jHBTCfELQwoana9Jvt9qaNXK6FI3cYqd2iFENTvdAPHRNzE6v82E0xn2zBovWSS9GP
24c0JIsJOsI3CXLQC5lmI/VJdiVJNu7gIHSuDegh6UVGv1IAPTYb85lu4RNHrYKBu/e00CBsyYXa
F49skoBlaihiyxuGeuj1Cq/Z1M0kaOSb8ljOh9gsMIiLyleB3iGcfdg6rUHfNAzADfmpEf2z+q8I
SHxApgIYSnnYQBoy02be9Tvljbie2UTWuC596xC3d5jqI19FMuNMP9qw7pnUAFHruAsfZio2x4Ju
YNXemzWnHwi8/LUryQqjYRhidojqPjntaxZRD8Hp5U41mTZZE3uGjQ5D048edk+QMNmw6pSEo0iC
UqKgYe2K9NsCd/s2aDpeUkgvN3VRXDQ1rzTUBAbALl/X2FOaSmyq2ckhqFFRg7FyeQMKT8V0VfnN
RMaJhyinsHXVyExvYVA0ZfZl1wnexxHdozlw/OUfoRJVayv/gD+x1bWWionhPukgxkEvGCCZ2D6v
9XAr2+pHWRmYRdhZukGqtELItZsJ6GJ/78Ta7nR8YMC0Gabd8WJgCCkxUVJDCpQdyUFa9DrLcJLa
+VB6YAclzpi4ilOAtwgkMDFhEotRQRoAqkDe3luuKHfm2GMNk9vHqtbPdQAYMQ2JUoMzzHRMgYbf
Jy7vWBA+9hfzSkAVUyx0+H/9LhkbkNIQLNtQY+jBgPeWi9copEhdLnTfQ4nble62Jnd6a49htyvo
ZCYPDUHZMPTD/KyhwmLu3KlLnkBel37cSXeOvLiTg++Sxqfa9T6+l9SNmu8fSmeC/0q1xFjFedK9
UyC0dzLKvhJfhbgG6W55aTnCv3AzLdmOJvGovR2VRyRf8L8ksao2JJIRT5fftIKqr/TgMXKzQnNT
dLCyfEhnQsDJrD4XCdfFoLvv+ehjvDYAnHa5s+sD6pY5eQqFwApu4i+91EHURkUFI+xmKWbGwBqd
Jrt21IyFybAvHXlDreGjRkRzZk7hiRytfDNgi4OibZP8cEKBjS/ohjvW865EULMfxi8qTrGdyMvc
w2k4t+TohaP5UzcYTsRDfqEPdNbTOGe7biivViy+mHfHK5g3wTa2q1MXyis6hYvhpt9+/hAo7ymp
qOuTBuqs7oWw49rWcI6H64Jm3mUNwGl+ZfY0EYbeXgLjaETghGMMe6soHbTNrGJ/jVPVQHFhSRWC
46HIWzdzguOI9WBQ73s5FJF2oDxC6ppCITsWwDZxEKO9UNNj20ULzwjqnObJqfPJ4WNctAwN6py5
HOXHPaNgwm+EiYH6TrfF1ZmdFzIaEaSjfFA3cFeZj21nvTspDVyp7XVGjlkvLr0rsQgYd3rqMvMZ
umyHDQopG5h2t2KXhddR7wBwyZmdZ3hxpBAw7OZFBibRWCP+yCtxRzz4msXwgBTLi62D6pFh2dwS
nJdwAxculxmeNzscuf+o+dlCzJl71mFe9OxY8CbAih+iKWROS49mx9nGTy70HqBIqs8dI/A3q0e0
m2aE5xVXq+JaKIP4QxtwccIqHk+x1Nvlg8f9PG7jttM36LRol+eguzQtHag+/oij5iNWMJDTw+RJ
sJlZ+YojAwnlZsxgRCXvsB4rLBRjQorSGKtGN4JYGUTJbwhiuEKm5D/BqN9rkcuN0MGJcOvhgP00
eiiJ6VKh+bvKMS+4KL7MjL6BDrlA3J43kagPyQ5Lyoii3gopsCcU1mvVBPLEkA0PMGS9BM6RCJw6
+TFwbXxDnHvqml9V13zqKTNka6YGKHUcH3s+ggDDahmtDQwrljGjLOJTjO0MpLoeuzyk4eRs1+iI
fcXTUmMmUg/Gld35O3wEDgXDuTpq3olR3iurs3XtMdP22u8y9W9/kaeG5ldZfWvDcyKOpY2INle8
WDXyU3Y2s2mcdEXrbBTTM4s95IBEpsdVD6GmqSGNROVdTexcNWQfGd5sp4kkRV7X9at3tIavmYGZ
iuo3+omrFyAYA83Kfea6eSlrDQGGTeGqZmdIhFeVCH7Ww/xzGFmARMrsUwYxi7BRRUSUp/v/zAu2
VDrSP6XmQQQ2XMOlMbHYeSx45/z+69dLUkbNf/+X8f9qkxsNDmx7CCs4FFO3DEWZ/PrKmZsd9HWG
HHooGmBEG9+BdA6Q53Crpx0nqdSYuit6lN6y8I1s7IqrJBOuBlGLq6aYjF5EWRQG3nH5zglHdbnn
d84JiSqYNppx6z5gP6N2EzyhO/q3nnEkFq1wHzp5ogF9mTHp/z8I0c6/08n/etuW5xi89+BfYqOg
cSG9T2V7oE074BhC3rLxEHiQRzW2ZvS0D1n1LaYRRwwD/wTpG9aKZ4JzgcHGxqWTgxVAuULCAU0X
ewMRASxxGRbwk/dL4khCxRx8+hJPjd7fdQ5nb9lFAdgQ8WpnlTd/NOPilXwebgQoyCpSXpVNsbpO
M0VFHi0+j7+49orgUJZAQaGcrlRZH0PNiq1WOIKLaYni/ujrEp/P+Fz9kcn8VGu5/X+cNOtfotaW
q4U3alouGbMMd//lpPmej7xFs5qDllgQ4KrwNjOj9FRJtMxyx/q1NRmLLWTKhR7B1OWIlPemqa2F
huXiicBlDdLeiKB+jKS5W8gxC60JWSfbpzuR1oP9XNY2nDmXSyjW42dg0o+/2Gy29dajbN7NtEiK
3BAN2L5mNYkvI5tqfKwFHtqA0uoO/M83i/fv14zKjbZRYfgwGf9NgoD/fGYGmEQedL0xd7gUa6Ef
kbDGNoHnL/OtPoG5zVqhm0RmNH5yXkh6msVHmWBiuE8Vmzycwienmi+W9LYsfofZVea2/bGpoFgu
BcMop+cRpoFQm0pkF/fJ58yUQXArczJ0PAO4BQ4E64+GfGpgRhRg36UKVyfFAw5Dwu+8wvmxGJrt
4IkTngIwqdIRhkc+Hjy9PKQI+RQPKR1seXKa6uj6Em6h2tvs2Aj2TmIfhSJi+VFfrRFPbjsL+Cih
BccmA/ZndtdDuEfR9JZBTZi9Bg9dtbsyrqooyJFyL4WymQYbeNwAYPZRwsTa/OdPBJndvy9gOMMj
WrEQZljEov6LLMTpNKvKp6E+pKJghaRY3bc+ZtCmDWenHB7d2bVWbYszUinxXnMlmXB9/M2eXHUQ
m802epsUp65SPKsSe/w4KB58J3LxRuGPtKT8UWPsGZTMr/5alBrjaLvdqullutUM85c+zL+9JLrD
PdsNTXIzg/zbz1g4Cu0V4IMNlZTzhVWW1a6+boT3kNrdfS6qaouHG5+H+yEVj9MOwYa0PsZeasq3
hae9hW1Msm/VDU+Bh35vxjZHtvou682NX5fOuTQG5+xAd80yqzjUjEnwW+gufTGewqBHe0eQyzEc
zE1SyKcGrO5gjXjKM7EziEFqdNjkcGc31QDcmJMQwtKGeEPcFQffky5gJwueYoYtdDarhYHuWL/V
ik9aCh6KFGlunX/neF+2PmuTY7M1LEyq5fcmhZxVa896H32XRb7SUmtVms3vpaCMiurqotFd1SUK
zUVnoYhbtefgyFZfVF8cVclPL62PgQjfWCnvqjWli7bWk8KGsLP5OQTOz1CvNpnTQekleGA1BzjS
xVhFzlRcgUaNMAuUybP4UMQgKv61rcWUaU72bffjsyyKs6nHLk0iHPrEogqfMc8vo3fCDQ4LU7WN
f4mo+9RM9VwxPUSgDEaRRDhFMdJuats+40qZYyZ2eie2+D75mwTDv9r1bpjMUxVAglIVZ5M3piKD
YPkARO/n8dHHvYOgh4Xfhl8TN3nPTafjP7hmGH9I4JD6gAjEAIJVsdbbMWOnTAc9LDlcsynmHbMn
uPd2desM+PyyQfmtWmEq2S2RU6gfO+sZq/mfoVqFvJkX11v5TkLvz+UGj+uKhLVyfI7THgZAFYHg
SfNapWN4EjU9fgPwEDHRS/z6ByZEV8cibdqk71k5Q7p36Ml9raaUKyj/Fp9dw9NfRileqkRcJ6Wb
IFxm1dIeBw2bvx7mAzEk4U0DPN+EhrGuLUkmiVq9Wg3gpDeAAmbKe0PRH/GCdiC8H+NkuHTRL5B+
TVsuW8IUDWJhGpOZUW7558qF4Z+2VnLGZWGLEBiSRFn+HIp5K32EbNnA4JrJ+FuHlvjcQU9ziIAZ
hiy5piY+Q0SmH4QZAPR4hUuCSx/uEKQBWXTZiyAZcZXjJb/Hkfvq0FseNVTkmyrUGQD6A9aO86eT
TeZrhpGrlfUXDaEzZvw32XpvfixZjupCRxgA4pTA99TjYlN7VQu8VQLItom9w1mCgHXT6rd06P4m
Q1jRdfnebTW8pJDkb0SA7bFptXSqNoO7VhF7IGmWB69xtgsxqEXWMyV4EDvNdlQRG7DKTlZWyV2m
EfQwJ+6mxl5wNWrzgwlqjg5Vg8hCtkfRTuZpDmacH+1siwTmqnVGxdNVWDnN2X62Zx1C189qkpLN
W+IS6zTfo8lPHQ2MQSDIPkFJs06e1/zjK8aGRhYSQmfqz7PhmoTVxodKt8wNCtebG4j5FLTvg0xc
8CWoKMMkHYK61JdYyuZ4Cu1FnI3wFaV2Nj0sj9thPMhw1siXwSmtnr+Xb/CN187LVyjqGILWNjTb
ckq37OMOBED/YYa8frBtLziH3ZyS2mH9SGSQXcYITzZrLjYBbqmMpib9HDXioaP/OYhhfow8Lz3k
KUavSd5BN89lQZYIEcaiT6o1MKJzjnvzConO2S9HuRyF5REbV1rNtwjhsIQCQT6UOUYq/oRjLG3o
WgwIdgu/35sR2b5unjPfkdklJ8B87SS8nE4qTanr7YFYEm4qhodby4DH28AQPPvFu+yg15lOdMy8
2j1XqggJDQGfbmzGPWKzZ6wz28Pg+Ht8lZluUHcyaBnfA6yyiLXejKb5m2yDbJt2Zn22ZVufx9j4
kpDTd8UounNcjd0KhgwSaHcinxnNs2eXDHNACc+DSZpJGjE2ZC1+DSP/PUv6BJGdDp0lRHRUuISi
0ENaVnoepmennR7LhtslDoyrqdFagJjAH9Sa9DC+RuVsnPzkNHMAhOeUAEOhsYfk1O8bA4unbmr3
euHSJUs5NydH8xqQDGvV42KdYGFvXJdsDQj26REXBbjHKBfACI2sPdEWZohMkIYXfCRm6m2W54ig
8h4GZBlYpajwpyR+TGCIb0ylUaEZS1YlpVnZGKeFAZw1KFEI3oSZpZGi0kTA6l58WCRcom1BgLP+
O3Lh60BYuyyrVqm0GdCrf+ex+2YX89tSXRS9siMcbUTZjPOitvnZR7AdfcZ9MLnzu49FXzaPRIIr
PYMjANpTuwXl2S7U6Hwck32MoGpyBA7Z2ScWJ+eFnl2aOaaBFNKM68ijMhGtDa72CD+KsCgonAth
WkFEc1hcx3gDqfFkxMajYWOjzVAFrTzmu0lzW+qkemL7GKJiH6fQrfIQfyitozsDpjEAvNdOOT+r
7XPhkCN+UUlfrP28Czyj0hdygqDcNhlZAmCROrRzyvT6Nsvirviwin3uWjDQETYxSiSfFElAgggy
FLNYUHOyRjfs+pTSmFNTm0DNEfmFXB5UWYgQrYw5XCXXOFOeUnDFVdfxOi3U5wynLryoJa0VP1lE
MqQx6av7wu0nfqRNEOgTugpPPRv2Rjfc5jbpj5gmZKvEih/qfBA7vdktmq2FIDzWyAhqnV4UFzZo
ZBJlGUTKb6uK4JQ04JzkmKQrqcT9CZ6lRovyNSW8hXvePIyaxL0ouEXOzKzSvNLdog1xh5sDc7fI
k2/iQLhXGUF12i0bQRxcF+1APd17H4ZKizOMOcmr9OxDObkITZzD0kB7im3cNd4TbImnoWisXd/A
4mq9+pgvaJrSAwbaUZnPEmJLJRphEdW6oKvihNf/Bqfa11wBmpVS12gpeIwug/MQdxQt+O+a8Kbo
9LHqwDcqwCoDrHLyyhA3bGIjdJntZAiKZo4nwioyBjKoqKLwTx+TwLhcEXNsgUVSRuKdXOH4y1B1
AVvGkP7E6/MfXtDu06T+iTTtGDFfQVecDRs9HVAScdDNsVBpzvZI9VQSSbx2EQxY3Twj0S3ujabt
mlz7sbwA+awQelgfrHIkitRpbkq0Y7M+sNrKH6r2XPCD0KYSkWQJqvocS4jXjNE1IhlqX7Iwt2lK
Wx9r4pJg6o9NkfeST9aj1NqHxOMWCmuYzk0d3PQoOfUV81s34NQFOulfSfromC74OIemd85twJ5r
HY0/dANMx/S4QdqBjydSDjD1xANJvS/X+uT9BtyCzz8oEVgh1Cfk/vH7QGzJsAkurZKiJkqKFOoW
h2Yzp1taRI2nCLz4we+j31r0QGrxCrT6TbfC70qbM3iT2V4g39mMHm7+SDCvmIaqvjONmB557dru
xVPOvJXVB6nLmJPRHX0auGYQ71xe2LC37uTd50HeD2IKPjCp/DZMxALqvm2N+Nn1CzzNqz/Z/7B3
Jrutc1l7vpUgcxbYN4NMSJHqLNuS3E8It+w7sefV59n8CvkrgyDIPCjApc/nHFkmN/dea71dmO0V
MQApmPxSvcn7bL79DExONfEZJ+rf2iJCPnVIzMO5FuZQSfdRLBXZYLd6X2gqdDFTl2k0dqPEo+OE
OhFC0riJBw1xY9/oWyOGratN6d86EbFhOkQSzi8Wg8CNDui+fluKZzcclKud2Z+Yhtwzg/JFvYQz
qS8Pdii4VlwBofaroo/S0FFI9liltMsR+zMwITHTaiNu9FilH86U4UIU/5YxuYK9XaOkFj5uVojL
uxLMhFJvIYmzHbboJmbQUG2kqNa2ddXT4AjNXStBaRwaKxCiFdGPi5bEmGmvqcn4IVnsNfBn5mqm
VRD6+lT7JHECwaBQeKz9UR1zakdxjXiGvCVrcJ5W4dSqwFDEompm6ZnY1F2JnHodwK1za1VUzVaL
KKUbUd9gqACvNELyS+FXiDmzPpaZp/GgZgwid/2kILPP4n8AgFWfI6NzdEPYX4o1QKUVXYdOWlHS
Bljk3kxDhHRWj4Mi6Wifz6Zz3y/dtqiIp1DgnuyTlsif1rRBcZL8kMw4RZfJc6+b3AzjmOrRXtFV
rKdbKw9S06Qfg/iPSFe6Hxbz0glXUkOoyshyZOqtfc9il83oQcfuFrrSDeI5/Rp6MrPmISp3OjmG
MZRWOTEtX9c2asddXBWxcjJzEpWOj5x2ypXWU0oa/WKk21s/gp6y445h867HuDuKh1ua9IeWbMBR
bPtpQbPY6Kj2LQa0cktxkJFviqvjozIrEDBQXfSLU+61WrbcCqfaCLHGYRWIjhE2cT2tUbdB6imV
DyvAuTa5Kr62tWbd9VIGzs70nUSwd62TSDNZ7tuRB3VV3YYWeKVBskygffXO9ORI7bTpdARqa25Q
Ko/oFs2fChlE0BXWXY3RG4Aag/x6JiigCr/0Kmb2IKsofcPdatMx99J8UvWXPDJkryCrJlgnPoYI
AbBau7xjNn2wHLQHxN3+3ebxr8ok+J8WXsn4EHh5/phi3p7ZVE2VkBiumuVVeRIvzZ4d7cnRm/cV
cptnzjq7m98XR7lL5eU8FAupmjYVR+tkgqVQbrD9el/HVihFOVfj/ssKl4cJ3vZYWU9dM73oeelj
2PU0htjtV8bWFv1rz6gC1hiaLeHrEGKz5RdC5SXgZrNBLMuHX/tJScavYZRwzoyrjJFPUkE4b1wU
B2RDiZMvrW+PbQ96DJoZCAXi+nRl2hzoDW57pQp1KXvWI36VKm32Tg+HLsSuX5R3Tcf2vD5yhUBk
VlBDAEX98GWZhA9UkHe3+fxC5DJaTBaXlj4mhvxT9jyXkhQHg8nO6RS4HYjJMeZsXis70D7EB7Oz
6EtKK6jKXOV/IGkyGVwoUabQRPWLdBdKxnVFetd7CNUCrD5l6HwDzL/Vt31vgU201hNAEyeLqJEq
mZ2pt5HLwb/eTxOhCgKMl2Tpd9CHtw6XecZhAA4Z6ZTxLjF5PGoGGOtqkG54o6/PxTpDkABYgHx4
Q+aT21m2LqJmhrSJA7lALlYAqzM+Q7u7rloiB2mzK0FqNJaUABc7mhkkLi/xJEFpwHippB5m9shn
1RkaujnenECNvH3GCKrBBZCnnkiPdYjZURWsQ9VpuYvEgqx7emdRS/cafgr0oHvpVj46ttD2svEq
OZtvS82UEAnCtpwgxq2mnSZOPBvKJ1Lu/FHUY8S4bQqsa4ReEG8IMfsSlZZC6bleZfKTXkfqTnti
4LNKvJRna8HNPcpkcMlW4hTL3IhqRwn746xHfwLrS2L4KUtzXw/pdn0vQ6C6C/aR0DebJxr/v1JC
Ej1J1sHmznursLgQ+zi7PmO7bU4QyDoDmmCdrPNmIvwgnIJJCNQF/pnpyVR7ILh1kKI9bHCwDQSE
CdUMzMvmthS3R+TNby3N7dI4z0gfAC6YZcCoV09ZHr+tzxAO5WNgTTcEK1blR9Xs2x0KE+FRIyRx
5lSx/O3ocRXS2kKAL9S8lvSTM6RAxeRsbzXjUls8mfaQfzA4khf64HWn6AG0lZlISgqlKSWyVTFf
VohjKTAlqM3rHD/3v8Zcme6kc/aE1j26nI+Sltp1GF3gzwC8VOZ/mlV+JMX4mDjkEciRsuLfuhU0
GtzjVT8p2RyqqkgqLNryjlgAaP/4Ygb1tNXRA1Q6fYNYrHNCbd+J6ZQoW8DIks3cdsGqKhT1XCKs
ELQC+atQIK60EUMrghzPR7duALWhT6HWlHBnrjwTVZBfJiFj45RVKx4sYJ+DMelnHLVriB/zGBAR
txlrslai6m8lDECxBzMtu82oRd3m43YTvu00asnSU6BE5gdamJ24ZOx0b7IzB6KdSYS2Vm+Lx9ii
Ohbgt9j10rr3YftjK99EmjtO+Y+YQY49NeSq4Ob8eInw0sHJgXVtZ0iDZbQ+ok6vGf326ESX0NiP
Jlkm668QDxNjb8JBmio24YVfVwSjFGtzssOn1dciQ2bNGQn7lzhlMjY+8IPsvcxQP5yZdinnucJR
z4R3s1wmCeCsUbncq2EQbUitoleNWsmEDIymRUdtTgvR4KLXXObcbOh4af56botTo4/tDXeQEBKz
LNZiBSXUY1mS62vHf+KKip8Wazc6MqHoaFUgETGTLnR1A3pWu4aR3ZVMkBejzIN1zC/TmCqb8lb8
9DkW1VROS0aJRm0bEKuDqrhk7QCrvMgKY5gQjWihjIQBLK8kbWGIwqDDFIWEoeoK/h3Lcd0zWqFL
T1MITRn6SRcdyzG8TQFjcZ+PS6MHmP6PLJ7KZupJH2xtZrkKDks3kzFpNS0zbsl+hqSCbjcq8KNO
SXwWjghC4VDcul8ZwEPCxsRTBzaS4g/qKMPd0Nr3isM8hQ5MF4Jboxs2cMlSNCDZAhuDHHisz8Vy
X/fELE34cX0arHgIbqQ7PbeAlCjB1jJTjm2o/Ma3XSGB6Iu7VI9jIqrL8ACm6Y2NZOKqK/mrZYGd
GAF91P1qVaAIUXw8M+WtDMRSBTXk+vzEmoWAgzGvW+SF5t+W6E7UXroFHlpHy/00ZqHXJjdYfNbz
3LQ1NO7ndZiwzjGklmC2flCvqznGLZ9h22YtbE/0QANRmWQox/TQmnWI8+qsxaychcPGxEE/aJ8W
naM7y1BmFSQ89fXfrGOAlElITxvDuMYg4G4pLbupYw2UJQe77AwKCdy7Xti8FFZ1wocSDxJz/rTH
31WlHjYZ9BKHa94zq7FpUnEXvItR6toiAwMz4XrrjGqDvV/y19ERMYavvXzgIapCxpAx+5AWNhzX
CcHixSFWenC0ciPQdzIv4EFQ7k5j/dKxJYvJSlExj1HqXUNnZJHJLsjDf2sD3S3tVdP6l4FkRE/l
/mRZnpCfxG5EhsObBGo79tpmGqeY9hzy7UiDYZnZb1ZX+zmXKQHNxdUtQfUVg3rYZe9zUnyqpDzD
JMJ+YVxk9jooW6oFOUNCpJM0vl5D5Bpz85iE8gylTj8XgvGRj8N9c1MX8JrkXrfhYN0WeHCFIE/V
EcW7wVPJcNYfOFqimUi2fGH61jAl3cgOHsKCctGZNp2nEd2ZFCleg1OzK5JCKWzh5qB6KQl7w6GL
OkleireiQY1BlCNokMX7TSTS8oRC7MpMfyUPxSZcujmiPW1DNiU9z98mQ1tZDK0yfKYEFfQJH9m6
fWgqgCzOmEwyOMkFJrY67yQmAEhj8KaSLv1JuuyvAxRudUNV8rqaqyRZc5Kq4SrOzQYOOoP7/ohD
FTJy0cKnoEOWwmPeRvl31b+uW+i6n5XpR2LSFGg1XEr9NXeSbZgwHzCHqXGn2+1kgb0GtPkfUkz8
VFGf4+Z3sPvPugFXt1Pu2RqnmcCq8yYLAaaWEaUkyElsNKtVCMV47eLmx/z1Q3R3ZeTs7GR08ZG8
aqXJkIes++VOHWJhD9Ayr4G/HBCQcCRhZVso2ddqylFI7HCFGE2jIXBvgvQRhfaT01GBkWC6l2y2
czH9sjAFWDkd4xIfRjt5g3HIcG8i/pd/UwP1eOgJtw7umbvVGGpleo0kvEScAytxQIB/mQmJ1o6y
XyhPVEYhqcZ6k/2uxkKGyYniVNqGE/i1T/XftM2fhYGRODblKkWkUd1+7Ko9QaL8WeE62H7bua1f
F5s6CNcdrM2ZSiT4VzMrSP+GDrZlC7Ibi4fv1lVPSDT3KwCsWCB2DGhc3XEe8QJ8CKH7+Ygy2Goj
OO9deBXt0zRR3mPjCD9VyM0GSzhYUR0WguLX68XJzBzVW0rpdx0Oq1jZY2szMJ7qPRASiKwG911p
YcKL+ESX5gAGUQRPBnwOUVEfDJDfvHWRAowOWLObXtEqlQDiL71ITxRXn8UNrwcAsuhqok1J0IKr
hHpht9Z+a+9WSfcJaWCLDaaZm4mBZsRC/3WD+AgxW8OgCYpusp30bNulpIepbMmwTb9iQamNlZvv
tCoQKXWIdrMvNj3tIRnq106xmw3wjueY3T1cM4jwwkpMdGmTsERC76e7evIumNJDkWMdIDH8FOP1
qn1qdTjXa3vTCaexFUbte/XH0EtCh42f3JhQFAo7CdHZiOlowglYtvgxaBMJ86L7zPljS8hnBRVE
hxqSDvbD3MskqC5QBTT6M91oDrh1so2W1qd4INICapqKrkZU0SsBLmuptKwleW8e0hsNBXla2HyJ
CqDrH6SdeStKP5xIOLWV9rz6d2ULx3ViB/DmbTpAFe8+4FbfhBreVlrMsxxKeNQinFaBrDziPxis
m09iOr5U1k8p3T6Fo5XoGQE+ntG07Jq8eRSeIlVi3C0MPRgiUzNOOuipc8W29A0VITpMdnK2O/aV
R1z7n1bvw1x8fEe6m2RJ9psMDTHO7Mx3BqfYhmTukJ/OEPNznbIoE81e3JIYLN+eK+b8CE8TaICJ
JkIP/mbs3/nIw8UWZJ6qCjUAFEgwtFpaXr7k8oqqrxRK0XiuT+4i3PVED7bOnkTyrEb1kuvFtybm
p+Iq2/VyIvv4YNXAdYv5XYwNMhkoujLeyMLzyNJ/1GQ6i9ujGWYWEJo2sd0DBhAVIO6GxJAJzKax
qA+5p3pzQcLHgQ6MJ/5YpUSbUGm4jaisxGVeK2IxTl/768nioV/disTfnnGHgy1Oybx2gB32CiiP
s+MsNgpxgqM5yjqc9/ophSRRp5iySUK3yWRbk3yjoB+ma/hAl/xO5iCshxv5qzU+NVyJRZTathjf
43X5YBIdtLI8lx7G9a2xL+tJMsDywe5IppQH309rKhGW6LuJYWGxEAETElDNLzH0p6zs38Ves579
RrjcaxCPfHii+hwIK7YeOo6rRslfiA+Ga8jJUanxNkzK+q2rrrNmPK0OUqLoNbXlI8dxHAWesB/E
236JotfuXm7j91rSfuqzHmR6ZWxuNTdUVBXrYSPZqEHnOYASaRN0QSI1d1W9bzFLcPVh2KfluEcm
9QBF/6UdSdpBXf9UjhcifNA3SuZTo6oaQCIJtRQ2a30rlbrkFaGbtMZzdWvGf6ZxCllIVO8oG9VI
+4cF+f8djf8vjsaKbinafzCuNp/d53/7LbsERPaz+P0f/33/8xlX/2ln/O9/8W87Y0VR8DPW+J+i
a2yTwpn433bG2BX/S9U0xdBVJtrWf7kZ686/ZBmDYaLq8X9wVAWO4b/djHXlX44Dr1BWNcPA2l3+
f3IzhvUmyKv/QW6VxVvIfC5Mb1ENarb8v5NbM4Wi2rBC816ZU1poVO9jnET7Xl1YS0ynRVUEPom7
Bl/qpBsCM4ovpoCYUcNCI1lfrl/SlgjRNm1tbB2M22H9skhxe8AsE0BafK+aUjASHF+gaKtEyt6k
5rB+6cmpPiSa+u///Od7BKhuicgmyDliOyaws6H44Mv6Sm0nvqnfbHwCLEwwFGHsUqcWvjPry7Ah
724cLIy/qle2WBhd0q3wGzhLR8uwdyS8PIY6sRvoa+5h0CZbeKX42Ngg9+1qX6MLOxnToV7p7OIU
tyLbksm64hRpoAlmOWoNpn/wdts5+3JKtAB52QyH2NSJtxrjAeEqsV+N2j5KBt+6CUcTnQOZiV1T
o+5F4iZZfKYotZ/72dlbRC8kjVztNRWnm6w1ko1h2PVhWhiB8mDzsr21vCQNtj5AdyDbT7rt1s8p
1djerK/w5rf2YRc0NNqH9YuyNPFWHpOHCTuMHVT8XZTCOgFmarIpOjRCFYMjlZ/XCOsVc293n2mS
HWOEu3LXWnuV4DwMUOt9FOEmoFvTnuSHa1EkDamDxaEj//XQt0l5UEYNB49pZBwkXHH+60tkZBi/
/K/vzcI/ZlOO6XmylT7A7r/CZ5EvclkKx0VeWcLiZ32lEuuyy/WQsFn8YdZPvn6xVrsY8QXLa4IH
C5gt6ZD3gGx8ni5NhyDKtqq0y68LZRLuNxCtgc9Trzlrd7jxwkZonlXjatEF/BA6zLxLRHd3AX74
lKSDFCgb9C4Q4bbomrwCyHP+hDTSwFkEyen7C6+cfuuQNf8CEEPueGsGs/zQ0dGObQAPpLWOmXJq
WPJvzNs3i3t7rU6QF1OyczSvzfYg7jiGg7E9aNNVr38qI7AJbsXA6Zb1mxn9fLxRukPMdNBrjtNI
2eH2FEWespuH/fIlP9OcIszQQecvMmo8yng3xumYMAcTrBGDSjNwVAqQzZLdWTpZfJuBVVj65m/6
6DDZbOCyuYTRi6hBlA/X8qqlgfli9qgaxWVryLrMhF10P8FJo19F4s7v2vmxs2s4q0hbQOeB9tHy
btF97XzVP/hJcPkecMs6my8SWqrI7+66K8AiV8LaRJzx/VbHt8bxM/U028ilXHjAZ/LT2gvfr9+R
Evuf2R4w5EiM1eSB69bv8Aa1ChdZCIAEi29gdKfYg0PF8iI2ggP02mnYzsljjadN7M6/PRy12zf1
t4WRLvVBtseEcvmWbS/rLjg1cXURmfHPCseTP1G8Ougrc7/F826L5GcipgKeVeL2F206lo/qs/ZK
sIZisIfAIXXTaNOeGRYQogPF50DoF6EupU+SYRYFJs/mpbZ3gCtUP0yPgGOwNcmvJgGJbvdaflnP
5Yvj5w8pVnSjb/VH5/YOZG7tUBRK3EWkgOGWeFUim2x2pOHbQnOaPdvb5JTPnvyIT1CBw4qzsZ+0
O4ni1uOXYdnqn/rv9ESHEh0xINh3exuLcTizKprLTf5TtUHE4xBu0++icQE8k3RTnFSNnWKnv2DL
QztJ3XbOqutw17xMj+oHSPbt7Za45NCy2IY7G7YCdnOARYSJeFYFWOSzoIwc506AJ1bCsYP6z7Ty
43b0k71s+tWTmUDv9ixGohtYUUrhK3531uPN8kdkGiwKVw3s1re87GD+Od+owo7tr/5DCuBn8uOc
2Xfm1jevkV8zn1SBx5/DfDcNrgohojrWj622JWpPeQ03BIw5BxIMR6SM9J8P5S7cDw9z6dccBybS
c5cYu8+iwqZzZ7MeiqCGTPzTAN0ipd38DCeGP8OpnnzzlaQ+/DeKYDg5G9NXcUPymVYysA3fwEdS
nzg1vAwttzl2m9tTc+qWY0KOGXJzxgV/9Abzi0xiWedr3VurvbN3hDjTYoRm/ugFvdfFIH8SmuOd
nO7Vz3nxqgM1ISdYztvBJZ8X//YOKI85/E8XbcFkEzfbVRcl3nDN28/lKQ2Ur+qXBBeAI5tQpGAk
j4otCgfkt/nZuGNMwrY4biMfJWUw8fvTBD8n77BvxqDasluOH0MaLPv6Me12CsFB4ZZ7CV89DO9l
eV8/hQclJMFklz9K300j7u8o+dx6nr3yCaIUP1BNPH7OdNe/hMsexxjmWzPyFCmw+T3otW9Mq11p
OhqI57NdyUHHvqMc8qeURUl6o+RHn3aGOgQauB9XpP1u5XSXhb555vE+F6f0iwgz5zu6dCAFJI2w
gWi/tOKBaoD3he70Vg3PaXPKlK1zlSB1SAFvQ/Av4t1ZurOkj3YGep/QM9/dvolPeQtPjuJa82OG
M2+0iV5GGXj+hc4J1fgOwnWGDVix7ZQXAqpl+dxOD5b8R0hun2N5hDERi9kPdcKO/CL/LdKdPBDQ
56rn6Q09qk34X+Va1+UaDhgj/rZssjy9DRGlVqDxCNVu3jpuSgvNwIn30EEUZTCfPmCzELEMoGUd
DuQuKF/rcGc2efgRD69knBXpIZxchvh7/je4UxAK14qA/V/eUpsd4u8I53z3SfL1c5S/ZfpJvS/5
uJ23nMa9F77dDshcE46+o9wEOYOEkmjC78G8S4WgZg/GkvSopAO12C1yoFbktz9WtyODSaU7DSMY
G2x0j2B5Yt6V6gRpZ3ngwyr9vtvguRS5z025n6oAZFYCqjhbGU7T9RH3z4N2SC/mcd7hpfuwPITP
9oEVzYz/KL1Znd+wxWTK4spe/cZHgCFKJA2yy1jkAd/Xbb7J8ZELd0NyX6pXFdGEcSDcIrzk/vhU
MUnQAlx1cxJWA2BYjJiT7j6bUAljTeTNx9LPgheMY7iDxo8Sf+txEAr6GRRMtyKFFCLCjfJLmOYK
U+ujeXFIA26PDLKarw58HMgI1+aYJEeQmWoHPtAoPkMnFa+J9Gmpgt44KcNugPKRn0zMt5Cm11gA
nMvMj6CSSB5q+frCRvQs3mp0i4cY4SHVrevs69+KPONn6VFvtgqpTBy9psddIlk4/U2yM5kMvITJ
Rw4sDj/kfaowABrfwFDE3EIzwWG+afxUOzrZC742quphjgfql3zrr/XJeS+YAJ357nzbhsf4OEn3
NpWGZ7829YaPdFGPw+LOd9PW/tJfq418l1+wHpvFdtr9Sdbmdh85ezO4bbt+Ayt342zxb/noztJ2
OC9+hJDt0O/bh/GovTe7My5W5e/tY7rvMMl5gInI/8dHKHpbs9rE/SYdT8Ume5N3Sfh0qzxZ8ewj
16gpMTEAKXWTK6ll2BGplKsOvcK+xDose9Eemw4zAQ/OWAlCiD/NVv6CfPXat6/D6N+eh2wznIEe
4aFd5yO1Ep+CKFPXwPnX3BJbmx/yU0l07lk/5uf5dXy9PXP9+WFJf6zPkune7jk4cJvzqn37ND4R
fMSKhQ1YBx2waX5fHqwX5Xn5xVeIxPeiPC3PtwNtwIi7jDB/9KNvHME+9eCGngk8SWUNbZjDg0BY
2S6+9PvoKj1ZPyyc21Z5lrtXKLrGi0IuH9PezqOJMOVXeyHiCedEb/gEOlZect4MULDb3QZsTbdG
tYUd1BwtLUA3maHVHdy7G4ZIrowlIIzq8iM9d1iXhEgb/HzXy5jS+XJ2SUy/H7YmxnpFMBZBZwba
JwZpFSSYT79tHqofzmkHh+4i0F7w8ou31c/iS9vuvu/2eB2qiExwpnronuWvYrM4b3aQoLUpA4XS
E2fS9gSPiAzXAg+99nG43C439YRp0nDRqq2T7bN3huh9zKpvHmfVg1LbXLNvfvlG88cHfsBs8sR4
Dma7j0ywu8nHBpdM1MG6VyF+Cd2z2z6gouGvVqZfK7vyond7lNRl7ttksihu+jG3XnifPeDihYB3
HnmY4Uc+DNV2KDdpF9A2OX8G5bl04HepdZL7trfkatVfE3aWP00JePyGhXembXoiewOqCRzO9lzz
Apjtbly0dkN+DzVnbJdIc7RFh/XY2gejx0dQg6N/qEmFrxQblitfLKICDhImqLZ9+wg1jE+H2BE4
Yf/vV+v31i+Rzp86sk6FYUPMzjsmj3VveloXpnhNqCNqx6yh2qddPsTCKHV9NWJb9M+rgvhv+KTi
T3K9TbcYARwnR05kf/2LDLo72GD/p3+t13W/MUzMBToUiylYZCa9NThu+WpJpUjcG85FFX1mL36g
atMeJxqX2klaMI/5UA55t8ORZ9OGJTzFsuHYX19qNX0+ZohkXDyabLfdpqteo9/qN1GPGY//iRat
ZXskFAAa0Na44QaPgoCIFbdnxshPFcJO0aWMv5jrHW87Td8PMEFqt/zCtd++o+NJAZvuZToJaDDv
4D4oQay7CvFkukHaRzN5GgCZJ0D7ALt53lQ37/vT4FqeejWv2mkGwkyP6LYNZqQM6Cy/+C1f50fJ
76hFUb3wM6g/X+3YDe8gr576d/WdBmk58tvfpxsQL8nrdqbrnOd40wf6e39qPug6o9G39U1M6DnI
hu1Tj8HBHl4x9zffo4P8qHyY1+5LmjfRLw4vXGj9vdpaYyBoNSYQpJsbPrCD+jv8pI80qXV+Mb4w
YT9PNFoLataLcU/ezPQFixBpJ+5jXn3XEctOleS1fxLq9zfCz3/jQPnAcGt8t876BhtjTDHm+/SH
ophObzS98L39RdcWgXqhEvJIa1SOXLzml+Iy5p9FzD5AldDYv9yuQ7jBtCiuN1iIGXfkkHD+ndst
dwSOXXMqfFjKyBkCbjcanvlxxvhlZ5y7Q3QCF8AZH9UUvjKWC+xagqT+jAyJU+RylOwdoocjPw3M
gYRvuL7EJ/KPeKvlAj7wFgbEQHXVplMhdNdeBVg4u2NAokzFBMgrv1CW0lMNr7Hg1XOpJf978ib2
seQO32Iv8bK9uV/wVTiFwW322yA5aDvAAY2uftt9MW3Vf3jXBg7E7JU7PEpaz/kqFVe6djFmBl62
4xsX6YIgNDvpNWIHzvcL/bN2ZI6iHBU2lmv6EOlItTxMwarRT9GXvLeaa13kkZxT18Ip4Kfe5a+3
kA6fmsrlb2RqkHOQP4P6KBv9EB3xECKYfVNBTt02l5jSMAlYRshD+JY5etoWIgebrXOS9zh/Trv+
OX0gVN16bQ7K0Z62+QMskCucMq3azD+Wp53DgbQDL3rGfzMaPe6L4w9fGKjhSRS/EkMjP5rYJP8A
4Nd0VJJHh8/vQRQyxrbhVd3fdtMrd6PZOkH9QCyO/a4SkPBck1h+onvpRRG4Sz50LGlpBDL24Cog
p0O5UJyf8bNtMRS10PBv4DA2hhfugLMNA5vQHbHWvOjaYMIsRr/0jJ84OKF40j0o5x7w/1rFfvpp
nWgHCvsP/F6TTgZ6N3r3b4o/2lNzC2eaYRkJur17i3385sCcxcSAGQER0i/yn42h7B19pBx548dy
Fw6fMaJQ3SOTvGz5EFtT2J6w1uk5g/7T+Cp2VgEKCTJxYDZiYXgfXcv8yXgN5JdpXz8kjJlwvFN2
aKUINIEbWkI64xlnDvZavpMmGy3bHhxXhizgT19KvVFgvq3zlpZkKLGKPuxfpgjgf1cWBloLHkMG
QNzw/sxUQELF6RlfLJL4DZ74JHnNh4Yg9audzwUB4yk8HDd9I/oQkf173WwAuaqcWu04PLb3kkpN
tRlea3WHowgkYhbaBT3zeSTzQwrSx/HDAROEcRN5zLFm4zWrmUwCF/nyb37z24+5DsjkvRuxDHEX
ju8IcNez/1rmX3lgJW7xYePVjB33VmLsA/1/PEEf3Vib9iu0A5jD+gm5efGybPpt+gC3Je3d5ZW0
kcts3BeZT44SKsc8P+fZEwEw5WtUeXHmDbdtNJ7aSYxZ2ELN9H4KOXsZDkVwOwP1CqOwSd1LxaZH
48DQgTlBwwz1bnklG/mA3fKVqBpuJ6LXM2Mtj4Bm7u7tJzvzkETalWxIvT8t2k6zgwKLkvjgJAE7
tLZpn5F6YjnpFrsG5c5zccYhqTnV4wtTL06i0HiMHUoFnyPn9mX51j0TtOSovfLsQh+dT/WD+Tg/
IlkwY3zzPaStFAuVax60QNuwmsTbnZP6wn1sEFc+i50i9eIrd55HTnrtT7l9JvWFECrgMLf+4tRo
522ast0QDNaz8x6r5+w0PlofOtEucJg38u+kw1f3eszuv3pjQ2KzHBP2fCjqwGYSmgQAvxVlhPMY
UsVYLnsXc8RK+l2vNzdG92Uyoz3Zft/IshfDWncr40ifHW7rh7YODLg2yPNgCFvY/WG+tiswysW4
nuZTbzdYf8vzlhGW/ctRa49eMm+l/A3LXE4odlEWVjKeIOwQNtI9jRf1t+M2X3ncTJD50Wckzuwu
xSpPBSndqKPPD9R1ePYu+n2oARlmMWSz3Vd7oqzg27U9j7VbfgKF44QbvrUsxrf5YzzxpLFhy8y6
4PsNbqKc8vRZNo74OuX7217b1HCkcDovqz0dKtdK0qBDBKPlLzueWonc9q0uXQax0WvCNpg6+1jp
15b42cY3q7scaepR+yA0FvPnvPDrZQ8/KSMJdwrs4qFnNf4kPu1xgOe+EsHoxCH8Ca2gdYNYwLmH
pMmTobTu66v4ndlZGsgiHssRap4b8x874yunTiHGEVnkcIrrXWQ9Zslh7lgKdJUc25kojKQQ11pP
x4EYNYzpiYWiM04hSugMV6dFW9yPJ46NW+Mn9MmEEpSBc8/2646++QIbCLcwWz3mDgR7b/xV2qtj
B1joGv29/MyhyFCwp0v6qc44DVfbNEhEAMZGe9Wfo3P0rP/g3GndD8ehY7Q5udCDWjfaOQ+KmP1u
lO/0MTq2kzdU+wIrIgIeOWDhR2yZi4SYIjxXPJgpozj+9fhL7QXu2QEOYcPNxdcj7/agfM2YgEbu
8jVxKSjnzt2TgVfny+xjPgVVITy3bCRiHJ3RLVb7tN4E46V9Ng/FZ3ZBrfPRVFBfApp7iLsM9Ptx
r7wawfjn3HbR4ilB7AHrlFiyftfVrt1GO2IhYqZnXvHMIbnoAbZiJMP04tltf6nFh9RDhUtCfVGf
pE+O9OzQevrBPtVviuJGf6ZFtx0s9nPXIe3SMG3fMrEhs4RYvgMObiXf0sVgVWZkSUb4X3FPzw/B
FsSNak/twZHJ1tiMz6MfvRQ8ARR4+OWyU5U7hcCpY4lH2h9KfWqynLcxXGakVGpY/GHLdpju1D92
XdD0ZPEIlz6yyrpr+aP7qNRKIspYCW59N587yw9/sa1lBzfxAGcOlB4WwI/xV9vMh/SxuUQ7Vus3
HzJsAggvDEvr+oGb3BzCvU7ptjWyE7LV5MN+ae51fzqi/glKhG6A9yrLk6FO/8exDG6eP6nPlF7G
MaMpOeR3yoOxPM4zrl/8JczqA+fCHnXTdqoSYGRInM9kiDIDK43IvhN+j0nQCf0vjGV3+HK+eDil
giKPxaL+qDiMWq7bnsaX8FA+8PS2z9PrnG54oDZcvp+P/Gm5u13bZzbFlPkJ85unhDLBV/f6+/Ll
vC7tFsOOyCs+OJcM/SHv7+P5m4OG8j+80z7IIY7NI5F2AyGk2J9tb+k+viCDSZ6Mc81A55qpfGQ3
Z7ndqU8Wa/J12PW/OX3PIX8gcvMsv+E4Ve1zfCvuyqNuEfQCduJWiQsXu7uBt7jqHtr0KSKd2o13
k68/VNjH09WkL2qg+Tw7d4mv7VCkPjrHaUfWyf+k67yWU4e2dP1EqlIOt6BAMsHYGPtG5bSUc9bT
n0+s03t1dXXfuEwwBiTNOcb4013yzEPNkkSzdJzapXLA7pIqHmGHy9GA9y5TSDlUF3iaSV8a5cmV
NbJZ1o1V+iXV66mHYL6CWyQuM2cTg2G6MVa+xdDLqSuPM1zN19FB8yyPMcHwIkY2zbSI7z62giap
HK7JhLdD7LUnA11wEsvLzG0BifiKBX6+NxXc0Nb8A9LJjN5OLVs+zWtz0xm7SXktWVhxIFmmDTvc
twV5AxGYAhFJxbe0q3ftx/DSNy7sHPk+rnVM2JaKucM3hObwRNdHYfpcKGvpQ3P0bfFKx7cHENjS
WBiv2CdYT+mxDLepCHsY76Kl1WjeRSatLPqQsmlyW1v49DfDffyDe8RQrISn6i60bvfd3iC4WMMm
vVQtum3IOivtZu7FLwZXWk9euLCrJQ/7/9tQO1rrMroofmIqJN4V03ykEaW4aZWdDlUFYwjMpBk0
YQkQOdBzutCB8N0A4+XkAq7lQyvS4DNO+SAWUzww95muE1Y4juGZ1+oeMFECgqIYNyYnYxjDmORZ
TT56PhGa7ns0XDXVhfQ/ceowmz8wSf/eNIRPXdpnDlvlr9Z9yuCNODL4WPbEiJxlZIPySPhp1+h2
b4AefgCJy9OA2KRNdFbgRKc2duDYcHQYkr82nVc27syZTxtMbmyMDJ/3wwZtC566GTBqhHCa25i6
MlH8xrBqHdxT5mPYvjOZlpfvP1riBVfjs4TdMipEqlqftpMWbzqlxxbaEhfM2fzGtoYn0xcQG2Ok
TvLEqp3S7dDv/aBB4qIGWzxXx2AP3whTMrfcZVw8lMpsJMGT5pRu8dndtK/2EPerDFXUp8goGU0g
XsG4V62yP+27OS4bFVif7jW7Zh8+gbEGf5SX2ENcssMXnoZ/+lD/kEcE2DFHCzbKFhJuMALnSuu3
ybMvnGfafsIIMJz0Sf44z/ORVwy73Xj38/2I/T1ZGRw2Jv8d8SA7M9kV8KDVA6RpQDroRNg2ShDK
plW07Fmv0pdI9KS5wWwI0FIJPN+wBzLXsK9v8CrfVjOg2xqYiOSrzssDD/fGByZqrgkYwti6elYp
ygmOBKO744UBarr4FSAoFxy2BdRy5ifFsX/UsTHuV6gadhQE4IU0fnbPBfCdv2fM1gSb1TK3Lprm
RelN29RXyXInkwJmFX/DK1u2LJtQjE9c3wOczEU7AQ1OTwAcg8VQGvRzQ+NSOT7X4jF2a5qvp+BD
Zh2jusdIDoSLo0cFnFxIF5ml5R3MaGYvssOXA3c2zFy2M6d7Ck+x9tT0WwPyMjUoYfPrwGPJPvJx
qYzjO9VyVh7yEYyo2FCjWZ/Ga6as81vyE+gOp3p2QFTomO9LgtFqYjH6YMyUXYgROQKfEmCBOwxp
AZbXv9DDAyha7/Xies2Lv1XJkUsaBTwpqcLv8G2+s8nJmr1sSP2GsMDsY/aX7ZsdLtOhMlLbDkf1
l3AzSpyt8Y1sZ3F5J0dh6/sHfEZ1T7srNucEico1VxLUPVCdyY1yBxuTfEJyt1rWag4+Ze+LXdWY
aq3Ayww8rlbtNxsoRqU/02th4rRE4c9XmuG5dhuc8SSwHMkgU+i842pYWYoTCytDsQv6MK40zmvM
TV4jt7km2BBITrII+jbhBwlt1bl8JZmDjGPABRAHKWZm51r9VorP04BNhuMX1M4sFBQbvBW3+0qY
83g64x0bWJBzXXWap+kp32orYcPoiHOByq60+1fmslMEq3mVXI2zxlp6kndsj+pNcXGrecMkuhQ2
RbPuX2XIm+gw8kPE0Bjyb9w7mGPO1+A2XxF2dcoHHNKWNwgMAZS1gQYIMId8G4PRiGxkkCpD3wah
O9fOACEl/NCPutPsEr4pUq7vBPiV8Wu1vNfoc0QoucZm28fPVvX66QxgviQNdK5u2IwsKTdUQF/1
sFgX3JhcOMBY9w6Y8lU6C9vsVL2kz2zq+Evoe8GOPeUHwCimH61XyhbAAS+OTXIV1VO8G056u+J/
pb/+m/iG6wmxqcO2es+9eCfbM6a+K+WTYXf7wfy/3BXCupPW8r7+gEjrCNv2NbrycUj2lhxQDmUb
biMIBizXkFOfUJI85R6cWvCUeEHoohBnFs5giq/6hUtzfOEkY8GTK1e7KneThfuEm4m0tVrI0uRy
vpODoNx0hjGtNxC9k7sEe2AJa7Q2cHf5myv7OnFMZkJgZWzRfPeUO9mmmTYh/VUL5uJOvqOxvAy2
QbRrsiMHxCifCD0jOLnD5RklpOrNI1gGBkVORlBAwtm/8h/4wyh7JvG7BJAlOItSyhj7XjhKT2ws
9bQD+uLbMx54HOIFXNwSAzx6pbzXv9E1+yIFJP8FEL7w8pwxy0HYNeHKGFjq1tFbs69/a+JoNLb0
lXGIXxFNwclevIeIpXkgS4y2qhUQIHoiPCyFF44On7Gh/6AMe5P3nW086SdoQmtxbz6DHY61Y/xo
sWMjqRKJZV2MgXCa2+v7/nMiMIprcIXtoVdt22M9rlqECrE3DLegO0oKJNZVmDj5Jbj31apgsms8
GZ4INiIuAgqAThxrsHYg2WCdgdm1dLOr6St6o6nwM68ObZgQaJwmp9tpXKdQer5wewrW4aV8RUQV
ucKW1UF0ldiryWwu3JnkC2xNHC4D+OcKNbB6Dn6l5wm8+RuFVLuGFvGa/hIjVSI9iG35jf/Xu3x2
OEJPzRsCl1cgRcEursK7/jy+B4TdbHHzb9fyd0OJ8tPZ7BQM4l6FYEvuvAe2+GpMHktGc613IdTX
t+DKoqCLCxFNUx3ylmlSjtg/bcAZSjjx8Yrrv3Kjs+QN38m5BXwTzh30eFh3r8q7CsgTXVPVLl/N
rwlZEMOfffcCeDJXy/dZeyaZAC+8RnupL+KXuk9OGDrji9oAcD74KONt/qg9JVig1oZBA3PRKyAz
9H7fgf0m32U7u4YfnHbBVWTYvDZPQD7lZGeHz0/a6oQJw2b0cElofw2iFF4rhkLrkH/Ee4yuKgve
NX6dr3ADcqpaVvAC//OtAIWaq/PL4m+sw5+UL9Q6pF6ApMnu4C6AjV6xCQJWBriFN+Wkv9NVd8ML
uWlUyCMbL0SAFRSSVwaW+/aYnfSjYHNI4w9iYLp95NbP5cXaamdY1Gf0nF8o3cjqhRaylzfamXj1
9h69cemGu8jOL+lxEWtvpnEvRg68F8bylJ0XW9rmXgQ73EWwMhkbeHiMWRjMP5P8IJfLh+je2o/+
qPNpgW9/lpFtwKEGpSRtco8vF2ZbEe16uMpf1U36rAfOQftTYcDJ+HpDFH1UbTnOP8xiQiJOG6/T
kGyi5Fpz+kK8YeoAiGjs5osib/UTJWZSvVg7cZ+xfLL1VAfOSwL9XkkFND71L+7rsAj+ZYngRJHe
Y+g0VPZv9ZNsS1RsERWRjXfb0DoxSA26ERhW2Zolm0+oBp5CZ1vhTYnqezlFxJf6Au9TAHJbgmeZ
ln9SvZfKS0+RNDuYTCr07toKWyesmGE9IpJao+ysb8OVhA9eJ8oXJNjcq3sfD7nP7iV7ifecn4DX
KNQEJtsQMa/tk7BLXrotLCr9gfLTNT7LB5JIhi2VesnSx1tkx6RBDDfmGxA2upb8SXpnrvtLFBNq
xBt6KShiARZXH/60tU7VZ7jl0pqZp97hhIDblOSCrtKDwHYPfc4pCfeGEQsf7lbfG1pwtKWpzbo9
3klJnplO7YIbjA7hoF+YCrQM4D/Y6V6SZGdeIJZdoLle2ncMZOyaOjp1y09WbNy68fXAOP2inNhB
2GnI6mP4XkFDYxC+ptCUqqcAqd+FKts4SxO2uOuC8ri+TC/NVTsP+9pLk22EhyCV7a32WGBOneoK
e2JLg61+FCGQsDMz/pi/SasIbEgx5J+sWfkEF84jYxaq3ilcK6aHht5mJbjXhj3eljCwW3yzXmlK
W/w62GxeA9ogyi8nsLvdPfWf8tA2qGsXm0SMShD0ontYTX8iXH3v8QsNQ8uBDLwl0cepzvURlTPv
lJrAx89eplJ2sp/2k041Ijz0aH3415pSG4FETayVTUBwRXMZrfxhn5fHWNzo3/p3ImN8uwr5Eg+G
YWvJBhg9utNTdXdkCuPk6ABX4smg2CUt5Dz8YHxWXONNflS4MLs1wpwzO12mnDLi4eCwKJxcKv3U
QLDqgbwdK3+O0sugkD/oVkCtFKa/FfjfGzVExP76IWGkwLSJ2cpr8D0mjkzEPTwJ2hyuINPJis2A
rFZaj4nX1W9EA9GrszVVjNMk2LIbzjJcZUcyqHyGV2BNAaZsK/kJE3ZvnX7wWhNlFfeztJBprO+M
90xySm/4ivJt0zAF0Pca/ifj0lArOVDCsiDPwlLRBJmTsVmHywYcXMnY+h09eU8QWEHQBS7eL80b
eYozQdLFwcQahemHahfKpkifECdDo2LlE4D1IfEZNG1r6XvahbiBrLGcYz+iu2FuGaybygnZq3Dv
u8QMzYfb2J6MrQls2m8UBRrqgX0aWNoNWHAC3NGeg9lWxl0FCULfyR2K+OUNZ+ld8qGMIiAUKET7
bVfYEpsKYAS1tbx8/SidklOJ6gOL4/HSFs9RcpIzFD4EpEBkx+HWnoWbMGyH/pxPOxO0CwyS7BR9
N/ZPSvo16TvVhCx2m0zGNbgV5AsNkVqIIgH7sZphCCU7ZbfsmBGJ2ysOxxzD1TtYgudDqiObYtqg
BtZ1LOdW6V19ts7Qk7oWbuy6BbAuyMcly3mVl65UfAbqthkP2giH48bCjB9h/6p/9ecHsN8taP8/
nP9xU1JY1fVMEv5yAR7PC81gmY7U8OH4gxFHdRxWan/wNDncPu6bfF11jdY4935m4RopOlnHYCxu
uBJIPAZ1IpthFwUkzT1+M0oY9cMkEVZSH0zcnxhCLHc9HpTnHMJmy2j7cZ+Enx4DyOXhx22rVl2z
qohxVOHVZ7HcOMQN/0jDwrV/3FcvD1QJVPvHjwnJ/d/f/j3weN7fPzHVjohbIepbu1eBtx5PykhZ
ZsVbXujx1BZHxHWEtmnXa2l9CvotLvN2o04QVTpyNnmzkh6ZXj00hYviEteQbC3HbbseB32ydYy0
XvGIf6oD3I/9pkU9x1ErMkU76Xl0StPw01KyZ0UVPslDbF01VdW1BbyBcdI2Iuyn5nrt/NOYj4oX
FhKiq/TuCxbqvTgd3RQ+XRL0GCS2TeBmcUGTxwQBcwO8b6HFTkos2oYg0dKYBm1yB080VWLMy5J7
1hfDto+oT1GcsPXp7Jt6FwFcNeSPYcDtptHwWYiFjMUotKgm2Eym6nBUEEDxHWkiATiSqXEOMhod
zlkrS3tLA31AMfFjimDxePWVBvhk0mDtO32gCkG3OFNwdL1OwiqUNCGgMEojIMsIfqcG2wIL4sCZ
OmiNzcBGmDQMmwdx3KZFeO9jsuVgpy5CEh94oLPKciNq+HBFhC/yheQIXkkzlbQK4qVVdSstguQ1
qzFkur5/CnT5txGhM+shDP9GcucZvLwMBxJlZ+MHk9HPnOgsO4000nrQA2oGzITRhPtCGsA2hk2h
GkB7vSJJtiQgkF9jx7NElQ05HespCyHbQQic8h9zzGNnaMDeoueS/qGBLYaVNnSnKbBHleBpDT/1
tYCVyT4Kb+TX5c9+gUNqHMoXSWTj0BRtOhiEJXlYUzCJa9Js12hfI1GAubCbBdZAXC/wqNQUpxmh
uGMwPjtYcmMeHJbbMvtDRhaDwRrCujGmA/HrGu6kh6pH9BCRkmTXLS5vcZs5XbusNWn+GVWoLaRj
XFaQFAoT0gJhEGsjMT5Cw2g92de/MCJ4wsOGoZQpwTwWNXfCHASPR4ILVGabcqiPR3J/YLUU/kYL
TYpeLrWtoZAL2Y/jpp1m2NyhxTwYTBHd9K3iTHSkAfupodqiiIIciXnBKjZxTh7Cel+a0wkfdRwa
ookFOuf68IdQhKehAvKk1K7GB0tg+UfNgp9YrxmtpexticSISuaUbZmhydg0HIj4QaeicJXEVAPY
nbwTugL5lAla1QIQ1aouOHKH6Ustp59alTHqquO7gXaeoBm4zkZ5FQnMQGqSM1fuQVVF5oZBvGRc
Kta1UwPGfmWCoJClLC4z7STR/cvDGeer0PYJZlLlwCSQL4Cdm8L+zv9grtMdpISVW5UV2+oqKvIo
izzdAurGigvqfzB6/lwk6wrSbSGr8AzFHPZ8KnrzGp02gG+fFu6k6Xsyx3/6iulh1nGa9dhWrjAi
VDemDMV/ruNDF1Go4B7jWHmZXIbgM2rGHbYrYDmQDFhiF48vE28AYIgoGX6ylKinJAruYQGkXBip
hJI48SaF5KOoTmYPWWbuNubEZQJTNehzhv/1rEY0wMlbPc83NTmPJdBUC4Y4JhjlSB1ncFibq1Rg
iFUAfEaWQIr8JF4MNWtPKJW9KBm/RUN8H0eONSFrkyNM+FH41VdT0Nvv/BA/HuLsTqbKyFFQb7mO
BVD4oABNAC6xCNk2y+HgavXzmAnq+xIbKCtglQaz4CDscbsRdgNFhDzqbDiN2e6SPvpIyWkhPFzZ
Kw1pWtkwg1r3AKRjgCzBhyUSTdXFkoie6+J0XyjAxHFF5dBKimj3VVG7uTCd5HZyZN0I7MTEWcuv
lWvapQQSacwMjbEwKBkirIzmGvmNEZ5yKZCPotzda7lDHcp10s2F044ibTzmYTRaDYlfJQ2oBmg/
a0TLiAnDdro5YyhLXpf1TRb8ZwH3BzBjIdnBRcSafh9q1BexBUhuHXyWyMK8iwljSj/DaV9HoSDF
U4tBweAIevpqjYtcQe8+WjP0t6JBOTzoX3gs/E6tjn/+OOBZKTKDz5yQ+A078aGWyIRo2cjfpBOh
ylAGpAITHpV+CZcoT5ZJw5iDDtpEEzpWaN3UQsS7KWVOwWUGUw73c1M1Z2wWgoXphzcQ+h4Q5yGP
9W1qun0A3zAXm3zNbnQTu+dpaG5N8by8xZ1vhJxUoS54ykQSRaxonCfpLbIUkodzTdrJERhNjSwd
GAeOB0FNcAtbLsW0mFrX6iimc4CPXhc6KND42EuTsMb03Hf7XiPgkGrU0NTCwdULAxrE0JgBXrIs
mzY5MM9gNp6hykRIhjPEhnnASyWbCKjJUmaMxqS5WdIgEOFFRjocTCMJkDmRUqKyeze9PS1j6oZC
XMVDDdvNNkOWAHdFKKWVXjNcLmfCoYSJ2Zfsi4AQrfaWigwNMvMwt8LsqBXsiWJoWphL86Ys+xjB
ZrnztSB1ipwS0sqQ9sVLtmup+R0RlPjF+HRhREdFIGi0MBBPBigLhCnAj57qxDXqiyKVghNqpEUr
I419rDL1aLDrXvXssNgGMPwyrAkFYgqGKcDFXnTpU9+jRW9KL1gijA1dO04jM+Nih7MPWGwHvh8R
Fy6z9LthjVAmEYrGDgwt3kQA7Qj83ciHIF+H8ptkMl0WOL+dloEadsARTaLwaqWNafsmKvkWC66q
VbOrnMc3oQo20siCHHQNVhU5zYiYy3YXIHrJmxjdEptJVhtvmOvIt0w9TkqNjZBRbjAER1UmJii2
2uKHb5yW3bTedFMb7lNnfvtpdh3ldj5mXd/sh2BLXgTkSz0a9pocwDS3aOp7IpBwLDAPVp59aj72
wr0Iil/EuBKbWAPM3evEGcjJSllDdVcOjYeyldErSGPs48eeUXvB45rR3oA/Zbp6zzKALAESW2z4
NL4RMyxFTEnEq6QfJdFuSMgleyxFZxymQ+RD+uzpX2ytJzWvlFQvT6AuhM3zbBjbSK9sKYLUIEuV
Z1YBo8IAzY+CCZfSDBXdV+uk0cgQS8iPSN059WYEY4AHZSa7FhE3p473b7daUB+LqT4SwPVOhky4
0QemMfYUZ+pFbcVNMDFNymRr9iqjd/oa/o/YgGyrYuqNYxNv/Wjeqc1wxvmOiDQl9MKI6ZUUwuLH
iRAZUtQhVlxaIMz3nZBaoOnZpiPrGAzStDU6pi91XNgJhqKuWALSp2Fs5+qTLmTxWg+AVzUdIaMo
/dGG9tsUW54WnKFBT3vqO76w8tXPZnNbHayxVa+zrKO7lVZlhiSNRAXK6FsY41uPAnzeWBLyacAc
cnxxW5i1wxBqgCkYDEkGXCFDrrcRzuarscEFSZ/PZZAhuJ2QkjZYdOASCbc2I111NuBdDU+jxS4x
gP00lS6trQk25NDdFPzE8TfOzhARRrlGcAmhvpI41FE7Kpir1U6O2henlcrYTka1xx8jeC5jfGlk
UrlrqIqmoupYO7YfhlUOWFJY+8miXbG00utHbGGfZIybGqTCjmCQLJpPhF1Hxlsoadc2HUlV5b3y
NcWwCTM/oYAkMTowvyKt1zbKpFhuk7fPUtsHh0xlKcun5F1LhF/sImBNMCe1tH4bauV7XUExFrLm
nsnYF8ZicYz8ijg1Gu6BK9fO9Ho1tS3fQkRmiiGkSJqUK6GQWK/2p6BktodHemCKrlng9NxSOVX5
fCCA+McYsE7AztdPmOz4yaQ5FGNu3pbTUTGkYxYK6krA01RxVamEclwyVOvoeln8reoiWiAqxHw3
Xrkwe+Oq21pGJawDBf4Xgk1t7hliBNSeDQqRSptu6pghVjQjPDMI0XQsrdpXS5JIY74XMvswxl1e
IjE7KvIEplDD8G2ahHONtOBFBDQbouY9G+NmHSoDvEmMkj0NYn6y13uZFlru97rC/tGGJOoZxASu
WkK0gEWU2jYi+GmaUjtRBFWjxoFo3X+L8xzjHZvzSS9thQZ6QFIWSlPg6Bri0KGPoClOZIP7Pq3e
rCRXP9QjO+3AajkaZK5ridOnYuNIGYgRXTTzfCyjItqOLbbGZ8momHc1biJOOwHexJgBD5mAFApd
KhRmAifYtPAZGLDYbKznpjzUqfvXWMyCK8jFA8epJHUgHLZKIXuhXwMrT2F7YabwKuD/X6oZhoI+
B1CQamYghBsnHa69umo6VPPCumnFgz+B1opaBgtycRaDLK3pF51uaCdpF4IKEQhOtzjoNlYSMzoI
pdTNAoEvjItdNp14eNOw8F2HvgSt1lr0ss0Ncfe4l0v4Vid8dqy9VsxYz6gdjFgt9BR9vPS9ROdd
U8z4GJ/jpWkeFZ3Za4AR9ewvxbLEyUldCiGneeI8z2wzsMB3rS+z7mqmUfFeEvpzHMhPfHByVBsa
NmFo0LD31dEQ449ESRKv0fiGuozFryBSWjWSZ3mEPd4rLdSSie9XXI67D59Ukfy97Fvpm6j7jBmF
dh+3i04x60EgpzRfZZXgpS1ZzKMI7jLi79NxKNUWYENL6vRpXOZ8TSkc6/CrG7VdjZvK3jIbzg5T
BdapA1Q+UFpN2opgUgCtZ9S2g2Jsw/i5SKExBGH7HYpwKmqGA1VL02OBq48ku4sG2v584NstGc64
QQdhB8v5wBMKmgu9QrU1TWO9YRdAAF0r8HThI+qVPmBSZLilpQ3LKAONtwwpLpL9ztFHYi38Wc63
XQ2/rlPnnG5bXQ8KbHLRL03CkiMG0UDPhaojqqr/TCy9mhVOh6xLZ06LmoCGBvYR6Tm+rfr+cGyS
cNP389Msysk+N+H9jXO5t7q2scvahzvoR44W+xcSjBiNzvJeWeAdHPEg/mfNTU8NIDjR1oc3XGPE
HYYgt15VIHP1j2RQmEAcz3CjCnj8k1cLHqhleyXvEEq1cKenifM6E1xFQ9cw3ZSUtIhAnPGaL2FW
4ViPOTBeg3MhumOODSxd8BvUjFKs5e+5uoZyJDnLqm9wQBGY4h54lKMIbbASXYjp8EoZhmE5VZsm
Se1KEvyrWKMQmcGF+WBEGLylOib681Zp0FYIhMhQFl6YmMyQLQYvF+U/LJQ/mBxXS/QPhP5ukLgC
MttvVAF7MAV4TcYsLickAGswGlqTsK5J4yLUOVENwMKBHv4ks9ggzjK+5yUGpof43jUi3Y4+vKOg
ajmI9RJ9xIcNYVRXZT66QhWDcwhteJn0LzN4RuJQMpNaBVZnOcYgf4gtYMqwoEfT3RjoXFK9+ZBF
2rrSbXz17hdoS5Fg7cQWnkfahZ+tyFAoxjOALDs7kgfKqhiQsqmqO5ccAyZfQi8iqu+10uFfqEA8
FfVchuYufin6cJ1rMI1WPyZ1ARWgMaHzSRDIhuQnNKL8PEPVlwugsmLpYzVaOIkarhyCAzFFrjkw
AsGO++DPkXnVagCRAfCKeIFVoETS0Sgku9CQUTU9VM2kHPPrrIhfZimFX/Q2P5rPJS1hIoSZuSMq
zQ/723umM3vR2oAq61RUXb1hnKmR7+IGVfSuivhTqttuYEONVMS8TcdYjaXhQAjrasrR7bdEZClZ
5WkBRYyBV0Ot4DuUCkATKn4dQ4rDqNR/+XJckroE68qnOpn82kd13W9CNZXc0WR5yyfpk8SM13yO
0a+kj8UK8Mkfj9GYvuMQNniznjWHalRN8C5BsvVILCDkVJ/9oOLaz1Ve1NrsYIY47y2LXOaYuqWY
69ztJf+JhS7em7JFinWZM9wwpZfSqugNs1GA6okoTuvubF7RJRnbiWR462oageX4sw/rv2peia22
9alS7bGokKVi+ae2rH+5pNZ2GpSegWmtB0dVLpE/+Waasc8x4xlZ+8gQqHEd6XWXvM9dXeT6xoB5
oKRG52H364QmSk7Fz1mFMhE9AlWSGBXo5Gn1+pAVxWzVLb7RWMsG5TrJYwsjyUrYBYX6HWWCdYri
8jyLiDqJQRpdK6Pbm00UL1lOIa/qjh5rrl+Jbj+1YJZW3h6VrwHiScbCj/9+RiYIxV5mNKAO/hu5
RnhxKpD0e/CMMP6sy8I4m4yj6Rqmld4bNwvyHbakEZoXdXK0UvhD/qc36KZO5yacjK7+CRi8OUUN
V2IoldmzYGLMJcP6yqfsXqb2hZgROGgoyWoIA2Mz+NPRHEcF72IwUs2fKOQqigNDgFHsC3AQJpLp
YH0pdjDXZCFhgL02uu6dEM5bXBiajX0s8HKZ3+Vpzjaylux9vxHX04D8kASMpTtv7WxCxy8MLKSF
xLBZac41fouOEhB0YwSh5jYfndARhTWBJs0Dog5y2lBZdg2bldDYvYSWRyRO0taWbI52ZhwxssOt
Y8lKNzFOn061RO0Ko/itd9qz0mTauyXAsTLjkrjW8VNshaNc6wf22vPAkb2VvrYjXYq4xryBsdJw
DWap6sb5faQr3vg1PjICbIb8kAwI+QkCAJNl8W+RZbGRjCv6EfZnvfpOg5yCVDKhFxeL887//ms4
1ZehXQRVGp6po6UV8enx9KAyzAmgemki+mGyafzz3d8nLc/8dzOrdDwRHrf//vr48//18X9/Pvc1
7+vfbcMEYRw8SRj+8C9DNBIK73j58fjt8QMn0HxX9+ha/918/Pa47/Hovyf/j/v+x83H83zcZrDx
lWrfmRKkwlY2Zjs/IS8YfRMf8e+vj3sft2dl5CEhw+1Dtoor/Umxe/zg7EJx+++2MPv/dVtddLbo
aKK7kc3aJpkFEmVEMspURpmkfrczn1Jot6qfrdJyMjf+qOCWY4KeZn2l7Qjt1DAh9k3bMilpHjfb
av7/DyTLUzBoBXkQlM2/P3g87XFTYCjk6UO4f9wVaaq6G2UTJVsnJir6ZXx7Hs97PPL4UWQ1/5ym
8zkmndRN9BxBV7y8jcfDraxp20L+nkifgDCMq+9q1uEKRLiI7SkccNla3IqMCjDfT9mLqxL0V43b
axsD0PTEIq31Qm93jx/y2EKICIt6ht84wxDBdcYo2p9RgGuRmzjKRrEU7RM2cLUGMQubBrhQwJAX
s7FNtLg4xYtRFI6VnC7LzcePLBugbndGTXYjZuCF1CNveDzSB7k0O36Z/6YDU/l/f5c2IRvq1Ok7
H3M0L3m8wuO1y0BYnEeEfs/HIXz0P//v7395vOzf5zweGluQFGnIUYX+500l/3lnj2c/Hvhvr/1/
PvzvFUozbjyra7b/nvvf/mcRmZsoqfepRAGMZxbLn5lhpKBZJBAE1nVQIS7KEjo7Y2oPCaNn7KRw
z+jNHDBMiBhdfiaqVG2MygcVKMKtkUz5Vg/j+iB0A6hSAo6PL3kf4pHdplsSEclIKLDywmLF9jEw
7mvxj47b6K6vAOLrlFK/pnKh49TosnEqEHSdmRiYpezTeVq5MuIAgwdRbzWeD/Yh6IwCmrZm8IbZ
7RAXx2RgSbMqEeqsKDpBm/h2GfREOjaA9X1eQ/w06UXUEVODBg+PPPvF2FVw6hIOFLWA3SXTuWNE
ZyOXh12kFy+ENzErCnEGkWBS9EzJbIpu8O4WvWKUkqpSjdJVNvIT5W2zHlMRIkJEfB1b8KbXJUyy
czx4JPoy0Y+gU5nouYrunEoFm1nkd8dRAljqQDAlBZiuW9jgaWDt+mKcbD9BtBULcIm1uZy5tDDF
MeAq4/sxQZQ0S6E+F2CLfnwK/TklM9CCQiO1P1qQmM4cVwa2ttK+CIcO+qkPGb3xd4GJAEQ0rLcE
WmULDmIHQYSCqIPRkzcM74XPrktSt84JBjdcYrlbgEYNRD9Jzk1Fsx1rJRzqEL2uDxtUBlzbq9oH
PuKfctIhnm0YpqmTtNF0uONEgBDVc+oT6IZGWr2hMshWlonPSd0GwaoymZNKSUTapNTMGHKwPghq
MW4rg94hAINN2qjeG4NwBCeo+/alEqmLJTrTNsfDZGqiNWDwcUikw6CYeEYT0eu0Jn7hrVK5g+af
BFn9yqtlbsvbETiFGY7IAvFbHZaBOcKYxM//GGm0T/0B4XhQCeQxMkNjO8NTKBL4TlL5GOAyooh9
va4bxgEVFJipDOR1nkh3sVV+9UTY5AHiCv70iXEAF0w4nzNBv/Z6PZ6ZPcoBxdr/Y+88eiNH1jX9
Vy56fXlAG2RczJmFlD5TKSklZUnaEDIleu/56+eJrB50dXWjDzDrWRSRMiW6MJ95TYIYKKrarty4
6NFUFEN2KFlPsKYSPJ08sqBcanvXf0js3rlvU/PLMWHxR+lTQIACoz4Ht2u/9I2OXEo7fws3WmCQ
JsxmvLEThesV7QfNQJX4DdrSq8j12gISn9WlyzJmVbMyY6a5Qsxq5bS0gcA2uasvaGOhBJy4H0Ff
h+eC8pbv41gWDtGqGhBu86nrrvzM3+lJtKWY+WRWtr+teEKatDRKnYXzZBTtIc3Qw5Yei6iN3jgq
bM6mt0Jv05b+TRNG9c62c9aRIttRErjRIWGNTf9SpfWrXnIFWQkINvPvy8K4a8KR1I/n3WP16hAK
Wt30aaBHfVNH8ATMhhKeFhqgacBhJREw8Njxn8MIUPWc62jqhEjMZ3CA29C/KWYE1nXmB+oR2gfp
GogKfZujwXsVdHsbhN0AsaepkVRiOV9ZA2p8pZYFYGqz6j0TlA0aFBIXlkB8zwbfZlDaA/yCBL47
28ND1tagDGOAMjxbAMxtqB2J6RHwMwDdTvm+xav4zu3YkwPaQrYdBavRMl69WOqgYXLwl2byNNlR
t26Ux6kRus6xD/2PlhJaZzhIYpjAu0YcBa6qDkubtkQ+cLZgz/ods3vse2Ax05XsqUw5AaCpfvBX
zowcdem2w2NXDLQth8eqaXSwpeF30+osbJYsbIwcML+jYRrE8PxRusRgXDrFRBykvK7hTKdN1qJ3
EpvYJN9yiebCbPwWxCilD3tsqnWORiVtfJCw41Ts82Bokc4DTQqQYz1rmrMcYkgVqAFlmBhdicbJ
tqaFsJCjhbcoiw5gtJQSAt27lR977bYN9NtqBhdGs+qpw1mSisb90CCRbHrUPqbSgF6oBza65t1H
jFIqhbb8c4yRJMQrJydK08+ajpdQ69ZwkByUMqt22uuOB7Gtc1c9DpzgkSwKPJarZEBzyBbV+IDT
AXhwO6JarC1ms5z3LeCa1AmyGwUyY+S6mJAeknLOljXmH9RJb/HFVQB0nM+KGJejqXLrddeC/x/G
OdlNNS9azs3RDiLEacrep4wwvrgJGBCcJW8T6va7oaSxknnQuMbYgjRcyK0+Ji8DgFd3HF9SQTNd
F/EN/kPgoyeoFgIDslmvresAl6jV1E+Hro7TXbVC3vo+LQ3W1Fy+lXlDMb+F4ivqc+LpEZiZ8kHQ
1MrnCBVRwc6cae6nUFNVmLRwkuxQD0wganZEe/P47uvVcdCnEtEc7j6G8W7oULIxbls5VfhoyMYx
gOrKagsuJ6sAIqACyp/LdoNA3I42MzQo9b3LD2YPbbzKtR+Lpg32MnSeoxRlw7jWu12nFGwGdTCG
BDJFkD+FWhjuwqyWu8ken0MNoYomt6adQbQHvIRDjcna0smAE8TgoPZJhfF2JWd8f6ke+o25HlUO
oLvkBRV5pNcUxlpX+p6XA25Jv3+6fPnjEtV/aCI81LDAUhfetybh3Kiu3BuMRy1JEflxB33hwS0H
F/ktG9t9mU/5mvARzfRhwgLVMz0+0kgvrgqRWwtDagiQ1HKdo4mY1S9WAPbfkOA8LyH95WB7DAVT
HS5fhppHBZ2EbWG3dbdL/NfA7sb5x0VZDSL5y3Zq7kM1whOb/aCNsUEWzBaSS5KIykS6pFCHy6df
vtd7kn1TQDCqzZjipMqcNK0kpA2sDvRl4hyDriOhy9W7/OPQqBi1ixxsJOg4X9sVzc6NoVRYLxKp
QRKQs+T6emxatBLUIXYdoEyXryOlwjpXVGNkam2E1ifg6t2+/KHMmtWnvvWMrXBRLPLUYU4B8mpt
lV4P+qCUqhCL3XUlrLO6cG5Ct2CBEKa5mzB/210+1bpm7spBFBQzKMUGSiO2siwVi2Glrb66XMPl
kyDVXQgbCFcYHUqnMnZt42GKK5d9KPytU6FmYiaAfoMyhASfGva0Da0TbZFilxseFjmxhyhb8zIP
xHnkeliGKfFh0yv0BaZBUHZcXJlLE5PmxorrRcceitkk6APXZKlU0sloXUo3Ry0AxZvUR02hBFBa
0q2bGtu8tnpyGfqYd6XvR2sDFxRK3KS8yzbSvjC/zgEqcujUwRh8wPSzRWHo/8rkunnkLeqUgkhd
e/k+xzsQ/h0bGqpeeHDGYxyBcOZAfXVbtLOxHumP7mZ1uDz/y5cWJcU0o5jD4w4Q0FPvgMjt94Mc
0VDxwArgvKqBwE1JiMzQAlQ6rIsOxEtFwCuVkPAfA/Dy5RTDKS+m2cdR1cM8ZXgpSzh1/aywkvEc
N6tQH98t6PGs++52GMv9f2d234R2q41HEzHCWW4p7iC+iZm7Tc0a8UkMOPHRXrqww/RXTCRIIGLK
hEvg1eg5LuVj9a49FntaUzogVZDaKhZEczkmIL6G0eQewqf5BXmxz/GWjoX/FGIFcIWf84TC6XX2
hYiimpTjmrInHcQSXhKtgOnKspc0QVC3jhGOpBv+nCvBMSRIVizq8wN60vWA0Ouq09eoOob9Rj/N
t+1HwZcTsMErGzAEEkf0AF9Mpq+xAJjTPnMqQS8O+Fd9pZ8go9EkzGCDA7wRh+jdIIuBnorLHCOQ
8tOm0PZwp9p4SeRcj2sYIaa9Cp0PwDCI1ZQIjT4aL/cIWC2ju4523BU0Y4AWj3hpKmcEeGJKaMo7
TB/BnXkAnYZwwRJ+rPIFp/X6WbKd4cj2ID6do/mgvVo7/4F6PLFeAx0LVwKeWHggZmBZMV/ib9Ot
/znCDf82oIHdroODEW1tCPwdpnGQEkgkV3a1wPY1AE6OHRaKeCTdV8Uz4wAG/Ex3gq7RId3H7zAu
y+vcXxr2KqhhFMCIBW8BsReBh067qiJaWNfA4xCKGu6IxFg3gMTL+wNoi/X4HuB/d/ou21U7AZU/
TPC8vYrNcGNXG+k+aOkPZfuP8X9QELv7oXX+X3mX3RVR3jb//s300HMnLpyCIt9+/vs3gCe6oxNO
OK4HNNVwHMHPP95OEdCZf/9m/HdZjUOcWgZETX1XakBWlsmXti82yXu3C06onKbgFla6fxe5iylb
U1Z0D1imfzBCiGvB6OG+RQ1TLIwV9psZr0IZMAKUWYfe1s/v0OwcSjRUF5a21qRJj524YW0C+XtG
0QRk4Hn+Qt1vhbP4CyocN3BAN+W5v49P2WN5bqk4XJuL+nu8Q7H2OX3DQ8ta98d0x94PDlNnwEKs
31jriY7E2r1nMQNrsAE2A50a+DS8fQti07Q2h2t7wezATmMBsnS2YUe1Z/cGGeaRajbuQUvZrb7X
/ad4zA7I8YZfEBMgNLhfMKCc+VrsydIWCKa9xO+AIfVP6tbAX4cHGguPFS8dqg1axfyEWY1egwas
HyjZFsKsf3DuGbIt7ccTYLPqGxAL71isjhAl4OpSG055fjsgUS8YUBtQd9/B6q+0e+uMCuZKLoPv
87uA2G2to8dU6TSaz561jA7dVt+Ea/sIL9R+bcpr6FNLqPftPTKAAJ6zb1i5zbBeQDYtgTtDjmSe
urAB3uPldbTNHeRasTq8mm6VBMCjpV9/R5gscpdEBwsMIxcbxCwR+6SDHUIg3HeKeLGHp4Cc+tI4
0aw0QiKdAyVy1MWVegPDFhjfcVoQZSy0aoMiw5ZbDFbWnfGZZdtqM76RgnOpbOBrZ1e9THv5Ql65
JnJbEZtvNBhDCyW0cHxxXkESghBd7uK1t/zJqODvRr4S9//LwBembtjCFVKa9p8HPkL2DYguczia
Xn+Es4RbMGsMw+vJlc+mQpheRah1vUKbAdkE0egJRlKjFL8VVvk/XAxGCH+5GMO2QTzrNt4Hv85C
J25HUct+OEYmtUL+tfo2zJcTjwiJNhg27B8LeHYx6hj0wW7L9jaggQvN8gn+SHR7uZz/73fxH/wu
TN2x/9Hv4uatad4+wq5BjLD52ffi9//5u++FkP+SGHobyi9BOMLE3eJ32wvX+pejC2G5jmuZtslv
/PZfeVG34b9/s81/eZ6HgyTtI8ckFeRHfxhfmJYnGRieJaRh6+K3//2//rTGN798/fOa7/55rNme
Z7i6dC0H6JVn6FK5Yvy04ktrElpSaiyS9XAsbEJAKDNuWForzSuwVfFYPP95eP/dGWko25buCoso
8pczprmd2/OIId1A6xg9Krp2T6ZAnRiA1+CH3X+YTWrL+mlmX26QE0k60K5p2x6P/+cbDFrNxz08
KQn3IYEgHqO507mckzdRzed/vrO/OZVneaatO5xQ52x/PlUPiBvnsLncTE3ylaTJl69FX5G1xKX1
/Z/PpC76l5viTI5nGy5j4C9vrRXh3IQOVk++hqwEdUkkakLEVZIx+k/Pz2DM/+VcwpC250riAsP4
JSYISj2jVM5dWQl1pt7Szx6QwtIT+1FHZAFYSo+l4NaoIYQUU7Vykai1gmoJ6OTmn+8as5e/Xolp
SpO3aQBf+uX5un1GD0kO5UaqICTxb0Q3naZgPBvadIY+dGps97uPcuo/n/Zyh78+bWEJgcWyyebw
63qsGU4BGq5gCGmgIPR2a7o9tMjhVLXjqe60iPLrAerOOfbQlCm06K2261U5wT6MbCKS0ROPACge
/18uy7Yc0DOujW/NLxNJ1EVnpmFeblob+FGQOhvhcrbWQgpN99rPTr/paijtbYyJoC5gsxUoPScK
XtT1Dx4Ni2nuVoMI3v75wv72NTku0aXAC4vl5c/TYO7ibooKKHxaV4HkAN2xqDtA2dPABLeZEZSZ
XbN9KU1oHv98auOXrVPNdhbMP86tfv7TcuZ50u61Li2RJrduBx3NwA5P6KtghItbj+dRR3dLj8fN
IMR7FD3ltd/+h9Hyd4vAz1fwy1sZkiykFsMVzKGSqnXHsxjjtxm7uuuYJeGf75cA5a9PW4Lj9xiX
OCSZpvvL9Cz8zPGyosw2hV6im+fuydS/Bh2c3KTjRWpX2brC6SSNnrqWbG8C83adesPJQVisldDK
O33ag1b7mlKCL5+xY2mSPBjhh0aH4hgBNeuPAQQBAAWnIqaDXnwbWeBkFL8JAx3Xpkc8gMQgLw4l
UBmBFBPGncjX8vudmAiXSLKGYl1M1sM0+dfYCWMa52HAMu8rwQBNEn7JwUeIWvkxn2s8AhyDsQK6
xe9B8DGhxn442TZkSxNmrBEiiBWRomFWyBvNby5u15qNPlc1vQ3NeBdVuO8EZHq0ZArJNeZ00OYk
v2vdkTwhRNQwyzpyhTDZZqDcJ99CHXk+g27Z2M1n0sVvKY3exArI7eUKsCh6YgNRsYy/lCWicotU
44kGOXysnHuI8nvLQTFCLcXqyejJYF6HJiR6KjXuaH5obo/4W4//dhitTde9aZrGB2E6nIxRbIax
f0zbbuk4De2i8XxZPFox7sO6hcpdU+Eep+zN4Jx2zQOivXIeJDnWME0nQOi87O5toBSNfhJ+NaQ7
XY8Kp+8yDoYWaGphUKzJXF5LMRJKZkhX+yxg6vH7Dh53CUTnQnsEFQXJv8i+6qxZyTr8wrsOTxT6
ivaUUWUP9b3flx8yRB9z5FbBYiqTdv3cR/0xlt9Hr0Qe2xvOUP/OHmCSq1ayLpZyV4XGbVmAEPNt
rsT35vsRpVGXTVh6/UnKeZNl8GoS+PKObOTyPmkKdpcyeJMOjyBHbS6PPqt+3AN7f1OnyGec4QY1
0GhKqfNBIXptYsgZWvpmzfreUU+K4Oc4luLoJhTXKZsoG9akSN6MOHvrFdTOGs9VNdFqJRstgntA
tqhn1MYp9kjZdcSVq8BpUffBCSYr+OOgW64nIGyoM6AZkBaHPtcpcHmo+ou0WviEF7QnO5x32lVV
RuBvq/gtTkDpsTveiqD/DttuuAK1BC9OyGmNlFLxHQq4cee4FO/aXOyYV4fL1bsJ9zca/Untu3HV
IBPxZtJxpfb1NmTMkck+yBbj4RHb+muIbkgu6Wc1lAe1OVs6ahgddT4swjexwbuJWEDXNkhY0+/P
Vh2D+qsL+u3x9ARutT7YI9cG/L/jcKViGOHX5arSMdcwCwvWmxXfXoZj5QRfsZq4szLnq5E2tczg
3m3pGfsup74sJV6Ufg1iPMuUuVJsWG7xHxrOVsg+ZWisxfRiKQHMpOIFilhCAjfsiSPsBM0zIeHD
TQ/NTEx4WbZ6tdWHnXk9KPexMsCZaCQBjtvpbKgXdV0E+ge0rj5y78GDkpG73QkhqPDLLVDZSHWW
vrYOIBsmT26dvGmVTV2lfXWiXT8xB3qGixEkb55WIpetj2vRsWVJqrhs4dhzDBXFissv4HUVVAOT
zO3POBkmOG1xWaPg0i2LUxmcxWcfWtSadWw8MPHetB8BJSBcUbiYX7kQLOcakZGa9noi/Ru949nI
WQNRpm8c2S/HGiJYbsEfGVLWbU0G0cqpxxvPgUU/jSYwWjW7RFHyh0ABtx0IvpKZPtZhdl0biprU
GnKJwyyi2X668G9mJ3AOicaDKT0P/SikoAt7oNQLCUwPh51lVVu3ZRVtSrVNFiPcAJ3TCh244FQB
ChHaatJwcTTb5qaaVHIeguALSvsB51vEmccSIyd0pMagR40gt7OlTHlwqaGjt8W8SkOelRjQnk4H
b3EZkJfgRXTxl9oO9Cz9cgKx0XQeDUtc2+b0plr9s/L1h5gWGRSU+8GHiYEFOYbRxcIXoDx+vKKp
/dbhUzpmwe4y+LtsAGu/s5TnqxYxoID4vBlGMsEQBdKKVd1qqgYKNgzrcOzxQZq67x1ep0unEA9V
Lqft4MdbQ1r4qGCRCuweaPLY+c3KCuqnquOJBE0Edz5Dv0w5g1TGu+gah7ZzojhxCSXGVnFY4spc
6ANj3gq0dYWhMS+wA1Bu0ut2MyZlOZvX5SgwlLECAKRMH0djHto+FPoAylYXzwWUrxKtknkTz1Ce
dRhAgJPpS87YCEU5DMqwrVC1U7CciElYi+ImLxFB9XrCdm9C5KI9mh3r1sSeiaXrd6FjRptVPKQ+
6dDStwDWemMJrpqT9SzmVWxhVBuhfptUuL+pd1ekzKF+bsE+npu6ux1HhksLB2xhSfMtCSdvkehU
Q/u5opuFfhI9CKq8LkBXjdPbDfwkTFlsG+3LS0xkm+OHjGFaezKWiwnGkkysFjI+ZLjCCQNUR8gv
wsGiM99qAFyJZf0O1fMOyikawYOHvQs3FdvFKW/FOR+ZAqHfPcz5cG+qtdwRx1l3sBZpmKLBYD27
OVqelyXI6TJwIVhwhSUikGjGROxtZeOccWP+no5MW2win9wBpMGco5JlzaV+XUQAbdOBT7yVdNF6
46EiPcDzOtuRaFLbtEFYJMossesOgadE8YIcTA7uWq5PtVHEWb202RcX8ySKjXK0d036yJLAAOoq
+1w1OocuR40kfzBbr3/I0cyzTQypzdn7mLLh3nC94T2m3homYhdghv5Kux3YS9Nqw2Nc2Ie+t0p0
Y61oEQ/Rs9f06ATJeDhonrNPotRfWzg8mFW/rvwyQoJm1BdSROV1awZ07tJwurbC4iOSaIjPVZys
c2QSI+MswSAJbHYh96ZPEVsp1LKVO87VdqpQ9JYQ0vQKdUMGNBKuYx6tm8yD5VBrwP0jbJ8mxHaK
RGzr0LoBH/iQDwIS5+slJ7cZ9gMWQW2Hvieo8lWQjTUYkEMegYKoHfPOGet8YRTFbSKAqDn4fCng
MTxIfLrSMFtGk3c2oqnYtgkKLqAOEUzp7nRwcWvHrUDvNvgIZHCO7K5adQLgiWhRU85BfgAFbD+1
ASOMHKssuImryIok5hjZ3pF2xaRIThL4sJOdvYGGUqlChnpkR010JEVLMM2AhgTybb23MAjzHPej
Hdk+dMD/q3ZIEHErbmsLJLurtGM1hGdQEtQ94q1+tJ9tjeL0FLCSawFAqTggMamsVrF5mf+TtDc9
KASg1eHatTihrMA2zaUDWzxhC+jNDgnsyMshNjIuwSfLumF8SdUFghEFA3AR1ImO2mEBVl04tMRi
3dmEYw2HeaoOodHsiglQiV6Pq25q+rUn69tkwLXDKcCM5GgLGm3iLhvot8Sx/QvCEkhTzkOPrhS6
PhYWZ7mHAYA0843rlchjuGG9GaDmK3d52qclkkx1tB46h54Pin81O8wClAvgtFKHZ6bh0RQQ+cG4
eMd7nOHEQ8WzlLOLtl23ThUtHRFCnHF3zEHgWmqny62CJBNDg1ZQifVHBFrmek6Qyy83LGewifL8
BOzHXM9o2kdeYG06aWG9hHjoqOF4NprhjQS1DoXqKfVBvU59855Wmr+aAhjYmZm8Fmkrl1b6XIkc
gpXZo4AArL9qo2BtI8XtteIR/HG0InuDsBH1N2JqnqSH8dcE7JRGbYhysI9AsElsMHe0AkbUY/Oc
MN0AzwJNnZRJhZSeYfbrvoNLRfqAGJNxzk38kryJMF0jTHYiMIFTmb6pDfNHdamlk1igJED8E8Ne
hSKFNqNuf+sdOswFbH6hgoLEnRGbmunlaMh7NCZxFoRzhYzEF4SWVByFcn0JW8HXocKLBobRfEtb
dIp8spm4b8tVnQ13o4RRq7tyrRlYTPYWL2igw0eMd315JrPlPRZ5ccea9K3w0LBToW4bk2Z6Zgvd
P0K22SN4SwKoj+gkoXo/cd+1Xr3Jcq0i5cI3zzmNO9tEXkfker+OoN9cRdqLw9rBIkiv0g/y5Ww5
G/VPmtx0UuOGjpwLQXyMflUKfC5F3FnmfKtEb2ORVd3KJLSrcwKNDAESA0vtjYZYMxSaECsaEtNV
GaEKZyPB1dsdf5/owuvI7zJfW/phxsRF5w7Jl2Wq8RpjlWx1qtbSqacQerWHn6P7BGf4HerR2Ylr
xYRM3tCVgKozN2Sc5GmakDE+swWK7hhVpGQkaNXycIv0zu3H4+w6D5knjpLKYWkD34rbZe9VxwIG
wRUb89lhn74uowq6ZdngfVA9OCoNAdL1WOp5tdGqNF0Z8OQWoin2FoKhGuIPMFu8celH+ctkHx2T
/NKl25j45HqkK4FHamqpJ6slHH6EVG1+76JlUOYkXxPAQTqx/rWc2VBVWipa+Wq2KKLCs4cl82OE
gkFFWV/O+zhLF15Jv7rOeNfqsjsPNlFh4KphkC30eroxLf1WAE5eYAhNezbC7gxlh4colZukZKc2
sv5kZRJzuNDYBNZwwk9qH9UEx53LgyeyJ0FbZVH0pUm8i+OuP4GjMVFPD3ZBVtyIAhUEp+n3s2me
L++gizKESvN5E3bqGtS6mhcqt1D5sR5O32wxvXUZHbCyjqal5yOc40Ldv7pkyVY6b0YXXyWHUEvo
FKtn5qHRpwwudREmUopSpba5yG5UMMVzYnlSyWoZz/vOeXJjCQ2jwB3KNA+iYk40znRfaajVudMe
9AyEL2s1gaTBoh5xs5zfUH9a1T+gGr0PxZMtalqWUwpjTBwhet9JSnqWKTZF572WPVIcpTEejJlg
d3KjN0ul6ANqGbr/7VJ+u1y8ofacEr/ohZlRqIjZpIzI/GpFvhgK/qeWZNR5Zbel8qzyXfTfGgZ8
Eomjn1FLMca9lxn3aFqg0GeNN1A7Eax0bjXomzz5J7VgdJjGoy+e6Kw27mhgJwix7ZK2aRWJDuSf
A4EGQTC5XofUkVU9XKrJVcBKVzuvmiconpmkl4k97dW+bNLPb2dc7HrmtErq+4KQvTPoVriFPNi2
ww5Ah7j1EaaD7YzegYW2I5kwI5j/AV1MCXkb+nh9mbWzqo6Byv0s2xYFW5VGeBjJlT8m2sobd3nX
vCYjCYhaaMtvedR/QlE9qaVEvdVw7rDOdt5GpKZinB2g3CKxAewQuZ86124ny7zRZTEt5ohRoUoQ
fcPsCcbx5LiPSRd+gE1FmQs3RGEG7Opbv2PJmNUz6f37cR6f1W0KTdWUWRRLOHSORzHT1Xj3qnDZ
NSbZJGjePIa5PFFMo1Ax2HayHDN2rktvwGrBZ/jtyF34KDRqxnyutOZrxDqrusif4gEXMv1HAnUw
nhhWVkjsqgZGDA0aqqu5i3WKXj04awHkyk7JO1TBxwnCL9RstGsxcNVho21p9awNgkRXDe3LAYNt
ilMIEaPBV+lRc6VPiBuk4jiODMGmosFEw2IphvHOFSlaNKrOFT6mzlQi0u8hDzcw8IKIBLyVGRRF
BrgxrQqTbruKBLrOMIjMqLMnVD2yFAUwVfEACvqW192xT014cP1JOCq3ZlSaY7ZuNLGOGopz46V8
Fq8RNYH34Pk3MP64cVZ1ycOJTW6TWxzr4Z3i4bKqh2XaQV/pDHa0zMie2964ucyH1rd5hbCTi4iE
atI89H8Bm8wtuVCFfAp54CoYF4HjfYP9vPFa4E40CJh+jfto+WgrX1JtP0IKF+Il+LqvviBnm8YU
OgMDWqX37Pfod30JdD3AXM3LbiAtEl6yrYfulA7jeipNawl6nPjAgC0VIq5TqogaoZrTJdMKVKks
hWw25YjItW2GT4HaH2m4XF1qpJnGrhtRdMuRZNDIVuOQ1QD1Fth80r7uy4DiVMgLcVKGZDWbLKRU
7jIoBjjwYfDMy/MN3ALYQtdV15ODSnS9qyl6aATycvF2sEJEQIEigp2H72cV96EgmsxbUEJ+czRj
/nbF8trHT+Ai8TZsWGJSJ/3M6944XnLPfBbLKPYQmlGo59bNnup2OgwxCOXJ7/DoajPjmobrm2tk
RAzHwLKPqA58Xao0msZNQ9pYVKUg9tc9b+1EyF2FbG2QdH9sdoSKCQ6iDFuH1Fg6eHPHMeHp5H66
odfwOnmOmW8zaGLvu5eQ8tYZ0JwSYsKlkl1C6weIwrNLZErZiRgZ+cy7Is5c2LzR16R6AaWkhxQa
+Td7FF/daFNAxLaroIoQWeEX3MZsYguBvkeBrXhu5va2VCKKKJmRRKUOCyrbmxVM4DEhIF9y5hz4
9/Vlb0sEYXTriu9Vg7uqKlbPqjRlOkzM3EpgKBS3VBmuaFajVtTAUAjkSmsISFA8Ys/qsjck1Sga
rIBzdjeXudxoJjlqCQBMRXOXGyX0mhalY7M2k+RRmc2keulWyx+10SEPzOg+MKoTnN93SYNxnVY3
xqS/+A7hdkkTANGCVzcqkcMJLZ+SAyQr9WyETXSNakSR44CpRv2Y4C8HXUvzUmZlla+bfHrRfGKV
0o2Os7wf3AC1kdBv9xYCZey8JvjCm4a9lKW0hkKVZ7uYW9vZ41b3SpKCevr0LfebZiPrSHoOl1d5
x0sURCuZPZcV9nwl9qk1t4X/x+TkCCLk/XVYfZQQfcGn3fqY+CBS9zIHKNBDSI6g1zSHxg7KbZ64
GiiouF84U7ofzMi8GfW+e0DD8ClLsEvJnHGTwAAvNbmanfFUylCD9w28MdIR6e6m0sEsTqvPzbya
URkofAR6itmq0LhP41u0CPcZtYduRGtTRwkBSCrCnmlfrhKz91aiAxBUBh2eYFXaIGZI2BB3420D
1e1gYpMU9uG80j06c2A0+00QD491Z4ltFiHvRbhNevSWD0pV3Xty7GTlZOgionrw2hZS1UjRuJ4R
9FmWevItqxJ7PSCEcTD8wVzbTn6XD16Aka2jn0TVtasc/tsuawT4HXVwZqfaxjAjAnN0d5eDb/Cp
eykAe+4YCziDXQ5O4e7aeCL81xVMM8gtQPBTeZ9WqdhdDkIhNx1mzhAE+NQGJX8+zW/TCHnlCQaG
YkAuQmOgfhBSLxYhK42BVA8VQlY7P5HmQhToczRp+tEoFG6X6S95SUMhjZEJyELIN4XCEl8OUeK/
yHqSS9OCkYhSz8+Hy/fiksgjrJL3CNPhCTGsLU/T3rXZYO8un3750go7ax049S4qKgxwgEovhUSQ
QstjfffHoRyQ9zBkGS97oMvOvhqjBrFIoKh+uXS0vttYWlIw+yEMgfZnFbDA++Pqlg2htxrAso0o
Ti11IMNZO5m7y6ELE2tXN2peUfBf/vGD2OdEaUJFw9AsA9w6B8r95o9PXZJYGRoDfBOqOwUKHbzm
UEXVndRwrC5K/dQkhn4qqjjAEJfSYOgL8Eu5e0jM6MkSdXWw27YmcYyyjZbqgSK6ngok47JRRwdQ
1Ad+PB6FgUKtlaTxViKWRyEyj66Fh8eCl9fWvWNo5n0U6uDk4jBaSglXvTVws7WJCFh0JtnQ/PVa
BpT6kkJ7hdY1CiDqq3FwjCUVfm0xyBwNjI7LCYapPM1WVp4moFmUxqlTXL7nkoa1shN3Nt4AiV7c
z9WRotgEhUbJBRTpbbQYSQ2F4nj2VPdnO7HZiHjOTafBBbt8dPLw0xgDE/0y4NW5gldfPvXqLfz0
PV2AfAvsZ29AlzEZcNkaTPdF0912NcoEnaLcDfZwD0cZjbteHS6fxj58oHA2XzUlO7jb6OMOma6v
mEb7MqFtuLt863LQE/n7l2UNVtBNy3TJopdu4XBfmdQkd074ygXeX3i3ZoEQgpMi7nUvW7+n28TB
m6YPtiMbrPiMsaC5Lob6wUEpyK+LaePZ1tJUE/iCq24nqa87Oz5UWYPUUeujQpW3KyruB2cy+I6J
kQ/zSV+249Ht6mTvWJTDrVrW8LoDWCroH11hKzC1RrCr1RRvIoRuRFuiYxLpxtaO7jN0Snd9IvAu
yNRqk6qFpvALBA871FDtKoaakSA8XiKjeaWTU67T0TyGiBLSSjQ3frsq3cRb+Vaz53cFAV0vsdjj
TwndcVZx5t12cYuefWrAsZ1HZKNnDecYkX9UFeee1nYHHaS3625XqIsJTAhRF/3Une7ZuBJ4Abql
hTcCCI5suAO6vbt8uhx8G5WEy6cImuIqkx47J6bLbjmtU2hKu1DABpqG8PdPl+85wdMQ+POW6rFk
nxspj4eR8mQrkS0yfSj+JiQi1KOb18ngsUYuW/TU35Vh9JyGqC9byJWFZT1tjKB9MhOXNw9OfJqQ
RWYwU3hAhcOPPBSdLXymWr88oDFDkU4EW5uUJ09RUIhKHWdLex27WOQCQC3GV1mV59lpvyUjEaOB
2vVAXErma8a76f+wdx7LrWPblv2ViurjFbxpVAcAQS9ShqKkDkKUKHjv8fU1oLyvMq+Je6P6FZGp
k0kdiSSIvfcyc40pE8LDxblo8bAoZpkCmZmmEnNqGAw8U/dQP0TGYJy+b74rgvK2Trt1Gsjl6gd0
sh1JjDgNg6ltw0nWV5KBjEyCi6gbi/+uj/OT0bzFWnZrdPNGYmJrktHYWhfcxsr/nFT8KYzmKQ9g
mRczevAO6IcQbpc3IMrDmrgMiiHJkLKeE2K9eCK47UwE9CgvXtpwcCmyOGUfeBEbch2P7G2V5UiK
ge8wu12tf8C4fK9nfgnYox9IT7AggFhEIaVGScuuQYk2Fnjri2wFN8Vob0ouUffC7EcHLx4QwTGT
L+MAWL8BMD3Mym6uYMWIMv1eHS2+NmNZJ05QXMAdvbELHRMxrLeCRHvKqEqwod1ZrsrMMUdwoDO2
P1ktqCul9xvqwxxwc4H5iiD3dv045tqwIpqtD7NOBZxW1E8sg+z6rfKoQgcSXNwvbyNcEoE0fumN
GgNTMiwGrX/7db7Vyk6M86Vfw9YF8G2QPv1W9GIr+FlKQeNvQiVSYWFU22llf8f8TObE2vBaWxAi
NUYZY+QWYuuTQCoO1uE/skDeosaYwTZGfU4qzDD15DOyxGemWHBsDciZzQxFMhQYs6cuoP2WkJAS
dJSF0ij9lCtTsJHJW7t/r7dRF4nZ30nBLJGsAFkT8F9ZkdR/0Bc18xyoQHhS8OTahukpXEEkMVxJ
sEFGeiRGieeKyHalVSnHGQDg33KXRUOtkxkgDmNt1RB1U6CAWJwtmcHvpQwoM6omBOlhG8AgQ3+A
J1cuNQ9jjL9Lp5Fcdj75dqmhGJl+dIWboIOlAzJqExUaxEyqPQzySV5Tveum/DlqseAIw1I6SD3o
vIjzofdkHQYGyFj+/UWR/kE8rZrLRUFDKhmqtugf/1GXF8gBAGsuSp1Jrx1yojohZV1eUjSaR8nY
Y7ISWNgsjp3p/vvnlv/Fc0si01KqKiGAskR0sn8VfDVqr2WU+tNNuXS8M5+KEU8khTiuIH2QtYdC
np501CLTKL2ahry1BoiRZGG0RZ98K8DuS0Vkja5l6tpjnVrbUaXk8+9fpf5PojBLBC2tWYDaLUWh
afj3rzKvxxwmTcJtY/Iqw5YE0WQWzmYbJpmclvJazkB0qXcWqCZ0VUjGqiH5WcQcUcSnmOV0Rzqw
rQUZMVqDT+BX1NRT1J9GkX/GdfaZUirknvBUmaAsiMMPACUEt+dfCWIgLnn7Ug5sK/Wheosnw7BH
YAN/6DRIE35oBOvMugOe7Unk5SQt1zEHbjCP+2R5laYSyk7T04obazhoMVDpCdO1TOufpiy8Q4Y5
vVt6+rQkbNR5PvV6eErrBrL3eJWXImOkV1stJ74NP4uZ1mOtTM/pGG7+/bWWlH8Sx3KxNUmGYGcY
ov5PgtVyjAoBMHayifREcyxRxeiYXoe86E3qZSdTF4rcAFSSGg02pPkEgYs59QepVz19FAuOAyrK
JnQqciooC3kbDRvmudfpcnJPA/WcOUuNbBcG1E9Q6j+pPg3gUioOc2Ph1SLOP9ksYFeGKsXTq8n7
LTYHIRULhWn7LPwMGpxqywWwEPHRLQ3FPKJIFg/s/TU5iohGxVYWpKpMQVSJ5U1pUH2jzFDUlNtA
ckLXac9DSGMqkaDdZkX6ZsxkxPS0PzO5RCiEbUk5sfPUvvGRtgZR4fL9MOXLb7+1E+5pPCz+1q7A
XPgqztuvzPot12eZTKSgrNIhWodi/tnJlBszRVyb+CCrAsjGPOgxjlKMpTXCrPCQixcCPepVVHxU
SnOJDFODIhcaBt61ZrVPv7X2Uige4PNtwxKjZZnbJ88DCF6+9i71hHu+CmAmTkiwRHRlIIsRsjA9
mDN7KWQyjnFxVS54SqajY0jsn4xjT7sB2RSkFO1V45t0CGBEDTd1CJlkzD1f7Y5KaWzLRSSgR7Qa
aosJoVr4CDLW+fJSq21QhHdhGJ+6pOhPk86sttSJiAG68VWB4jGNVUmPq613adFc/sPt+i9OFEmT
ddgeOqASbZkB+OsGBuTPj1WhSTbK8paX08DgMWI46xs6YY5BvR6GVJdoPtt+sTTvloZZsSjp1EVG
VbXpf9Dv/rPi21IsDgmNdSRTkZT/4SW1kz7oZSRFG0bI38ssPhM+b5fSdzrgj1ZPsF25jsXQvy7S
q8xMP5m3viqm9h+uzb/Y3BULvbXMiISKJPIfpedd1PW+nhfRpg3HEuUNqwoXX0wwHJQt+GtZ8ldN
qtbP2pde038JkJw3S31DX/Rj6CmchiFTN/PNF8wJXmQ1nFZUwrA+K8f/oMS1/kkmb6kiew4KeUuS
FPUfdbgE2Cpt8AGP2gSrRIEuOsoKV+wbprt8eWlmk9bPqW6sYLQr+1zcAykddoao4kzID1KgPkxJ
NKy6yFwstCOGy5ZqFMxrtl54J9RZsY9sEOYVnfUKEALBgzhkJI95IdglgJntkIyXbIrx9JpRxcoZ
I28+SBtL0KxXi1xIFp/k+plZ8Hr1WxMPFjTgVM8bOWGA3wQR2A8U1tJrqbUJVLy8w4ssCj2WhdOi
rLzogIv1zHrQw2k+WpARoom+haAsFgWlvotrlo0CiBAKD/ad4OevddmA3EW+yx0svoHROxownJaa
469UNKemZlrCS0gDV+SMCOXw3OtsyHOeP1sh2qhAyTAZU4StJWrnvAt+tELs1jr+PXFabyDHUtAu
xhgsAJxBfa4OlVWWT+mUk5wm7FbZ1I6bOoru7RAVf0Qf/3806j+MRkmquQRa/+u/54zcz/bzf9w5
Btvp4TO7/+//CVk5Yl02f52K+tsP/W0qyjT+S7V0RTEIHv86E2VJy0yURh1HNP823fSXmSi+xeOq
pBu8ApXJor/NRCn6f1mc9osMXpd/f+P/y0yUZv7zFijJhmJpxPkqBCCm2f9+V470SI1TqQl3andp
CsvaTn5PQa8BF/xGFglVPFMpHXL7M/9cq7jJ6A3cGtH01CT61sfyZ65aYbFjoOc2YcMS+CLFCuuM
sibb0f60oG1Al0dqPwHwPZgy0WAWLQ2MYF9KsfYqgkCUvmh8G89jpR1mYcTLVjPmp6GZTbvIaLoD
afHPGrpPCw3LOqvSlmCDkYe6ngBsEtt4SpNKdvo2IH9lFp0efi8fxjQRV3mdrqUhvloTFdDEDCY3
TUsm/DW1WgU0NwV8OhjnROAilJp2aOL01ZwCBJrK1shz2RuDzdDK8SqHjvw26DtGPSIaS3l9lknz
JmZWaGrP28xnMpcqIa6rCl22YMRWN+1kjJ0b5dzmpo8PtYI4GdS9hoprHUQDTZO4voojY2jFiDyb
Lre4VkogjJ2mgDjB8nk24hUCserh9wvF/q2JgnuVUOMDkOtYSA69qWNyNgHrg7NrrKyymIlj6oY4
G0bCk2pp8YPG8zV1Oa+ZNdiX9aIxmUBjSLO/snStIJcLGhtw5HLwdGBUMcie8lna0JC+1wOFXUuh
JdgwJW2mxVovxpO6UDRT+hpEOOO5TnuDgA7hfl+g5eoFoCYxRp+JwEQQuJrdDPomCiDo4Htels1L
Nhj4B4yUgXMYjJRGAEHr+K4pQ+HvZusE5UEmL7z8Ui+J96KVqumbuMjwB2hnsscUcABNjmsUBicz
DXu3CMr9KBhvIpbxydCoj8KAgy4sgoVl5CtnHRG4nRvmh6+Fg5crhP3Mzuwjy4hWVcFU/m9ZTbEG
qj96maI+FZpjUkAlJmxwc3yQ2jGSbaNrsW8f9fSPL7w1bQrT5z5KYc7ACkFhDtKsPHE8v4OndBEW
Z44mVzMNHeQVg19uskWOY0YwI8ky0D3KHQPtPTPSVCxNV8OQHOkQNidJdQxE6cmgoSGHNMXMBD9d
RY6OFKW9JlAkXGZAri0yyMqYggcohlshSfDMVgrzljB5DujvkJV680TWhd+2lQUrhtmVSt72lRTf
dTM85r50U8MCGLoPrUDA4OhU1dj9VZTZYB7R0Rcx4W1F2jWdHvmuOMLR161dnkWPADbj1djpCExa
6cvMAlyqAXKKiQbNaUw3iFVgkQsdQ84WWeCMh25AkcQp1EJyBj/ttwRcBbHnnKzmFnGYGtdeMuna
wZQYQsmQNTkVTrFTQP8Ilchg9buhj1bzLH9pdfJSdK3gUVjhpxFVoRUzr3HPADu99sQJVXNrxiHu
9dXMNLiUY2MPmGAqi7M4xEzwKBWoV+SdRUKbpFCBiJAnruHvg1NcoXjE7yDz/JE6vJrxuSfCKdTB
gjKtcukLtHFMWqaO0PAWdbRUzFO7uqyUriENN1kpXmUYP3YGEgVsCbx5lYxHF8bF665qHgKhflBw
n67SXYgBg6ohkxwSHV5boWToq251+M4c3OjdiUKYAZC/cyDJlOhs9YxO/JSO5eAkTfU2mTPtC5MG
ZjonBcM7eKv6RTjafZNDlgC0Ri1+Pos5OW8wPMM8ooMF16Ei06gge5j+uIuUjrS3gufQKeEtHVVE
xWpyq1OShXLED7UdfgCzEeAlxVebliiWax8yOIV2arCBq5Cd2n0FZH6O8nVnGfTQCaSZcgCNFyJa
CfznLEh/0OnyU+oE5kVC/j0X9Tmf5zWVm3NqvYQmxa1Qm6+WSvpfpj7OJvKm4n6bmu5BL5tLlFYf
+Ridm5QELdCFAD6NxWwEeSgzNt0HBZFoVyJdNlHPQWaBcN7TbFiZMkGwAQxwzA1HDWfRzftdO0Me
AzrR1eV3fg+H4JyG6biTJ/FBbzUW8qgg7TKPDLVtwwybBBWQfBxqsmumPe5sJQZkhghHTDeVq+yn
HykJs2ME03cZiduS0HIqQX9VvfIWJKVMKSK6jqL0EIadtpbeSpSI6CwC2W1UHCuzCIuSKjJEpB7N
NUKv7DOyBIQDZXglEkwrzYzKu//BjKBCdecovk9XaFGSyqhI5J9iDpHZDRYq4TYuTlYTGCuGJmDO
hAYTq29yqseHwgDnx1q3vHEpDYDZP4nWg9niianL2CcIU77qy/obujuV+ziuVy3PZTOqFckw4fvI
/Iyi6NhLcMMkn3o6e8tFqJtneeBk9eP2rmr13qxjSICGQAsnOAXazq9AIpU5O3eMI9o+FObNkNc4
ycqm76WItUF4LyOmtMmTrN8mEy+SwclG+0QtRYk+Ui+VTOk1KZrV0nTfNhnps/UWiyoDsZV67EKD
6GIqdpMQPbP1mA2/HRVG4sJAXmFPsc+t+TIZ9AwtTDWbST9Zg/lJK/FVF7HxUlSmlOrYk9NkNYBN
AosHUH7CUVMR3DKZahc5wDbVwUU18OAII4ptF1+NCElrVXOq5ZWRYHEpvyOILh94eWiQlcm1DA4O
+KkHQxHHLaxesLvLHj5000VlYbj4pjCC9s1SnbdCOHAWq7iO8xFPGfqDtDLWVj3km5Fsj2gJbTYa
RbPP74OSbq0K7kcX9RDvdfGt8bUnsH8OHSP1qxof/UrR3VnHmrDL6IpERFFBo4X7zljmo3TjUHYz
peTakcLTNFMUBOeGg73C1hVL9y7jKC11inAWJgLhqozoDKgdrdYqu8lWemo1FO11fpNb7SNoXsce
o4FIYtpBXmF6srQiX/yERFa79PiTrTordnLdgIWS0PNvaR3k+MhlR6OG9TrUn/OEMWA1nq1UfaJh
fZTN4luu9G1T4fpNU9OcGIHQyqs00eonmduLFSzZSthwN3qlOIdrzHL6NRC6HH9Q85Z3P23YdOuC
/NjOBur4QVp8jf5uSr4ARa/DBAsTKTDemhzkYaB964Ysu6Nv3KP0gdFH4djOfYCdDGicVLPeQW/5
riJyxSDtlXWpbQZNCAB85ueJYpMjUHSK8nKfK2AYCRCOQakBr0ss0+EqFQCk5FOII2RD6McN68j9
bbYoVevzo1EHt6BvL3os7MwlrhQrGqbfqoLjjMRtHTXQ2EKgI5ha857AjBscpLGsOhIqtIIdvBAY
mBJCpnbehDI5z3MHvB2/OHNT9BPS31Xu4+80DvMe6uczbNICTQMFLGnBvmVsLWMmvnRTva1MfZsM
i5/ueKUl0y3BqY96G7mLYciwGml9z7omOVFrrRFuzZ5sMVFUJRafKpkAnuE68S1dSSnPB8cPpWta
C8hPeomWq4q9bL9uVfkDidgxDoQbAqMnTcIUOacFickB0JoZyq2ibvsSLUpTmJs5eZYTVD2Krr1I
dV46Q9yCJ2E2pImldUsVmGpjvYGysK0TNjo1yicvShva05yDWRmDXRCpJcVNsOaWoaiUL4eMGNc7
mtX4l1QDUuPf/9SoCLiLZQtgZL5tBoiL//jO7/9HVRWikF4kAMsP/n75/YbMtWc65v8++Od3/nzM
kEPPl6Zo8/sTfz7+l6f/ffD3hf3D30mSeK/IXb6GgNhKq9+/xwmLoczvf7LvY7v356+sNGljKkNI
sO7vtKJ7LoykhNPFW/r9Ilni3/7rz8egDf71sa5Wwl2FUsz3J8hA5mf2+xy/f0v9+7/6x2OoPYhT
SZOhmjVMM+665cucdRiQRYv/tS/CvPl98Pfv/H7RasBzoF+QRuovIBcCtKR/9/N//m+fwIrqWoa9
qpQ4wv7zO1KhJ4yUxvtfPvkvejysEKBKC1bt9zF05okzpNhQgIvwvQYc36gsaG9UfAXgQqSgi6CP
1ywE5xyn5qxbV0N4EI4N4nF/P2tH8ok4vuALo+OSa/srTuod3rzj+/CoPCMFOxVINx2011cLAukl
W+dUu6/zlYhUZq7rC9Q2FWSHSHoXvUgVwKLs2TxgNxcjGiALclDf3eOT9cBQ6HztjmNpPKYv5lkZ
Z/sLhJNcePV0wC0wc4COinZfuuXgdXfWL7kK3UMZE+cPsNzRHl8xgSbZJ4NilK3FbK2vM5h5BSKA
dfuVa06C1/SE7t8t+o/Rx+HcDjlaXOXWHP3CaZxmrVzZSjBm8VIwYA4ema/lS7LHlk0K3SGDTwxD
zRWemQnoONKO6RrfJ+lFVXeoDEbMhmhAQBXKAuecnszzzG6BmnrdIt2SULeSzIYnBEZPQesVT7Du
anzJ6REfcqxhMOfcyvIbTf1RxKZmskfhyFcJfYpgN3esJWcdXBu/ph+35D36Llpna8YnGmED0YyU
FZu51s7rZMc+2tI8xStIxuKQsI55+4RT3VFffJo0L+NTLF6EzzPsakZG542GPmCfPmcfbNDpGeHt
pnDS5/y5egwd+uqej7Wl6QLYs2lXRzaQt0/LezOsEy7mjG74SBMFf4dsrmO0bNdSTwdSlMhAuO0e
K17sIjHtiT8xVt6g7XhTT+Xqi8Q0OFjHdnCntxyHvg9mkA/IQ7TH6+jIp9SODnClRuBYDK6oikt6
aKe+c64YIdmY7hlPJx62VZz/eI+xKzjq2f82t0y6uu1GffdfzK0W2Gv9HB31rf6d3/iTztS9vmKK
eIsuOLn530LntVcVj8jY9s/BCkGPTfjFBVA2FmMcHyHD0zvGWnX3Lp7zK+6+Z07Fgv7CVliNdkEy
6kYf/vuXdTHP5hm49sKfX43q1g92FjZrMjrLM0UkA5cqjwm21EY9AgvPDlbFpbonH0w6AjhxFfej
eDgFT2/IfSQX38K9IdnSySjstKhcbcPUTQHNy2dYhvkaF09yBzTlWnqaMBm9ABp7uCtPT1G/FZw7
DZ76xlyzwZzQKVqB/TYkp7u8xG4HdnU/I5+0l1jkEfFuipeLm7GWcodqTjM4NJl6kiPhHjzmp2nF
HDPGKfa8SS7UbPs9U1/Vet5HI1eqOKbuuAe2vi0uLcWkD8DN//0oBQ0v2OFF3GOxmz91BSvAq5TY
bbi8wW6e3erC741P1bq6wynhXnbaDZTtfHBHp3xtDmQoMl6Xa+os1Hqc+Yub7esYH0avdnuPxnr0
0B3rExh+hS1kOpnHUeUef402sLmd0Lur23pDRy218IFzjdUfd8o9cdaWk5Kj2sbk1tevZF1v0Bi8
UPPh/M7BL8e8FJq2rTthonsUHrBCEmxIh1TtluXMh8ldtsdnM9gtF7O5byW+PVwAO4IDzE9lfvSD
rUGNg+mUvbjTvujlMTS1nR9LHJs3nc5K3ozVNnoIz4FNRdIpjqMdfFAkAdt2halmAw/8iFbJDrx6
tCPPKR4JmLhyxRpVRJ89osKzjVtMlLISj/M2DPdeoXv4hmQPH0V5lh+7n5x5welUC17nzNWG6WAd
JLDFVSssp/psHqInyJQ4vPnuUH/I3wnzi9IrkS6lrKpfRWvqk7MrlZLDQi719TgfBDz31M/+G3BF
3h4r/L6YKLA/8O6cHfMnEk+xYt8kmOhgHV3hQau85OK747XqXDPiEbALWr6d6eIs1zk8MbZVOKyJ
7F6s6XQSW+Hbcs+17Swjel+xhUWryK6O3Cx0NFbBKtjBkp8u4Vv3OKx748TVgSviMBOH9/vNdNHE
kRvJObO8HlB4fj93OvZWav9eHCU+osaJ35LezbU1eEBqXjtWIVYtyHHmA2skWon5k7Jp1t1FcsHI
quahBSn9hKKMyc4QKxScNBF7rLGWHfnohzs2SXa8nBjPyo3DkiOwcsY9JlVsDnhdFh+0RbEyDlZc
g2odPEIsSr3xNhGpgjRHyMTxh/Pn8tlTqik+sx09941EO/lbwcGZG+UYev1GXe49hsCE7jVb9/7y
sUeEeLH8ROEyffloOAU/g8f0eWZFPfESxXv9zBte3vSRrWf0t1G4Yb1tY8CC28ZjUmh+aDe9/ce/
wbCdb/Du9sHKay5MCEP0x5VylTwgE3D8x/xcXIpLwKyBuoGIzpWg8zYw88j8ib5Ov8QO0eZ9Vk9o
Lat17PEKsCWAZU4A3hQOjnjYLyaIkdYy2qRLdudkYBu5ImyXmKhlTBU+44n7nOPN31W2uMIeYcNt
FX+bP6gkNbwZas4oj1uoYa1Uaw4oj5OUNzja2aN0w0BZ5apIN/kOypntPLW+jIzpXsenPkfPLX7G
yXLWTtFuq3IQeR5oX63Z8XWnV2s3a22cjsETGw9xgGUq7bTHeRvdtU536EJCP30ojZRxttfwxQKu
yj3wkLyQeN/aq3hhod5Dl/nQYKfsq4/YrRw2T/YMJkJpid+M/TAjZrK9YN996jtk49v5Lfj0P4Q9
Bor7wBNcCgCm03scsbuiOVcN+bidnuXPYA9rcqQCAmtj9bsxuWxO7mh4NMHS1zM2ykw723gPok54
4MNpLiYekDbOQKvlQ1Q4MlQ7dl+W27Ra91SN7HJPKy2KV+yOi00OMq5t+olzxMxeF3BtmrUZu6x8
81zuwec4JA2CRLGCcGguPoDREvAsSNpsM2VntU/3KueXkNCZd3X/0NOuVTwp2xjds2Guy+EZSx50
NzBixW3AR6vHW03dxxAvnxLHcO5rU3eEzd4V14AyD8KzZdGp9IDCIjBgboqPXAGqancf9Sn0Yutc
bozV2veoZrm+B63d4S5/UtwIjfRqeBxP/nAKqltqONlXJbzUyLPGb/R3NrCxowAJW9yBlxCiBojt
WepKZHfZCpOluXjQHe7lbGN+4lkJJxdE7aY1PlPQC8R7JaJjvJrmFxUVrbjFpILjijLVaDxT4tT8
A1hNFUvetZB/yS/1xJAaui9PhjxvLtYI/tHfWP2HCkuUBRTs2HakTerlpxgq6Ua5sbdxnhBISwY2
1SODF2QNdpw94khXWx7hSnXBAbGChBBsCVRZeCd2nhCDqV13r5zqgg8nJpElG4dLCEpAXfZsHk+N
6mpPFZZl7NvajtZy0K++5j3atZn5PFSjzMhq675hpgWU20VhaXNcrXTWmMtsqBwQGtfPYOFKT72r
dwiCjaPfh7ViEka8lyfWuXFlmH8rMsezpWIi437O65ltqit29iQhBB2cEI3q4NYttk3rpKYCbY+U
oANXn9grnKLxGBqjoRIz3eDoz0CbiXdkTILpRVAJgmOab1Eq2TIqaPVESWVOsVnwhCc/fghGh2bF
h/Hmq/hmP4y9x+Xrv3FR++N6sPfBx+6SlcprXnMmlMWWq52eBBIPtKzb8pnQhfKjOGwrFScWLpwD
MjkRViz/LnlNdnHssZ4nlKC8l8p+UYeNFhw0QK+Ofpx24qqngT4fiuQ87nHLAu9heW21y1J8iu6C
eogZSczdD0aQBOTohEXyyse712ZKh/P5jVGc7qE+T5diAAzuiQXaqlWVrLvEpagiXhommFEH8gp0
grStoh+V5nkSXv3x3YyA4SybCzM92Ucr2kSEVwZSbUJwpK+NI4NyHmENe4blYZVJgDGtg+5EgDrv
Aftyz2snCo1MZXAKiIQYqAdJ6o7+cvW4lYpLipDghabObmLofNhqt4aTYDin3oRvNdJNkjDsKkpX
2vQlysBHPdwBLFT8lzRGwkMK5+TuSNPNLhR2MxllGsrl4rbYMYjp3iDbUs6ddCKc4Xxsyx2b3XA3
78PoYhza1y4CfMtYV6qXdJSkipcQ3+hQ8JicqXyHsQCVS3OiSRvgtm6wtzlMpimY2ya7pN4Y2b4K
3CxmBPWHPIFZKPOZWgj+m5QaIa7So1OwvNQofrs5mIZynSaebzHdd8BqfsT+0HDzYH1abr+NdcIV
O7fWy9Bu5mpfZfgUb3NjI3k6HN/4gPpyCcI4RzSXTs/0GFReGh4oR+cWeesBIAfjbwtf5ilLMNgl
IRGgxoj9ovfinzjFo45Ymw9gvhENMh6i75KEc7lKzhmQpM5FttfjeZnsQ/ZB9dM0zrXIdOuOI1sC
LaPehg+V2tathBxBLnPnVJI15y77CFlXU7cRz9pKp/l1UAPOcoJY3M6pfE93NhuR+bDYGxSPY5rW
MYwPNdpMxMvCRfPazAutjV7a+bVe5mW+fbjWd44k0ObFNhpfeNHsOUiqlHIXUAvhKCJgYq+b00fm
L8CeuQTRjd2eWDfQemhheyeJb29DEDJ0mjFGes421K+cyq4egs/ksz18lNvC/ii/lc14/ZrJxLCb
c9pvBgKAMUokpUhP2ZimIx/C1SCm4RZ9pSzQ2PWZXHYTHbPHuMRWB56x3ZHefQrPceCOz4iwrU/F
7U+jvoq/CLsMR+EYMw4vpVcKLh4+1cXc1rf+yl6au+i2F7oRN/FYrxu0Yyu6SXSRiVL5mp+yY7Lj
Ddnts7ZZigfrevCWg5eq+y0WPLYbMr1kl5+gOA5P43dXO4Q0EersQES+CFnNJigKq1XWfIzcleXK
LzxLpu5hrkYMcbgzm+WCUpXg/5Beq9vIPCT0c8+hWw3H5SAZn1lbPBOZ+7q6sI0Vj92aBYet6gkO
mMmedcifWbysyNSjV069gD19ZA+yZcKnYRM6NU3wrXQI4+Uum+4Ym3xjMsOIsQHSxsUmD3GhRy3q
R7xIjyx3niUjaTi3mFN9Q/LI7oxoPBr7Ym2sCO/04+/rCfpT/CWu5oPlceyBK9K2ZblJT353yuP3
2dg1ssebAoLAr8MaOH4oKCEQFi8N0+6iEFBZ1/iNnNzwJNSWG/lOgUm4JSs/+2IgoHuUV0Q6bJC5
hykzn0M+nrm12hOZqnQlvNSd9l0RXczAFO8kbvnEjTXUkx2yKJPKU+Tl1UokouXi4BwZOdIXhaOo
YZAZsJVHRz/1SVywtUSYiwkYQuIP/Z3hRVZNsChO7eRI0KRZL3ej94KVfBkHFKZAVFdF7uJ5vZZc
AC3FljRDTFZKcqr1U5T94P195cnbwWPuVuA4rhZZCCiIBcMfrMQXwStAd3NUa4f2HBh29zQwgODJ
W78ObaJZVTkX/kZ816l96GeT9XXnBtr6a94DIl6YjidOGHne9i5MjEMt2+ULns3Cl48HreJkCBf6
FQ4w554mjur4VF4qNzigp7xWX9p6OAwv4d6/1peBA5OkExAdXpGmHT46Qes818YVMwmpcD5HNGE2
5UQ781xG4RkuSFwsZBKXw77CuOXT/+mfGd+H0wgRmDJXEj2jNa50l5VY6C+R5RotVftD2b8Nn5xn
PM1HtmZstWrfr+VP1tL8oN5EzgbXr2xoqjrJR/r8UqC0PTSPRCPdh85xXTiyvMdQgZ/Miw2KC8qM
LXEs1YHmPjU24ADTxtQLTIp4V/Zr64nYfA9SiPyynd2OGqb8Du0dvC2VmYfgYRq2nexN8h5ifDwf
kIrIHskEx3P+TCyQfcjT+sWgG8adWjlUQChgUOlhn7Yjqs/eUuy4x/U69VK3OU7JmkdFec9UYjRu
BRoazVGcqTWv4kOTMMKyyYxL6a8G9Yyzenml5ouqlVgBo1SYL3uwRO1pRNK+EY+Inctun4Bgy09W
TSSQ3goOgooaXByUgDz2mXEQpzcqdLAGRePg58yV3PiHioyFBGf540Hx9xnm0UN5sYzHsdnrSxyq
R2e8y5n13rzggWiG32nm9sKe50D5h7PrT37irv+iNmKp6xHR9NY0VjWzvdT1yPGX+oit9xvfi3Q2
Vh+m2aZ5Mvw9FmgK2RUwynfqdITwOTUPIl6yJQqW5Q61NHYjtHvs6gIUTWMS/dpe+WOpuG20q/VU
5U/MZO2xIdXfO2FD4vXAfd8SrKx7Zr9W7bVn+5mROYesrvhEpmHmn+LQ2xxVcJMKFInpkR2Vp6F8
TdbGYg7Z1Ql/I6/exF5c4sXiWsMrv+xGcgn9HQlPdwLmshR05b0WOxnZpj1ehQeOIaS67DAoTmj8
EESVKznYZFRt1nLyECVgPr1xs1yQD15RM7CR0gjDFG/JojkRUYfhL48h3u8OmB3Zbp/J1cvnjKxG
jx/GG1ervxJrsa2BrozxZefuY9MjLvXfu0v4RepCXEwtlw0SDyLwsBs53pNY7O8pfr3vkfpMiBlT
9KMnxADjfGN3G98yad3zd5jRnve4nTTHciJRpqjB0nogak+Zsz1iwt0NG4lT+iphN3aTaGI7Sklp
BnBXst6S2sN2QCuyFlW3v4oYLpCF7RPDsuMXkTZlshKiU2OuhAcuclQ5MbVCpuDp4RyHi7qadswq
EFd7LDLl1j7/H/bOZDluZGvSr/Lb3eNaBIDA0GZ3k/PImRTFDUwSJczzEACevj+w6naVVNZVZr3u
jcQkmUwgEMM5fvy4wyW7AHjUoDUEoN5nonsEK/gS9J9UiJBCglkRIzg8g5eQXBFWBxqMsIMOMrnt
YU2t8lX7I6PRHXc+Zw3kjhGX3mJqXu8JS2BGJANU4k35XSvEPiCePYen5PhqPIKJsmXs0+gEpMRl
8YDs/aC/h8A5P2wOxRpHiXJXws8PVzrZM6IQU1JSpPREkhR8nvTV+lTcplvOts8Mm0g+BcRZ5N8e
CE1KD97GEF/Hlfc5fkvDI1vD4kT/PH7lL7GtKBJ2seKE1/1tBnvqySGpXXu4JZcX66ttnk02uLfo
EcOAcZmB6UuQkCRsg2uS3rqKBkI4WI/sWiYjQ27xaB2Gx/yFSrKaLvVav0RMQn6/Ci+YWXdfMSr2
H8czCxmwGibYjXdlgoM0eRw+iI015pYBYe/KCbHSLYn6ko7A3dBIka8Sn5LSXqQvqvmUT3tKbRRD
yV/TJ34XYAeSPgolptrx3Hkag6K4tB2BhEirUY5z7yIivnrL+3S/IUA/YI5DJqEZpmbPn/KLYwg4
qj5RnfHwwvtcGj862DEobYAwxSew9tF5K/ydEx4q+0jk3Fo0zH4y2Pq5ZiPYFM1+Cg9Zsx+RNWLy
xEvmwZZNag35BYoEs7Kg9rvlOdhr0d3OA2nbNjJQKt1wtGePBCZobFiAFeWBq+da+ct8YUnmM3g6
T7cGIK2XseF+O+uZD2QnYzwqtpTxiZ/mzRqpyMLcgibyNSlX+Yw4jS2fEvoibIzC03XJ8o7eq/Gd
Qe31Z97O5yzpCj65q470vFhZZ4aVO+K+8Le0Bp7IBoY1lySp11MC48cz9JqlnuMOd5yFjDjjZeP8
6O8SDMFwMyG/Qoxo49KugU7ciry44ikCUb4xO/mbznjPuYfTUyleuesMsLFOX4D9ecHlg6wj6U3v
CT8ywa3ZKTn5SKllxYG73CYpSrnMEp4Z90o2iAsqkSMPlXOeUcVe1QDQwHCDFU/FG2pLteOpd3gX
m1vmFk0kfrDh6rlGHhG7AlMpUOxw90b7iBTCvn7z8zV39C3awU8YyoMwftjA9lcvPEgwNFTb0j1Q
Ze9tl0nrbR35ylzhJZArIo1LlPDxyXwChqRcgk1aDdNtxZ0xJ0lPKoRbmKh6y4VyrxOMIDpPUlQC
jww/H8/BXzxOM5I5yy1QGV8eaLjmTdx7ghgjqtrmlklvbbkqFhE/4Vd4HHo/RpSGl9vmbs1xzaVl
7YahYwi4xljRQYDV0IY/x53zJq6XSbA8JFzm6dWE2Yb55woDPJLGaCnfiKm9BCeSjTDj7CFKAmhZ
e/1muuo3Pnh4pEpAlyACr+gaoi4b7+b2kT/oAPOoGx4PuHC66LnYj666ZVUo+8iSz61zp449VQGF
YAxFYLGB/8ZD5I8tCyNes1BrtelrinVP7tkm//F2PFgWCJ/BL/LYuUNuc/FH3wzOvr4PzYPB3jBv
5/weszl+SczQQIl+NwhwO9y0f8ir9RzsRqq6/kY+OdkZ8MRIARMemfN8eADrGUm3eju5dwkq52KD
hzv3Q48TuY11cOcLj4HfRXpzmYsQU4CfcXEmOYX6CuJOuMNchdb5rL+rZg9vlFHmKvg9HoP0MIde
zUAK7qpxrxGMSeuZN0Tiov0L9TrmB49yxLgG0XW555OouUcZAfcpMVjqFAH9s15Wn0vax1Vx2fOF
wgbLIkV8sz8zybq7/oECadigw7IJ8bN8yqB4jowxwhKELbB09pTYPMDsXVggnfIFn0WujnWsoi2R
49ijZb4V/rpapHCK48Psb9hO/P5+6D4n0MRQkS6xULSvUNqEufOcVWteO/78vMMPsBRHSuO+tYUx
lsptqHZCfeIZc5lD8MTac9tHXnK7C4MLyaT4QFweyINLTzHKPoijtpS5loHFLBGKjrkleYLhOFfH
j+Ff0epdbGmdZU569TOSLL+NMHup0R3gVDI+abEhF04RiSi23st4hOvGnU0IeoAGC1xQkXPds+CK
peq0bu7sFzA8RgMz3jI9SHPDLIRTgIQyGrsMWNEeonzHo2OgqFpb0RauTgbhk4FlB+J1o7ZLIlVs
K647gSaOANuJMZVIOZjL5GBBtquqWu3A5N65P54r0zKgbmcv+KTOzv7X+j7gnkicmIzxiYElzeOS
uP+FEORCLlpHzjYAzKcfd8lN4UfSUtjkz/N85uOXSTAAZdL+TgM3tkgwTvY2KCdZ2YrKhVlsUbR0
GyA1BN6nlfbr9Z7dE3lN8H64QA+x88pi9M/RN1iq+cMyX5EhJEn1jpOzS4o3sgcmGQkuObBN1lbq
p9SnR/MixmBbG58EHM+PZefRDDksI439NTsZKB8enc2e0AKNBPYSNEJEcYwV3eswKrbLgDuI9KJs
tFYvEbkDezn0LiqMsKc2E4tiOg/odpBKPoGzweTwvbM0CqhRIET3LqK0LINl/djrRRTcRJuGYsei
p9Bf+AaPuq7PTU1SsfEpnMNhuQleGFFhXmF2JSD35oYVULKHmCu/PTiK/odD431d5rV1z7MEaBUU
RCl71uiFAtRDejGyHSurb3cQLkFy2YEKYFLoXLm/jNs0eYhJAET57P6k+PWNC78fG2N/HVAjHw7K
3ufdJg23bM+lfWIachdDuCeBNgjUWaDNNiEpeSPdpY3Oj266EAL4LhQsnm2X7GmlYKXByPSSY6m/
GN9grLCN2d/rk+EfRu8hL7ctY0p447+6zX3VbuAgLjOpP8IsRyVKEaRcfRzjGZ75bIU3VPbC+jxE
56nYqOEV++ml6gWUEG2RSrFYoc2JvcoEcuqWec1aTMXa/gKMgLQv7lv1gYnJo2DKwvgHkkLdaLph
BSqwPoIslwZjrHWfOYy8cs1sp4invTM/YmtfYo7o2N4bX3ntIa6A/3f05HAL1ZGnxkleCE77k5E+
oFmfT8td8JtltV5eOpuqZ3fdF9E5gmxNl7KPCfV6WfcG3M/PICJ8vNui/L2sHipOnNsZx+m6NJmN
FP2nZQNZzuwMJO3ITgJBeY43RbFj2vTqnmUJOT1oX1Bu4LlXw4nO0gBf0hhj9m9MeGoggXXP0u1i
Njt0l7ZR8jByQ5AdWBUGwrr1xhF72Z3oLVnNAw8MDkx/Ro401Adj2gmg83BT4dlGIQYL6+FszweA
HIbbKO4DIi42lo/NiMVa3WWfmTMsKa6MnWhGGZwr+NjO2YzYOXhEIaaL2ZGHxs6TQ1pxcM+mvARR
a9N+gRDCBsV5Z6gjv46GPHkz8TLd2XDWcswfbtnG+vjaePCMic03oUC1nbmzxD6cfYBlvGQMCc4W
ZaiRHPWOCo7yge2XIgOPlXflIY05cMavPpobS0tOMiJtZr8g70E9c4n3+FOEIOmeLSSbW/o7IAgn
KejwwOwP9Vr0R9YMeFpmfXmAE0BJhkiMu3e/scnfgY2SrJOvLsc3zBPgT5hFCGUtNIOuhfV3hGkB
mMzh3IAw0Wg5N+vOkN4Oqd8cOilG3chQs3koPwYVQmz9ZNXdyGAur42moFo0KCfhz7PB1vXcnjDJ
oek6TIiQHH0zexn+ckXnnhS22NgdDJs8hck5aRHvK8e+p3fUOsm+tE5+jYOvSCBRoXR/pGHtLelo
o/gQUkpRMqcrNj0KHVHoNmhqiZ2mQOIwRX9AuMOJ3nHavrVpspK0JZC2ZxMffYCzxpH6NDXpbRUj
uC9nnkir7Wft6GwdBq1LY8XIztUhszNET7XtkUgtHrXeHJQIy6j3Jg+/6IBDprI4naM53/fuNiGu
CUMP21ZI0ytMQfB1d+Xj6Fn0qC/v/Hh74DjTLki9249vNamVE+SIx4+f5Xk6HUaQm2IRuPlD1Qvx
J4asHy6xCacy/T//mOEMEfPjdRe5METNCgfymoXb2FV9CtPov/9Y7V6pkqNEYyAl0A374xcSJ/nm
TU6PcmtBEWj5pxkmBCD/eP3x1dAy/fIiP06LfW/8Yd/78WUmSgiNRlklGH7PZ6OG2WmkKNeN9tjQ
/eSyRmL4/ht0HH+/Ws+AEdogIE7r7fLlxy389sbl3TA7+ckf36zS4Dg05GBdC9bTuDAhPz75459k
eTLpx+V8fPnxTVXVn3xBJXG06FYKc1GTV3LSVcvAfvyjl5e/fO/jBx/fM/voYCVOvLdcfcnxHdsV
Q1hDdamrrU5I5KIQgaS0fmmEiYpNHbn4LNNeELaalmSl1ibNusSsPTqyW5W5JbKY1bMGmZkhiylv
gbcTkIFi/IF/fEPmF3zFlTgjIqiRVfK7ra4VhZEZTlsChJa4aBZUQxHeFgZEGcueSf2WRrqoBfOs
UFma3JbOJgRbJjRXV+nUL5bg+q7qOJAHgdodlklwmidSouymGZduQs9ON+3gzQd/9L7m7WOjAARV
I4snQSkkJl0Xca53oVcne2VWFEIASezGuZ9MeVeLqUT3CeJrrYNVNxKeTHAO9wpfhBX2vw4pAfhc
Oe2sKMPl0uZIK4cerUJuBNTKS7PgWuX9UQ1HlO8Rw8xQ5g/GnqqhR67lq+HQZhocqrK3Ps1923xk
pMMJB8yu2zR4s28aFM9C2ZCR1+9jb3BAh4RBDmhbWFFMT4yUaj2HEL2H7pqqQrSRCVmhQVVmRndi
h185g4qevB7AR31hYSYEIyRHenuN+s9LKbojfPrY0RRoE/Ln0nXjo5zhIJWgzB4AoaPTgDJR/zaU
DFpTaxvk9cXyyR2KkWhT+A6R1LgZcjraxjf6A/E9dgcY//hJWNEr+qXYiPZRuHb70t5nJaa2IEBK
puowWghSVhnBY1RQgOkBq5yAetQMtiNiNF96BzOeueyLa16bj+aSddEKcfSAEKF60UHrwjzysSzW
rJrBcPeYkHwue67YMFJIgYZ36btR3QjOLrePTsUYzgT2kD2rKP3sdkSjQn3FN0JdQoSAkSKh0bSK
w0/SITOEx9wfDXM692ihbmpRFGffGmiUEIg6uqrcZHIJ72UZbENdZFfawTSaBhjYDta1MKv7Wfcw
pCj00oIyn6WrXmvTgkqAEAhd8ViEY2FSI2pphuG9Lm5bnPo+xQuEqLa+trxzPhbHJC67Y49sTxpU
5VkZzdV1lT7gp/HmhErutK7hqrB417Xh3vcy5tyLp3iThV68TCLynNgdQHPc96Ka9WrW9LYltv1e
G4RzYW7tOod4xBgKZPFiFzJD3haY2qMu4Ep11DBpk3nKYSppmveS/nMaG1SB5i7dIe7irCf73Q0x
5NANjX20fdxYQ2qerHRGRCMj+p+CLwqbNzIRfW2HMNxPT3mNCCNqPJemqhGOKrozfSvnLJA/rKml
gaYCOOMIoNYAIalTZ6VksjeSwWS5blFnrU9ifugcmmdbJFxPBeQI2vyO3uDCYjMnkqQqQaUjc9oT
HVL9WgTqXeRlvs9LZx/IjJOgaZ91U7xpHA+toZf72cpulplOp64v0EPMzIsbTV+9FAUGM462XkTL
m6ZFpZbtfiT+tv0D+oUHjU/FWTi02hQ+XI9m1liLc4743RBv5oBmb01WvJAWoYGgrpVtauUejZ54
S5mlQFHePeXVwMHi4mKApHO9pmn4KIUxo3VbTPd2FB2SSp2ZIvnXLDCvXgF5vSvHZ5mTx/W0uTma
yppugQ2j5rPdjgfb64zzHEPTMJYGyWqc8cv12udJZOPREtYF9XiO7gr2dxj5SMBb35Umv6HjCoMd
n6hIyulmpL6rw4REKFbzLU6nnxpftiAfc3xsYouYsASIaqaOnJAmLKdK4Zs1A3Zp0oE3GFFFxlw7
kNamtGjTEbXzONH/eppCW+/jwI/WE0Ibp5lAxsEDq48r676vk6dA+vWOzTg9msmzE5biZpGN88PZ
OpvUs5w0Np/w3KCoAxWrbfBG1u7bOPnvuLbHh1wjj4vaCRT16Bk9D1pOj6X3ZsQzwoNVeQ3qKdsn
NB3TPSC+ZAtFQgTUs7yquYiqQvMS5afCQZoGS65xyuRVGjPbpjfonZG6CHXl1QuzdF3VRnV18o70
fNDEzb7KtnFrUAUM1aNtNNtsVs6WltLvyRhckta0oNPm2XquCDtLHXeXjGw3Sym71DZlIC+Vzhnv
oKcuMdsj2n9L4WGBSOgdDpskvsZpvbMRWGtdSX+A/BYsvjhhoPWxteIUXwvzU4eQ1Tay1bjXQ+Xs
cnc41mriqLVNZ6c06ZHb2LtcZC9ysOBotNO94YYUxaxh3uZevvFL7E0j0+8u5mgR27K19PZg7rQw
+4tZ5Xdaz5/Hsrtt8haMIB2twyyGix1j29fF0QAGrR9tUMNbTEQYvHJvmBjk5F3oblxHFUCdExQX
w6Iz2gyO5jigAiON5tQpGpJaB1Ch7szsifafWz2NF5TebozEQaJqzumCIKCvqxoNKJolVxJn6igx
ivciKbcZsmjE7zY6MvQ+M9kfClsClbveMSZCP+QIleDV11+MyX9Af3sTFo1PycQrIHBvjLJNDtWA
44Yj2doNUEXpkGwhzPstnok2S6+HKuOAUzVmeHQEkGZauOrY6e3k79KR5FAOUE26CKZp2YHNeTVr
Rsh+b7slLPNkuNL1OKbFDxr38R5w1Jdqfq2bwVuHcVCQ3XD/Dh0v8+zH1ym69VQOt6HHbWGEzDqd
UsM8T3Ny7upmvDTGKOANv4fKITAPm+4lMh60go+e+m29C5LhPZ7sAPkT2JQlTnI2whfXMBy+ha0b
7I2jpaoDIisOjYAjMMBcHmvMfbCrzrELzO17lbbfZIfAlkm4UXuA4I03v8YBRIyaLuFqmljGb27b
bu1w7rZKDpSbZcARNKc3crxOVhxd+ooSqpdYOy1RJdYuSQ5peFcqEl48QtZjWeI0Fbmfm9g/arP/
zIGD0Bqel+WiKFHtNet0i7ywQjQyO49yxjKwWDAmUT4iWVoecYk4T9nITZo0+CoAesu3KQ+2Fv3P
Tr1FJ1bF5nzrInV9RZgAWH8iYAEh8KKh3cqxurVk51wQ8T2rkUacNMIRWydzwN6UfsW+OLk0QQ87
CAMjxJeAXEeFwoMW5UGjSmtuyJHUWY5Gu3MniTh7ejv32rnKrHmhbZ1z0oO9mdCQbppsOeMEuDcV
/l3q8CgRioDVZOJWOEXUOYWuNo68BzHrMpTq465Gw0YU18JuExDwDqzOqdQ2C9tTMgz1SwttcVdR
X0fd4cFxGuALu+KRZQR0g6BKX8sCaLix8R7Lyscu6UmHFQ13dHQd4940j7bv37Wo6h8QfVvixALk
zG2HJ1JTnFRow4YOzEvkmTrEfNXbhMn5JrIb9Kg9Foct3xq7vs1Ly4cBNXfrZfE4mKORPDK4yrEX
Ti4hqZHvCmecdnbXoFsYE0YY7ExZ3+AWAQ6CetVbSey7tXLxPW8KavaoEkEJaaJzXB9cn0VamSHb
mMUEDyjXZrqXx2DIvbVV5vS7sU0WWLVCoqFXNmifLJF513oA2S3xDCzjpQ0BwmchlTyPwXwjxCAP
JuIQB/JpS89LVLCYXIRiN9ozdEYIYSTUJ5k26X0f+8k+6imup0tbZFm6qDA5k3URQbrHY8QBNYsx
NlHj0dG0H3luT9KHGsIpy4aI8yoFkwqQo5SzRXiy9yx8CuiEDl88NcA3RT0Oopt8DV8zzL3WCUH9
BlHc9NL6wCnYy3HmmSK4mdx06RegfBKo7FkIcBHHlvKu8miGtQltVnaYz9ux9eiUt9CCsF1ERg1S
myqYi0PUlWf6GL/XkxufkJOMQU7at96pjrNRtEAOmd7NpTwFDcxt320LrMj6VRFys8ILbzuLh7uo
3tViJjFUGCpoT0Ajm+BmGBhB7cqifTWMeOLoHXxilqQ5NhN0dLIIICfsUHDT6k4z/S9th67iEF49
kdyatjaeSHctzs5vc9PWa7s94wQIYuNRa+yNh7Jwj0FBouD2VDVFwPGddVTRC/eGZGhTpNY3nUYO
vOZYYOKGgQItr/C3ulcEbV+AHRTpk8cup9pD6S6ykqFfXYIeyanZzI4pyf3JRcd4ZdfRqaXSbzQi
2Kc1KutZxuOkpXlvzHmx6rRaslAxnKbWgjgZUjPsCZ0L/HS0tOg+kTo/unln3dl6OA7AI0MYxNdo
MqC2+3V9w/xkO02seZMowd7pdYTbjvFu0llw9mT8iij3YiTDamS2sKAJYWkfGrE8kCUK48mulWyj
kxM6K8wrMa7Lms+lpa1tNzVvQquGomLMEq0qKjnzq4zFc5RQKpwHyvKerwPo/5T6g2maKVDXb1Fc
y601opK3WJm1FfR/pMcPMopwVS/z9GaMrUfD1cNe+JNL3WNeeV91CP16iiqoGos2dWc1GVYp99mM
bek80UKG/fa+L/Obom2f56hAoTsMHzP1qR2Gb2OC1DqCPAKLHBddlhhrMRPs1mzFqR1zukNgkMhy
hK/gnQYvvUbNxZLirZmRZMgt/+yiNrDylYNpTjI8IJY43KdCf7eQb0cvnq6QIfYVsq9p+qji7NXR
L1VZqvfZfizi9B4/uPrYFzNloGRcis5UglofuDW1ryMHEtqq3Y+h9gecjanloVuzyDvO2LjVClMV
CaMR/ZYvxkxlQTp6O0z0nhlw+LYy/cSGNezwF4QpWbC/V0P8LS6xh3HDGlS3vmtk0F8KuJQDp6o7
e+9+K+TWWaRB4m5++dJ7crwRvbH1cwYJ3YpyX1sBPIAtjhPmnWyGg5vm5DQaRXx28HUvR3z6Quto
hhYBf3Sd83IAS3ApXVSYDaGugenvRNtBj3BEjDq/uWAuS2OiXsz2pq4CEO/rTaRngimzuqXHl9JF
zdqNavu18P3vVm6Uu6RvvxYOT9yMg2o/zc6tlUkQ6QTDQIOoyCW3qzxaaWyDbsC+qGnRhzA+2iiB
+PRt8dRZPna0aUcXrkeKeDJy44h2szxxC5qCm8Gv3mPKlF2X/1CBxozQoQe1gcDMThP44ouRQyeS
4Txtp4w6ckwxzrDxemybr4WkCyrwdhN+MMfGLtlebVK5YIg+9W37Og7zfJupOz+n0zjtjWyP5gcC
czOiSoZBxNyCpfv8DSNr77u0iXaRRiTvQ73s/wu9/YPQm+U4HoKV/3eht09x+42jIS7+rPT2+7v+
q/Tm/NtbJN5QuUSHeRFn+9f/6O9t959/Gb75b8+Tjon5h+Uhmaj4UVE2XfSff9nuv4VnmTbSbN6i
/WhxGb+Lvdkm0nGWiwSzY5sID3OF/xWiu/tNq7n95fX/FH1+V8ZF1/7nX/Jn4UbEi32FxJswbYs/
Jx1r0e79k2W8iX5z2qvIOfshToIc4gh5dQ9KFg0yRcQ9XjlEN4o6U0UIcCzCCtaHYJKiYIKsvb7+
afh+v7yfLudnQePfLsc1HYTnpEICTy56oX+6HKwQzIpcTVFMMj2kmSK4Rea3ASV4VNIxyYOhi+F7
B3e9utW+zv5B4fpnO/nfP952GF3ftzzP/EWp2E/Qc/JN1z43Y/C59DAtUWNwcLq2OGtO7612EAQY
qu7SKlw1/+Hel6H+Q13748OZKswVpRyB8uUv995EGkXdVNrnNNcKJ0BYsYRqRCk9ZsENyIGRhGei
uxQPZUpvybuTZyf0yHJQG7ujLk23VxgJtIMQyfsnXeGfZYV/uzjpKOabJ9Ca/lWMVBNSTMJobKCu
lpJuW3/GB6na1TWEx7yNjVXfYlcb2iFVuIL6dUwffk+UkQ7mY1Ya07FowaJHb/f3g2Yvaqy/DBqr
QfqmcqTneMt6/fOEGcuszd0xts/YeNn7sA5okOmw3ywC/4dIU4q0gpK9SUk5mW29abNB4Z2SYyrT
dPE+PbSJbR6sFpJXVk/naercnSGCfo2nTnIr5Mn3B0RA+ubRKuknnFwbfSfUy8/aGd+dCLi9Lz87
dese/NQ+xPPEeRSH5ZvT+c8GoiwPRlrdschSiobFRnQJSZLAvBlJ/1PvT/d9GPxAl6u5D0pUD+LW
A2lJMLwAEBFm4V/+frTkItD+82g5iJU7eDtJFxXJX7VtE4k3cBYG9jkuAfCoptmA0pLMhGFcoaJF
wDzWtNiUDoL4RfOtDAD1/l8vRAIaW5KVzoL6ZaGFCWlONE02lJ9On3oRXXMRWA9zP+4rE0YTFqaq
mtqzHcBh7PJj5xnj098Pxl9njiNQ5bSVcgU1HWX+PHPirmoMbBJtmv4iDAxhxRcz7KHpI7W042TH
M/qn7e2vuy2f6WBI4fM/R8Ivs1UMie2CEdlnS1BBaEqFPJ75WIYeDQu5QSOnoP8MdUazI6RNZ/cq
KMo1tbRemkb9w9Ix/7rfOMIyXYnAsM2D+FV7mQKJxMVDWucy7ejS09bF8rurl4F3Jpn/ILzpm3KN
eJMXLmJysR5281Bc5VjOx3YuYmhElbz2wEardlLqpL0pQzsye7AErSzlROta3VAb9LrykjfthI4u
m/eCtrDcfg9Rvo3/K/yO1mE2hWXx54PD/OvO7Qibc0wsm6f9F9XmwJRmEDipfdb2VJ4LYtzbpgnB
J8YIU/REIJLme5fKwDy4xs/lmLWq3wZYR1uogz7gbADVn2it6lO6ZWbXWlu6oc+virB10NZ5UKZx
k7X42ovIx+EO12zRAxcYU+juMhf2fgd6APyPxXdCXPcP2+8iuPrrurXtBQBapqsrflkuaeY7Y55W
zJtU1dTIKng/Yklji57MeHjtw7Hc/v3ykMv8//UzHQfdauy0pWX+uj5GYuKycWvaE5U/PuR42t5h
EXsnK9qdfEUvp5970T7KqPV8/OMtlNF3XEjzfziU5c9nDwe9bQtfuL5NhOL+daVWpP9ZXVfGqQuA
5WMpHu3Mz/auEyLqOMbQNXQigLkhkICVWmhBtZyEbWMdEJbt936Gz3HYhI+FHJp/OLTVzzvqcm2u
RzRG0MeSttE1/HkXqdIZfFq6/gkPobVjZCRTqkuAW3LYk6FP009PlwHXdhWu2Z4lDugVity3y7kS
aqjG5lJdCQfLOAOCBitnjA+KtGhHJeGcBsrfNyXTuCiUexghofpEZbSE4nA3mrwxmZS9MqcAhLFX
F9Qjw6uf1BLnYac+TJ3nU+cP7kUIezfEsaxo1alrqhCKpCfg3JLKekvcl0Y5aiPpSFcSPeaERzQ+
zbG5SYCnpQEkgq+buNOHGD3689/PMx7hzzNNEfq6nOEsXIq4SKc6v8xuqCj4DueWjZe7hC6qnGcU
3ObF7MHYOUV+a41IhWd1LzaJ0VFh5doB62GxEKFRLgkWUkkC+QSNqrHYxh4Zmijh9+fWlB4TqCgf
FlTxwk4h7HrLoavMC28lGu1yFS2ElilxILS4zv248FyyhfFiG+WwkVCW0tR0T4WHBgoUlJt6Ycrk
IU5/juG2p8gOp3XjB2Bh+F4hGjw21SnJiwma3EK5+Xg9Jpm1aX3K/6LBgXcNso/XEtQda66iI8Z1
w1aDep3jCNkWhAd9CK+HoNfTTaFnlIb6/GzqcPGPcXCOSlymEL2uXU2ZY568A/tGfO90SPwiJoOa
SfEJMePhCHrxUHrqgX0tOixhEZK8b1M8koNG7WNk1hW9e4IyWG3QnOU4wW2q3MUdCkFR9tBbbIvK
zVDPwICi0kfi/32dRO0lb5fCvKJ/NwUNRDKm9S9d2GBw7Gsoj4pudBtnTdiFtA+4Y0XYkxsFDcyS
Lhfz1aWQxwTul+Ll+KXlEH7MsrekSF7hj2WzjLey77KNO8QjdoIIasxafCopvh57qb70HWy3qqWy
NxsTRF6JyVXrZvRSu8JYdflgnQDz6kUEKbaptdzEPY3hLSgoplXDuVj4U53vPqKj6dNhF8AywFzd
p05ymubpOSlifaHKcTCViCACO9+L0Rt2beTje+3CHLZKFOZsqv2QTLrwbhiQPxCU7qysjd5AQ29t
r8APKB4eXKrlrbYI5Lv+wUmH9BJkhbMKVVBs6ySD7VpGT3Zau/eRDFCLDQk88ryBvOZ0tLHW6MZT
k2+dNnwwhuBHIEza31SaQ3rKgHQ6atstVqjXInxJK785lew1cV9AsAxoPjVnz3vVVbN0j17rRLvn
AGRtT6Dar9PA1VuZDdYmnKbmqadN32+qfU+XGcWn6cHLo71CMfbGULSp5YvkdCXA95nWR+nDSqZG
JLdedWPWc0FDtJoPzDVKpQ0dBIbk2Vi+hz+oibdchjXjpg57iDnLDG8KfM5wFN/XPl9Bhvrhx017
LufynSIpnFjA3TvtlTfsZDBgI8ArOGhQAFv0UjChk5u2/WqwNJ4D63NS6AefiuplRuF7bZFJo2Ng
J2ddULCiYKLrqX5srXBP0Ta4wx6ZpvkWld4kl2hyYdmCRZjKmwYYKELGB42nY47Id5tRSbaTJIIX
loT3U1J/sa0RKm3ro/IQYveAAiobhn8z2HZ9xw2WuBE1AL1m8MX24fl2efnDsAd9DXspaPqwEF/j
qa4gNcVPoWKGFTFobTy9UOdqTDqdw75337uLmofooQROXFUegbftWs1tW0CTd/L8lAlckZz6h6+l
cc1U+6XNuvrWhnee9yjViELj2Ty1W5Va5T6Nm1dUZzMkQz+1ZfMWQxZsSxXdOiWChmGA/fTk+Smq
TGjKatc6qZYPHEuYsh1Vlf1cAwCkfXbT2w3tTAZPS+R+DbkQbcPCNZCOrY2XhnR4r7RbQ1jAjr31
y285IcUqRf4gl7K6o67eHkFCF7uu4GpGDm3Bc/EoxijYOb51HIz5LVKLmwvQPvxJNzvWA/2P9fBG
K2/S59DcCyh/iy5ciOIIdd9eOpfYk4eppcHLh5dqQeYJPJwZuoFioWqgzmiEYZsWUhuua/IJLYKw
c8OnfsG5VYZnrp1QnsUA/qW27e+hAJT15ikljeZKBoS977MKTanc0f5L76clzaDsSIkLJaSIhFpx
WBeH2LVXWAFB9QrqTyMR2kraYXNo+n685APqxVMds96GvTVK+9aA+D7a+O9SuIBwX6jpf7N3Jttt
M2uWfZea4y40ASAwqInYU1RvybYmWLYko+8CXQBPXzt4b6Vv5qrKJ8gJf4r2b1EUGfiac/b5llzI
yqK6FoiGwsS+z5qoeEfHxjye6EgHUjveTP/U9511mgY0XTEy8E6MMEt6eWetdyxgZ0yzdIk1nfHe
HfCH5kql7Y0jM/BRI7qq2V1L6sWXtSeEQ2vRnSJOpycmjAOzYAQB0sdBtQI6VLxkbj3tqwpePykj
3xiOhbdJJRvWBdF7XAXNc0WwBuJUIJrBjBoYDaT3HTHMtG9zvdMkp++8teAK4fZfKzoDFlvedKrj
GDEH3RDukm7c1c1hpmfYpqlYdtAaNW8S9ymx+mUTkAx3E7lxyke38HdhMAgwweW30NLlxesvy6Tg
+jXduGXcnyBtWlu6xVY/9qxp0ExC4AB7e2ld6zVSUKZja0IfkCT+QY8tbXyhuOYrQnvKq1pLESlA
JvJZ26H34M4FCKkQxlA3Rz+6fvkxlZk66kqMBzfqflodZXaykNATO1WwsxNYF3Vnx8diNVAZ01xI
DAWfS272xCESpIL9IO57pkadqP8QHQ8u1PIRsKTh0xB01YPsHTyGQ6uBBEpm4QMpcp678u0io6f3
92XLFrHsBRIZRzVny9+3oa7PVkr/4i0730bcETQpSaXEBPR76dm7OUVMhPrA6NMGhD7WdMhWh9Ug
ajdLC5L8Bs3cXeU54ntwzsFMTG6qEcv2gvmN00mF28AiCVFDwp/I3lPrNMPfP9jIXkGOLCH9+ATZ
vBmQkEXBg2q6bjM1ecb+Kh2wWTj2rTuV99GoPlGMLe8EJlKAuQfFLulO92Ininy87+Mg28YOYUdq
iu7zzmPQt7bNQdceju6BkZfLLJWLv5vvB12rbbFwLCZTIY8xC9fdVIGFkb0LijmC/5d7VYw1K8vv
lpKBAz5Vy2exw3dE/jmiXM7gyvg/y8SZLzkj+Q2TPMEOLfcv6Tqh8qiUexHl2asGsRnqhYTFtEaa
PQbFHZqR8eAFMMW1ksz1S2vPldHZzWv0FQ7yT9pM6FikeJ/q4LNtc9pdQcYE9OstcNXfhcUeze2J
pJ+t6XGqBn8fKaITkarsW4U/IlbrBVrxfR0gr0zE8JOsrtMARXDh/V05LQxt592LXD5dbgDdWecH
R2dcO8RH0wJ2FVP1Y2yK9DixRQTYACbACZ51pQnhkX6w7eoUCMCtGYYR7ZhCXIB57fh/dL0CK3Wr
32x9v/tolsgTwwynobI0VUIR5++RhOGixBen+cju+pAM2rl9J9G6OFRoGnZLhbW90/gFoyTes67f
qmWsDOn3TnQq3kx5f2e5Uh/tel+PzrCX36YZBoXS3pvkv4vDr20elndfF8E+S/VJ+h0OTB/FQDI1
v+xq+TU6+XFcnA9/NzkdOBCbbIWFjTe6WrERrThW6s0aM+xlBbaUzO+9jfI/3RLFTl+w3ssdqEtj
WaAut383oqfEjthjNS0o6BZ95TIBSkeI2FIYk5jmtT2C/ZxkL4XKfF4asYGt84Q+HefFMu4cbwAQ
DkdJtpvChpqjwFunChUTIu9Lp6XeFqi28bSTLVCXHdVvAHl2RHFpi35LDM99k4thRz5J6Dq4PvXw
MrYsp8vOnU44a0ykgoicTU+YAh6l8jEZpnI/rTDwjFaPdSi9R+LvUr+l2Rn6I3IPLrIIcazJx8Zs
YRpAS4XIoe3RAuWE+3bY4J3MsXY0fQ1xbtSyJpQkylBfrg8dOiWv+DkW9nuVVmS4BBpL7Iih3a8f
rFAdxtgeNiQsJVs6tS01otxHPZBYomrwDGdfdLxHUQOzUiKut5MSb1wYHqlFP8UawB9LuXInmCyo
O2fAkeGTtLLs4PZkFSuIiPXaYYVxUDPUAEcKmUKSwPgyFCfkGRVHKKdcaB9bq/tafFoMryng6LXf
VTxjmWeU5CO+2A2J5WCBdl/slNOiqsgSXMPmVuToUSqveKGrOK9zb5JN8MzxRA91ApI9aAK8gSgl
Ed6YiJskuilHtJhx8UnANbwln2uGZ7MrXPLDosNvGSq8XdGlXAjyeFdVKTanJLnYjtftvQF40iQn
hJBV/FS1kA7k/NxSBHN+sPcXVvRBIAt0AMWYnrUPXjm8KtL60DA/vMl/8WbE4/Yco/D0Pr22am69
kcE5Ivet6rJpi3NaR3jbnQCjSINugkwF3msDu2xnJE31cS1TfPmR5W+LcJdYwWZeif0ofK/BruWb
6LTfpYXTa6iT/lggLpnmfhc1UOPLtdyEVrdzlrq/NCSizoPzc3JBwgdDicSY9NiinI51yH5X+G3I
SavT7+th6Pp7Gfs43OYIZ4von1yXf9OKccTwRE5+zE/R2wHgW6xFFv8chvJCtOq+CpAdyvCpntJ+
G3g41G2nPPvBT2Tu5B4IQmUWaBm5izGaVNtNPqUWwZq8xrx1Ja8/nv4pqXYK/dpGMKxC/yvOkm6C
o+J39t7oCDCJ1oRDplzqIyplCT1Ijoh+oKoOhA4Jv8rZ98KflV1Ix5U8i2BU5A544028pO6uT4JL
rri6Vo5/KMrwO1qSjQYamChkOOh9wmD6pfwfpTt8kj1BeTKczSXMRdG5TXpxi8Cx3NDleIdmdS6Z
GiFN22jkSXk9E9MHiyt5q+32D1nPr3rUECzniHbYl5tBlveE+aE2rNJNEQWP1rC0ew8K08p4+hgG
qCxcO3pGx7st+3q6MAKdX5KocXb0FvguI6ZE3topQp7rhqtPke8cE97qONBLPAwxcSTemXjaZxVj
c2ddEG/TaSyPTiJDRlgI9Uarhvu0kJ7SkSizD+fMPeim+yLs08GG1VwmjuGzk1Fok26wtyeFftZu
gp0UOr/n38nvr/dKXef3aVI9eku6nv4+3g9gLSyUF5w6TUZHZUuQXXwurl9eb2hKWvTHAVfc1iPo
gjDt8kb303CYyi69b4lWIq0AtP25AzQymMfU9bFlSD/TugLyqVVyP7vWMbFRaoRdmtxfbxCU/ete
4BFQpROwGTqRr94c/BClNyHh1wydyn6OTlhKLux8+DKcO4J9fN5CoP8jhz1Bl0EMyMr2vdw37QhL
wCqrY51NM23iIjHZoJQcrSLeuJX9TlesiYRZoRuRFFcgMLAdQniq9rOvcyQ7BeavPp6eIFNFNf1P
2IgC+JbFeMWhhklt53bpuX7bQXjmR5rQP41+sWwYbd8pf96n05BvS5MEO1K8oly1Pn1fXVaRwi9L
mI/5XGYKf3zJ8+RhJGL1IBpUA7bzwFAGc+NKNxc5UXlzw5a22Gc53k8sR9/6zvu1ZH2wpT35M6I+
QsGFF0GYGWPqUf2jzqt8ptSgC/mdopBRp16s6bN0cBWgaH4cjUgToccs6oPOmIh6fQDaiJNyXhB7
ZH5CWVvn3i26Bp+BSG+f/IJusFl7FFBIA/HdjsNFIvu7WUcsB2u23rcEORy4SOlD5vHhiXMCrvzR
OQp3JpglJdiot7V/W1br5+I16Qvbi7vQHdKLlMRFqBYOPcrG6AGBRu336smG0YJrNsebXzlQLH0u
JnHiTFsrReff+9VD76OmKZNyPubVUh1RBUec2IM+hHVERdPyEU275IxtJj/pJkemYXiSA8zOqU8z
ZKkTeUOMytArYvyrIigF+boL3fl7ZWKyWW/4l578v6DrHvwsLy6NAt3WhcHdTOzGXro85Tpx5YHr
5nwIusfa7sNdGkvnyU+fi1J2u5lkre9TX93L1kl/41gZpGboRgDotjXOJcsdph2fFuAhZXmsygEx
p+5wLy4mVDB8zcOB433W6x3fqyzQbyGsU/TemXopc+AQAjdH2nyoTvUPoiSicp1kyyiQq6vrE4E+
hW+r6wKlVahy+dHTQ1u5005rEJ+zR1Q98AwljWM6EsGtxpwa0twWIkru5uXRXb2QTyNCGlaSEY6I
AG5zj0SXjSBKa18tzy3l/ZCM3W2TNN9dwrrwZZb+MSSU6SK7+iVaCmzoTYe9n+v/gCr10lTMT5KJ
xocYmu+qjX9Z0s3OQSOfF/xmFwQXr06JytLRLrBCZnTndrVeCfNtnh3PO9FuEyHQ4bS5Np9u0yWn
YQrumBQlj2MPm42UDQ5qL8ERzvzwrrUn+64kKv6ut8sGjK6AKtLb63JzffD6d+ban+7kSw37C0VQ
/5QKG5LNXID+ZAfMwIoSYDNDwVvqaniaIjGcuBSW8LQMAx1Tkn8hVAn7VeChLKtEjQNHswnwxpnp
CIzGUH5zWkTqImeMsSLnbmo0Rh3tz3Geg29R7EXHThEyGTYIYBmLAqftInjq7MB56uy13BlNJj5Q
gYMDIWKBm75Pn9PV+WHrH/kMR8Irs34jPFSfiFP5HUDuX1oNWyMh68GrKT05sPBEOTulsMXzaeTZ
csi5FYSHmMqO9LM5D+AGgXvJkMXyTtq6or5jnY9YMvPrfSUikAgPEQ0Z0IIFbWNXpB9ekDq71bKW
c44vc0yD6Ch7yz0LdwxOdvLWTuNyvt7wOXpeRf4hLMlJKpHPuTajllUyox9nZvbXe402M/wWE8OO
WBBmp0PS3No0/dvIizUf2ACJYO/zqpSSkSba8/k8ldaGauy8On1GKoJZytH3z7iHxwbAo4SVMk/k
XiQQDJsJA4xnQkikB06Oz4bN0Wwnlt5HqXOqvDS8wZkKYkrRhLgLrpM5+CC5yd/kwfV8db7NnYZ8
47RPs0KJpzmud9rXD1meMJOabtK452X2JnImxqymneT86j3sE9aYn1MSETehN/S7dIQwD3siRLFq
rTO7Kkr1bVD5p6JgGo3J5o+vCgsYQnRkCoc5cRTLsZBw2mj5lsCbD/WoyrNso9d2DbOnDMu59BOI
mV1wbhaesfatfDcRi3xDSwbUVCV3ToAGsa0iMHsWZLwW9wPRzbF3pItNSrTJHSfnTZvFC0EsCPBS
orYZNAF0HyqKQ0YRN3YRvXm4HG7n0nrRClcgjsbQSoJdFBoMfTLgIZyjB7tgQBWV6n2il8SIxmDd
wWMZoo9kaUbw3yh2o/bB+Pd2sR/Litc7BxA941Rh1LOvFnc503beiCVfHz3nREJyf2DKf0gC8dyy
0tr469jtLMg264gjasii3Zjb4C1FkB4qiz2G34ptTk1iL1a5ccKVwabl/cwc1z5YpbobhKpOJdEG
LG8B37blgZWC3KRkaO1c/cFozqJbY6QXUIYyXwwT+h25dp82QyISuBnhdmbko8EApu2vsHDT+1Q/
rekiyMmxH52kHQ4oZ8CL1/I+q4R3atw03o7WiCF4hibcKNbYTo5CXRH04ObIgLNqm652g4x55GeT
KVVdzfWmDb46UY3wcosnjz6bxgcTudV8D7gw7JOZrseBg+7HP6vIxmXgREh9KxBMVbH6Nw3nEuYh
4yIIt3qhr+YfY5lSuOQ4tM3TVMTx3ml/44jLjkE0H5sUWEEVPCeQtLeDG3+qwPryEw9VciyxsJP7
lqHnubEiimtRskrrQvqgDGKv3bVizwHxmjrVi+1KEPlB/HOuAoTLE95VrZgS4DjLmCjN4qBq9jRD
FR5L29sRAfgWJ8nPSOEwar2FpOVAJttlyUjpjjJOBbrVNCOAglgDGC7xdrA60jVqXYLJY8Lee+59
uORvQwoMbi7Uc67Gj1UPvBX/zBnVQsfayc3m9jau25CTYi9zhiLZuFvtH6vKGOGTK8Q/bwCHctmv
EeGGlkmmT6oCXAiC2/kjas2Ig430diZhL1dddbCahDKdYMLcPrAR5oqHeWvfOaTEMKLYIyN79XVd
bue+fPMDZVB+SMQJr2er0uI2zqqg2xZl8LRa4n2xQToEQrpnRIW7JRDNDlW0YUbgn15iwWHhmbe3
9cfPF/z6qit3wSIgmQlsEbVz24nYO7B85Yxfuk8kYnw8ZP9pxz2ZWgPQhCFPgU6NoPIchkAz/XgU
UoCvE4MMQmS7eX21quYpWuUhsuzh2A+zfe5a+M9gF/QjCXG5KSQZfsFVyDJ2pEy1WcRphQTMyV80
Lfzt3Gw9tHPAt6zi7EU5NWkAHgJlTb7lWPU3JDSJs58RLEIg5M8wGYbXPEv9hyCdHsYpSp7cHjq5
Pxffyo1ksapiFVzmkjMhtrDTuxb75NmmiK/EMt3O1HZumDT7sTohtGwvfXeoI/+1lvIXHsH2KJfw
iKk+fGjxNUbM6fdrBlnYLmksiHTcYlAsH7D63Vajp18qVobGKPxtTSwi8kQtL2JMqa/Edvai+LCO
IsIiRqHUVj3YRgagzO/pjioQW2vW7ZqesMhuAeXH3oD33+i8lvGsd+Qx4TsABjGJ5MVfs6/R8hjl
NCs+5Ubf+6OcD4sLRspuq496xavIEK8/epb8hWTLvUlaz36DbQCDMgOiUhf9sc0yiOAStLenH2sK
LmDyTF5E9L0xy47YTd493Xwnd40Mu3BOjlSlH7gsmx2ec1A/FbScYl37w5CH9a4ZBtJrAucRH5CN
txTzHBUgQSgtNIhpV6ZFtq8jQBcywfRcA9yJGDVBHGpsVsFsiSa+0Tc/qT+bcPwQnU3YUOzc+Q18
Zy/DTYya5KQkNoPGKzcluYcH1ymh1/lcodkhyW2ftiHVRJuQI0avURey3JC9jVPClj0zKzy36GJ+
s4+G9ZJ3T5Kz+OBBzsDd0OEq73FJ1vWQ3+TBcl+VVrQpsphfD9PLDApMN2nxlDhkMXn0n1VnSOoK
NwGn2ygofpa4otoSSOeTCMdauzgHfDzPo/Ltc5zAVEm04RaQ1tR3FdjgGV/yUpzR6iQ7fORk8dQj
a0n24Q45lTdRwkU3TpcQCJn7M574zaWII0oXbuysQXRwcuKeZinKQLfwh/K0TrzbgatAiGAKSQ3N
RHDb5/0x7qz0DL2X7KOSfSYuhPSthRo42JQiDZubjY0udUd6K/OCkLC50Qq8k18nzt611biZVuRR
0Rq0t7j7oGEOJ8goP1RY1YfJ7AaFTU6VH+d/lgzgEi7839ovbJh161mUCx16lyTbAb5il3TlRRUC
laKGXRCS+XvCNW+9xB3sAn+rMkzKjKOrhyAM4fd8hZCWEmAFl2bQwRaJCnkXFvrPwHfBue5rfksP
Vk2p6iku3qhnsPUTgjOGROeABdilM/RzNmtDj8snDSDRNCnGV8agGPjgdsUaSALSnHrXB4YqLsdT
XtBQWbRFictK3EKnhFvZTHJCHHNZRfOZhGLnqiIiPCzIHxFRfbNRpd3g+bovZ2Ht5UAFl7tdfHCw
ugQ/XA1pivkMLFD265bOf9Jlwz0Qkb2Plf+nk7WzyyWSQQczcUa2r0ozc9noUVJH85kL6P1UDgdB
W/rgA5dgW99fXKXUpgwSJLRje5kCdTd18bD3muVWTE15360O/efqhEwO8JUOaMlv1KKnbTBh7wyT
HmaPvTik8HWv4cJHRVrla2uPYH7jmXm53d+uPXZD7Llc7Sd/vR+NZbjPh7MI+dZtDx1njSQI74W8
YMwhJ3Qxx8Qdjl7UuXS40G8YSEBDa+ldc4UTIhSQx6ME2ZVRzd+kIIjtBRdh7oCLWvJweZx9m6Iz
BrFKiOIF1cKwq8X6aAUA7D26MIDIGBLXkNySqBfVvWqx3E4LKHflhhpeyEAL6sn4XExv+SbobZfg
KQwiGsbDPiTfYk4ngGljBxheMHZfNJscbIj+XlbTc4JU8KXCmVkoXrfOyWOoNyDp9AjocyJtAIaF
ncA3b1dQ/glYPB29+mv+2wFtQl0I9cuwUP7eXB+b/vMfXB+zSugps+GoSENUES3L6CsCxoBX8it4
JTN3rw9eb7oQy1rfw2oZDbWlQaIZG65L7oKvsVYDd7l+/ffB0FBguisQ5nr3+jf7mPdZasgxVWgg
MrPhycSGLHP9HytgM7GhzhiPmpnXgaVJr0/netc2rBq8B1xAQNr8vemucJu/X4eGfZMBwbFycDkd
P955NYAcQ8oRhpljuT14Bf7s71+wDWNncKHt9Ia7c322mG+A8VzvXm9S88OGQHsmQ+8pcU6dK1dz
Y172mY9/aWg/4RUMBACoKyAB+earCDhQZChB1z+7PjQbhlCfiBdR5RUnKJDZpCjA/zNhHRjCAyBq
DIloMkyiDjhRAKTo+r8X5jfTGoIRWJceoFF4RRtZEZKHq8rufyw835b263//r1+fFUchBkOVfQz/
bsZxRCQR0/7/LTwGKvf/+B/+5d6J7H846G2NTByB4l/nTvCPQCDrDFBPR9hV/t254/3Dt7EihHh6
Iopk4+L4v84d+x/AQiK05sancPX7/Benzn/r3EH/+p8Uur4dkaONb8f1OODd0POM2vzfzDJLxSYe
bbY8d17xXYN9G1TqQ5e0NmMXETEV52/SXbKLtPpLn6098RisacLF/QW4jb7C4CQAs9wlOYCJVr5T
FpCjwiasyF4zjCZjW/5ZDJhiMYSK8H0wwAoBuWI0CIvQwCw8qBYohb3b1laXDIvIvdFmKZvdXQ3k
fpzLb65te08YeC5Wr89LO9fnLKFgDGqL6SU2jXMxyxfRQqNRQ0jCV3VwEyUviQpRdoLk8BER7b3R
agG+iYHUI4+OCJ1S64D7qZFsbMsy+J5Guf3QuNQ7JXVUmyfrvR862zwAIB63wnvq6uArDOD19On0
lVHmEBHvX7Jo0Cch+9fOgEbCEu+cF1cpuWMIcgUjj3Eefs6ZB9Kc3maaif32Z1CNtaNfC/DlrSfu
XDFWv70oMJmjx6RZlycd1/aJheMJv3THjLfg2ta4+SEGp+gME86LydQn0FSkwaqUFuHpDoYm6IuZ
yDddpDMmR+mNt/jZrWpDLpeQ0lhZL+stULKjKE8LHBfdGaCLf4wM4AVqwS4yyBcJ+wUhsntZDA4m
NGAYXLj3YqJs1TBjNOwYAUNmcWk7R0wzfYlE3oEzg3R73PQGPRMbCM18xdFMLEOZigQncnwGGvTz
yPBn56zPo4HZsE+lyHVvHF9yjGbhLVA914VAEhmxcjgwAWiF+ON59a0Xz8NtbalLziruEs9yH7wV
rCEPa6TvSm2FYJ/S32Lupq1y7bMwKB54JPcc83jw/Uwfs+bL4ultxoSRTaEr62Dn48/abJVx3qCM
RBPp1LFPZigGHZhHJ/oBBACeqjfEug7blUkUBCgfwChEoQZLNB4ZQv6S+NMBTHX0ih6AsIEPFQZD
NBggUcu+2jeIogmNwI2fgC2SwfRe26k+lmK4K5K1uYXzgDR0Hk4YTk9+yAV9dYMdyTeyaeLvzfIA
GCd5CvKjNwHvTRVMNN5gUHKJoWrlD9/y1ttFyS2DrRija/ukDIZpagAy5c4foWDzp9YY73z0Zxtl
xcC78FO1ITwDaHn1LZ84TWVk31aiJZUrUtAbh+w7Dnli6osACUNYBRe7+bB0D0Z8qn4mC0OJELPH
1lWk+4LYdKMQ2JQbQ+ho822SdTHvuuWnJytknIMzbyzfepgNtqqCX8UUZslT+1RJeztOGJRL5rXY
IqjIg2AGro2UpBUkNywkBWAWB5GVABooinEzLL1/9Idur8MSZ+4EWAtTEpSNMjlEefFjKJFuQeFK
NDgu9ENlxtycIVREPLSaObicZYE7S2fmyowMa5O5g2JwC97VWX0zSgYLk1bwSV2XVLKmfyrd9Y+I
gX2zwkmyifhxLRmB2F8ygIhCXjaRpi2ksAVvRV598LyJdi3CU9uABKgpjnYSSKgfIn5ffYK5EFgR
TscscMh+aqN3jHtr11cU1NMKUNtOXysO7ZtgGWCGlg1gooFYbWa6y+ZZNRCh1xiSsB9olBfPCamR
YV1nJ7ctH0SPzWb0g48pRWFQogTcxUFHQIWhaC3FyDprgLQ/lBAV6RkUGzRgdQV5T3SBNbIydnAS
cZNBwoqHIIJGmkMFQqAF83KM2QAvJINHnWnfqx9Un8WeC1W3qfIMdTqGcUYhbOtIHC2bFZ/98ukn
sDR1ERPrlSTM4RdsmYF6D8xQS2h+ym4IW1iV4ffqC5ZZeShqtZ4UPsnCbgFYNsslyuAVMI3+YCEP
eSIs7nEyL8CiB2tr4766iUkOTq/55DOSF9VEp7pyiexwfcJkrK81AgGU6RTRjrbV1pu/MG3DfjLr
/T7zkjeuuYjEssdVRdnWHhwTj7VcWMxwJtXVbzAFr5j6bp25Bx9N1R0k7gQ3c/reUZBbFObKVOil
qdVrivbUVO8RZXxn6vnVVPY4qApaL6p9bep+SQOwmE5Amp4gNN0BwPLpbTEdw2h6h950EbPpJ3rT
WeC0q+5t021gcPV3wnQgSUgv0tCUUDUPZJ10F8f0K9p0LrjTl0eQNtgvTF/DsPMymE4nNj2PNN0P
eI/hRpuOyDW9UWi6JEAN7iGlcRI0ULBzTtiTqq1teiuUqOAeU7DSkem8JlqwwPRiXtB22ymoUFs3
421mOrZRMjuMaOKk6eYs2jrb9HcsZNNdaHq+3nR/o+kDg2tHaHpDZbpE3/SLeNg5fOkgZ1rJjJay
Mr2lZ7rMxO0vgek7fdOBEsJ9CGhJV9ObujSprEeLWybQRAWZaplsycAi4VxHNRl3ldudNfhW0Zo+
o21ojx1ycfM54IpsAC5N+pTZIUgrVGgFcs3bcKiOEcgWkjjGfCdVSEj9mDF6twBS1+hDu7wdTn7K
BThjywaBiTeCZHOTuvJubIV7VC8WU6dj6nntzZIl3+KQuSVX+O4QxO3EXs4w7MeJSy5rUj9wLn5s
FGp57t+JdmLrywy2tdAD+/AAcJ6exqIhaWxWk3mWrJLNmCJiXmERhJqw0JBmkEFQNeBhCwtmMK7l
ZWTesZjBh29GIJ3uQg4gpzqneVydZVnm48vAADxMWveYrCgLNlPJng2/FkkMbQAqmEmFkceCIFXy
0x0W1lLu6cofvT56vScY1RISOm5C46Ep++lFh/F6luPCFrcJZ95lxK61bkB2J6ChTcXb7Mwc5D0v
UE3kNUpbj6mI4hA72oN99G1Wb9ebtRydnS+iX9iae4Dq04e1xgbgOiXN2a7Mb7sk3RsOV3Ou2Kmw
RbC2gSY8AUUq66os0pSiRc0uSraHoZdID6COeRgk6Q5RdU4ZgD7QI4m17Jxh+D1Qg9OBNTA3zJPU
9cwYC+vMpomhjbMdRQw0oRnx+ldVBfsYocE5sdRrXBgu4Fh2Z+lLrDts5vNmSQ7Xr5JWXlymoUSE
8UZcgDKdr/dcZf3r3vXL600F4NtrMzZnzqzO15v+P+4xW7VOGaOZKc5uU6kbnBvPyE9gKsVxgSI+
39bANDZ+XYDGzQMyR3wbUgn1K6Lw9vH6dFHsy0NakKphetLStJHXG28eEMf8/TpIUhrQOPiul7Vm
hibr84Rioj7G5mOvMwW0nl6Ga6uaTrkZB/RWx1+cFI9d7/aCl7fAswOvjPeb7Xx3kGGeJLDZM+4X
a9lc7+JHAK+zssS//lrx8YOP9zGAsxQ0t9cHHNE8roHNMNXVPxMDJ+b92fwTU3z98nqDmwnIrcsL
I+xqG4C6IAd+XjZuOEHAnUR79s3N9Uu1FF9223e7vw8VLXIJEY3UWWa0cH0t/OvLcn2tete/+JBA
9u63Wg3rOfWVOMcrNA655mD3Mze9vd705l4v/3Qj8IN0Jr6rsMnLLhJ6FCZZcOqJ88JyGByvPOO/
N5Gxo9lQZfdFtL5WFr7FNk2tczmb91zG57OzMLFZY3++3sgpRHAf9F+ljdUJxXO3HlIM5VfibmxG
L9ebK4r3n/dqAaXJXl2B6mb4OZghx/UmdGqOS0mEIIUjZ9/Yd5zqEQHIHT9pkI33MZ7YA5gosGDY
+J+jcF721z+czIfd6zQIwE4jpruOS8aSYCG7YRp9PScCc0Qo892u95xFtpiTzdfTkLyhdEz211/K
9Xdx/UVNZmwS1CEunBzbSXyd4QSkbmYO7Ffzrv0v799+nump+px8j/94Y4fMzSibT+7YGYO2eSNr
To2SzWzXHxUFgby+IFzH//VSXV+lSLdTeVPlY3qinfjnS3D9Ka8/rwCtdv77k3NsY/tV6amCytQi
jyfVwvtsSslCXdfiGA7Ok0NHHApAg76rDFsaOaG9ip+9Yfe4U7Abhny/LM2rVY/EPzCKxeqyajD/
wxekHCl7E587Lz8UUK1dKRGa1jUx7gWRn6imh+Lu743GvrAJnQy9EaoOAfQzWKPiRjVHG/E2aXz+
85Symx2ju87q7t0kflQBvZuVcqEX4zlhPXZjucFJ9OK5GZoXckK5YrJ7F6sL8Zbi3akKtov1nZ7u
8rr+cELnzUbmdFNaBZ3fnH2v7Lc8xdJcyvZHMtU/3DAm9tnjI+BU+b1K6/LYCP1kq43fdCzCdHXJ
EhJgKpuFajB54GvoPBXV+w3Vzn4Mh4zXyy/2STke5xijUhNO33L8G7dAAO8Gb5bHpExfWVqGW1Oo
2gJmmF1koZkTMlKzQcnKsD7gkdg4bAGxH39j60USYJHdyt8WcwL06OQvs8FCAgY3eJHTuRfirlQf
2n2SK0rcElhdapG0XRWX1Ne/aUhIsLese2tkbOcywYNhQbeOOoxJREVYYwyJLFF4RqQiJNN/qMvH
RRaf8ZIxvV1gTRGm/KsfKVasBTw8rvCL9DXWEsC1ft4+S3WKTKvnEuoGwaLh5RoeC1YevLM8As6r
koyz6m7E1kLVN93Z+i0OQ6Ixk+BuocgYlOIj4SA079U2pWbehm37KuGwOR5kNhvHz0YW2Wkdmmqr
N4MofgEn+dYH8t3sstaUffI4g+SPAv9FlcVZVvZzh3WM6YK3a9X6Ubj01Kx8iACb+ydBpmMeEAIB
jI9tX5m9IcDe6sl9XWIWuUlEVFrlfymcC9vRA0jlIlpZ+vERFOwubfar0LcDfks+8H96ky0VDVG6
bREfutq/oKra9T65Tv+HvTNbbhvJtugXoQIJJBLAK+dB1GRZtvyCkG0Z8zzj6+8CVFWyVd3luPf5
RnSjSIomQZBAZp6z99ptIIGhh4DZLSLqC72+TwucuuPBiJC1Zk34dTLi+8idKVCxuiTjLNGNsyvb
Gw6wZU9NOp5j2e4wVvqrTg7fsBdcB2n1carsD7Fwn1yFB9XgPJryyTrqJvjHonRukyLdZ3py3c/6
EOak+0q1n/M8vWcvV6Jz8R2ICG0dWV8UuAmmx7C7GXWiEzz2IM1nmnk4bTS+Br+/HRLJxBF9ChlL
CPzMTtm7kNQ4U3bj2pIW+ampexsO9edp9E625Y1zF/1z5QcemZExwS4KdbrjkHdMN2jVDHF3NkKM
Y1C+nqD1u1hkcoaCI8S3FzuvbRwdBLYEZfesGy0XP62lK4OGvJm4HKgWN6qdNKjRHOTR2ibA/0AU
A3NlLQnPCI4eagclhlP2ySaIUnpLeKDMqqt4e7tknhwSTtX157aux42DkmZEIoszqBnWVa/TWiOe
oI2yH0lphetOFZ+BFxXronO3uRAvSH3qDWaY64IpFuQ9OvIJPv11W7g2wjvaFDIYaYXej3GAeSvF
duNjj4sHakQpMbp6jEbctjXQ0qV2pRv+VaCT7edDR7xFpTyukWXsa8u+d9EFrfPO6Da2iUAngfwW
jeoHMwt/a7ao7zlHbcMXjBPgbsM71sXTFYa6q9wl21NT7Q+zJTrGJSmZl3xGwaLvp0p/wuGUb/Fx
n1vbmM3KGvGSKNNb87tMEJdP0TSQtNGTJV6QJ0Iz13QuVgHy0SPdGP0U6U8RFsmI1y70TCOFI/sI
PPC2zqjGprEJia6R4sQE9pFRo+YnRSFwzK5qv2epBsueGMl7N5q+wu3ILnCCAJPamrpuSKOGBwU4
XFu0GtaqajrcPp1/TAPKAg39c89zfkRRMmxZhlhr5C3okmzEMaklZqfI55qK9RWXtU2IAmNt+dUP
yh4juk4SMGRcHHTP+1ByDTplbvkjSPp1Y3oMn2n1ElBFAd3zw4nGfKNlV44OUtOXyV0YkI8KV5Kg
91Qn7Iq86RJinKSAwIVslzK9V2Hzue2cF4Z00sMHgM+uJU8iJWw2+h5basRE1fZXqmdsjJiTtdKE
pufUVK92UU2DKWFI40Sq1VaLBwpehEXiq6uwfWj+KSVzxnFvRdeGG0vjKsOsNlyZem9wGYSzXk7a
V5u2+aYYHXOtoyI1qvC+iq30WmVw+1WqvHXb9jYSopVI7NuEhTWy+wKqruzJQZbbqr2gryQGSX6p
BsQJVtf2+zy1Dvr0AlYWzacAhJGn/QoYK6Jldi1viCYyqJ+jMmpPZR485XpJoGezcUu8dh2wdHOq
xzvEUtg30nDamoNPDnBIqJU0b6Ct4w8pbT6wQSsfR8SuM9R9Hc16IdThh9I6mGbZX2mKbB/Xumis
wjZKImDL5EMWA8PLotimWMoFzW+7W68z6fSRsBzS5zfS4Xr0O3kx+VVDqd9PUT9eSRMFoDYa7S44
xWlSbYY6AV9K4AaEHByuCSKnKfc/YQVPGzwNFLwB6bYrjGn3Pj99EhgAWu8su/8Wm/FD3l7qzMEn
Sydhk7RgurvWYM3ktmsoiVTgFMhxpwGkrYW3Y7fHSaafKJPhENHRBoJ4cTdhpe5CwIHBLOFJ5KeY
+vYKBnt+WjZ2R3pKnHkHkRUPkgtbv+mRH6+g61DxojhUtERMUQsGx1J52zGMGfz9H+ngIb3qpb63
PWKma6LsuRgO4NCTC8PcOg5a9xoGI47FIfsQdV/D5uwZJVpjpkQru/Asco/MjxVeHrsYSSez42fX
66A+2phFx6R7msTwlXkTqVvJFzSIRMckzp0XoUXqmLdU4Z2ZsD+13X8fAtIjfIzIqSO3qQ0S1ZPP
ljUWpwa5HQvl46SzvAqb5KWV9n1eou1tatJfzehrYcivWKsYVxvgooNkqdnyq3Mc7WKEs8Q593Bz
tyRC8p1wGY6zlAIBs3cN/axIApRz5Lb2I/4zSqb3Zgn0CR0ZdnhwnMI9eirvwW1GJUG9cympTx8r
YeTb1kYKmjTmUZkIMhOrPY8DJOZAyRtbBAR1OxHy2tSFKxvmxU1DbLweV8Q0duTR2x1xuUMVl1cI
dYlcSmdHGM6a0HrOug5MhP6tLBqSBPke0yIwdq0SMJR197nH6YZdgVnbmqrTtOYUxykxF8xbJG52
ed1PFC3cKn9AFokWUBvbdSDM+tSMCXkbBULI03JfL/2GUhNLr8el51stdYSl6bvcf9uERcDlwuJK
r2X2aRhFsQ8EsRA5hf/NOL+CpvMG4bJmc/i9BWF0quY3yobsjp7IsGPC07w+tDy+bDog5Gtv7sAv
vf1osIiLW/r6enSJpvTJoZSxJVaiPTn4zXnjtjtlTQYSN3MmZMAhUSN2HvtUBHwfchZdh1M/b9iB
q0n4hOHNj+vqCfrYeETY15/Mduip5DARnEZLbHo/r05DWbc03OiMLHdt1bi47As1F8vKUzgXOQK9
TItDwXQGh0t0pN1VAxeZ+o09l0eseUPl5udN0ugkBxiTIKudhf1CQBnAeqEpYKYWJg9Wb1Q7lEto
UeYNGO/hhOqPj6W0wxvHJZhhLgvR5e2xXO9vmx5gS2ULivLzCtz3xu4E9hyzynL/7cGsCja5lQiy
Zvv2lID5rmJVHDSLxdE0FOAeIJ32m8oCUgUIrjmhbGtOZeYYaB8iMsthshvblu4WBPfisKBeCljs
p+UWFsY/b83PKA1nVqogzKtRZKya4BZgUHSymnbOJyVj5qQbgo+oKrlmwmacUmUYp2K+1UV4CGw6
n13tQC+Oe0nEC565nU380fJY5HPlXG6JAZuz3hKpVmftC4aEYZtZJbMJ4BUn6XXiGJdflzvLw7LJ
mmPMN9bomX5aNtXft97dZcJbE6kAxGrZPy0fTH63G1HzgfU56mnZLA+PTePharlr6wm7HsuEeF8k
GL1kwN1k3tllj2MmCWtbmWJdzPsox0mc1LxZ7i4bVeJTKqv7uGAkTqFin+DjLO//007MB0k5c/LN
OO/H8peRH0LoMWUOeiABnvOA0/jG7RDrLpI9C+V7qX9KfRYriOMTRMF40qKBhdc4420GqLSYG82q
kNdT6grm9JS0tY5qdu01eOjIsR6c6Dkekq/MgYjqGvFxGZh4RR6+WFb2MW/4lcQjYQO5wEIQ6y2d
nhZPUszhGlA+Ms1nLaHRPOzCOt0KChU7E9Zdw4oGLzs+wo6Xq4gp/QGmnPXmfvJI6EGETYYchmB8
UFUoPuaie9ESPoHqHBITI5KbRxtjLDNF4rPtkw9yjIuq/kEDurIqFVnn/y8aYeXYjL8TjShhwPn6
76KR83MGXuUX2cjrP/lLNiL/gJRJlo3uWMhc4f39LR0RuvGHbkkDDQh0VyktRBt/QV/1P4C26boN
EhbUG0i+v6UjpvrDdYE2OhRPFMxYKf5X0Fdd/6d0xMW07JhCWaZjKPUOuUV7BrmqP6iz8DwcRQkZ
rrLVr+ym54LMBcnXQ7XPxmIvxrbszuFcFZc1tM3VcvFvbWd23qCEJ/ciOS6PQYuhgzCPCt08hLzd
RZWx7poKd9b8x8z7EnqyAFJBIU/MFenlljnfAp4CE6Y8vD389rflMTjd1Dze/tzkNRcgMz5XtgG3
MGAytwulv7WQpGPBeIISIXZYJzqUq8eJBdUp1mkVmKpK104d8FotdN9TZnThBMgeJSMC3kPl6om+
TvWHzB+Gg5Dapg80SBwG8Cyl1I+uacu9LbpAXpElcnDaCpREijp32dTenPPlJJ9Y5sjVaA6cpTrH
+1j4AJrmY+RlOw2g5X6Bgy1DKO/3Jyvs7e5Ac2WqWRnU03BjJ360sgIIL8nUXpZpiqi9U6FQgCyj
6LJJLFalGQ37lZRktHi2taIX4q7fdG+v+r7lPs2Z4pDwmYE90CTqMA+97caya9MMM1tuLRv2o9nV
en+HHDs/lXOF/m2zPNbgSRto6x2yqIT9TdvJmrs6EVVMBcLv6IB4SQBWaLSNTWdOR1zG02Wj0yMW
edQdBrpZkLwKHCkNqA2QSHNgxnDKBys8TTr8v2pgYUnZmSrDiAzz5HmQb+GZiU1LFtKWRBNqjlYX
7x1aOMsMICQqip5JfhhufHB2JxrgJC4IUkqh/dhIN1BU6HVXMiudTmFJtEca2ivY6ehQCmMeUVwy
e+f2US8QJRSlIAjMuYrmNoeHq+t1Y7SpftAdnPDzQyBWnZ3TBpeIOjL1y7l9smw8xOCvt/KRfDWR
3NN/+GSP9OVmP1s4BdRnS6Gco6kAa7Q7J/BCfPf8Mt0IVtcsI4xUMr5OQ/vCJdAll7g65wlp4EB1
aQz3h1umJvMqOmjpNA+8r88uUh/z//JMWb8M9RO2trDWTUT+0uPotneSQtdOwKDc4qr/ptXmyCwP
Xkku7Hb1StmbAxrbdBo3RYEKJS2iYpN6Vb8K5sOhRodzqZxXasthsGJBqHdR3L/77Nncw/RZAKDO
r+A79axFcNNwEZg3y63l3LTSntL3cpPGIDOgzDq0NkgHWgIy1L5XXRnstJS+Mjh2Azcyy24XW0jg
uoRbDKyqRj3bToRk4Fci8TfokPGoNqA52hYPaohw2XS2OtlV9zHREHbGrYsfOiv3UAAPVT7sBsNL
D4sFpZ+7JCrZ13qpjotIlQSogklhh23Q8HNj7Yw47PiRG+t+RuM7WZmzAx6Ql5ZSVRgF1aYEw3Cw
aW1Vc08Q5qVGGidXCiQ21akAq0IV239e1KjLksGo3GSnDf5XEiNQQHTutE0a4ny60DnEXchSy0K7
oXU1wfbJsBdzQ9KcN8skfrm1POb0uCdipLTL2e/Mkt9XTS8re7RTCldjUHQUUdA38ptg8lrCOsAf
Jjua52W0et2lOBkOZQf852/NLHBH2GYaqosueRbzWmNZcNBl6E7xKobAMa2zos4PNrHo1pTxdS6/
hdebcu5nt6o7uHNLUcT5FzcLTdiCXnOK3dtx9A1qzBM1KNQlctNYE0692B2YaHbXmOY0rAW0moka
3FCPu3UF/pflUEoyD0aJUTCc/NVo+R+VcTel2jbM6Wo0FBw3eBKp1Px96UVbdR6kmuk6XPecgJW1
R+d+ZVdhdtBFoe1jv7+DbL2CspStZFFcwlzU6yJsMaJ4YYyLyR6pp+YkX02hv6FihOI9qq5oxaB1
9MKWRSPa7uWWGYkRf0BzgFRSoDfk64AWVLHqQpm83PWM9jtxQe02CDCrjPNbkVPFZc82X8bYFNs8
JEOoD/T4XOxy6h0I/Bl4oU0yZ1xuLht7fvD1lkEyugdla1X5OQZN1nyrYAzp4kkmuj617CPRY+l5
0pP0PAqwky2xPVvI1JT8G8KDiLvzV9nIZWYo2+jopXQV0BlAE/GCCPrmeqLcfcIE7J58fkU7Gaf3
WU3AQWOyTnKcO1rxh2pKDNLsWHSZUZ0fbTonrjGPBctjKGawQiFqX+HiGU6ULce90K2jnenDySo7
wDgNZ/zecwtaMb19DFVygVQxYGceplOrdaseTw4jvvRQspL24ZmWvyWh7OgYSAw96e9LnnWm89Sd
Xdyg5bAlQ2lDoBJMOmrlxDHP31Ra6X9+U8vdgInQ3rRhW7rrtKFwVvvt/TDOV2J53YSdf2hLGbAq
R5hwog6elJwHyyZzimhnFtljK2OiWedpTzJPdpZNNt9yijTCJUPx29Nnw/38GAK6OQO4SZOXauhv
UrvorwyM1Gs8ouvYgF1UV+I+ynsDW3L3bNAhq4iHWBUJ9gI/f4YRUexnhvG611qcECO4V0kbcrQ/
pFAr9tQy9E092idCMbbe0D8mVoCxTbWwa/tPY5wAEmwXLWBH3iQCOASdBHlxfQlMrCtW+Yn0oIfY
GwA9avW0n1WnVlJsa+rhPScjpYbw0pD2szfA/7Q0CvYJ+OC1FbqPqQivmn4aD8oknW40f6DOuM5H
2jStZ2yHzsln6eX0WLm4ubCA7swJeZZdlY+qI7Y8TB5tor9wVm0xGWp4VoE7WVEAKn+yr+tYv9LD
vNuFfvDFzulzTREYFOZPsy9pxqOmh8iesK8MOks4pzwkJV3qxIbJgqt+k9f5PA48FzlBeRq4hGOT
G9gGAeMchrgxbstAfQTweuKdbby6N15Ihc1q5tEHuxZ8JrXKvEFfOxINJNPVdmvHxDmhUiU4RKYP
oQFdtwjxfg7TIB5rxiSn039QwYV/mWjfGt0kFBZwFI2/OZlbjcgFmf0N6rvo+C+S5QdBSXZFgQG2
ZUHzJ+tQOk9MMtxhUtt0Crd53ux9YsJKR/hgM45eVM3rcxosoZ5+GWrz8zj24g58LpmhBqgQfErK
SHzqeV9K4J9nuD9Hdwx7rmlgT9HI3xgAko6yHzm8rvfs5NZJ4uOkYRMRepaGyca8pQcd3cdhWq8M
M0G6l9pHEyo4VnC92Q5AsQgYgLkVXQZFoxWRcbHTLAttVeN/NEoCoPkRAADO6HI05MEzqu4yCdsn
z5S5SwaJNZkQ2zDInjp6WmEYMeRFwTazMRZWNilZKXQwCFPdF6dtJJ56/bG3Zv2Duu9p1Bxk7jwR
4teyiJHXWeCaq/qijBkbadJwtoe8v7RIKDMkXZR3xUo3nYYEavcpcfoLKYkQcx9a/y5WKHdUg8Je
7+jFBBXE0zH4KGkyEFyrHyAuYakN89vGpPCTxzQVZc/TBzjH+PzqLzb/7xGfrUfYPAXAJuR+H1E8
FJtiiq4aIokRJ5FAV6AwJyFpOuRGdzf6AVLDkS5tZVirwXK/1z5mNU8imZC5TVhE52EshzS6yfvD
4KmbLspdzuIW/WlK4BIEmlVj01wsWsJ6AVuCMrT2yZiDS/YgLgTICHxgphEizD7tPtDm+K5pIBYx
sq90oF8mUcHghT5BkfnqBy273VOGocsyZ6jh3jdsYCM2Lkq7a58E6PqvolHPXQnemOUyer32c+VS
0lU2NZYmQy7hW/aG8l0A5uIoUMiDsBgICSoVayaY8umpG6JoJxk2WGJZxOkBHecJb5vlSW93s+Vf
LvK45cF3f/4/PgYR8+JqRTj3rxqT2ZE/r2rMecQVwyxlW+4vm3D+y9vd3oz/+rNizrhDY32pvIxM
7YnJ3nKrUXpx9HXqPrS5cT07u+XhZZPOz3p76ttjyy2larxa//XPby8T5dafbzZ+iDum3W8vpGuW
fxwDqIbzXr098ac3eHsdbPq8IVqpmNXx3x8gZ+a895IGpjaN4AkDWjSPcaS3ZafWq9HSV4RmQE5g
tb08uGzenvP2WD7Oq/u3+++eY3fkUxCm9pQouBFvT3v3esgMmWG++7fBvEtvj2VtEU3r12f+xz1r
XRPZG8b+P5+0/NPE0Ztd3Ed3hazMaZv39q2gH7zLBNXyrmZp/7ZR86xruVuOeFl7D8EtngLmWl0x
l1He/v56/z//Tf79KsvzyXeiPznkrGVhSTAnZ++Uvgo7nf7AshRO6P31N8vNSdosKmasz+K4W6xq
y623zTtnoI6IPuFienh7xnIr0wDtq3ro8Uag2Xr76/Lv/9NjnDEhlde/n/32HJJ37ooin3Y6EcSn
IO3YVNkLYWzjti0055XP//++t9+VMJkyU1n87yVMtARhHT5nv5rfXv/VX9FVzh+UGn+Kp4Lb/1d0
lfxDBwDB/1yhk4Zp4I37s4ppmn9A1YA7pxzscS5XtL+rmAYv6EpHxzIHvFU33f9lFfNdboAQwpT4
KHDoWULaljEXOX/yv4Vj1bc55aAjEKV6Ewa1u3eq8aGccAdRhVgrQ2nbLIjd/ViheRjSuacJtpOf
uR6U0yWIjd1oM+11FaItYY37rLwMTWvdVV76UUTJxqVKscmlQ6xd0syqBMfBMQdePhvQCgpW/QQv
lW3OSsGonhJZEiMO4GuNahw6U4Ukr/rk3NRBGe/tqqbhTHRVkX9OFMwKSGcdWAFxjDoIAXhdAOF5
9tXk9i0zQ7lmVVBv4hINl9Pqewh+kLAqdqJMn8tEtgclq4eqrBsWc3zWXKeB10mmceBvmfrBiS3p
j4pMa18amgTH1qfaRzbR1mY5kBQaws8UmRk6vucCw/u6KkZWdWO6G2fv4DiUw1k4IKHyU+E6/U01
1qyBczz4qNm2sO0OEQlItfMUCHAiLgQecFGK7ODcMEl6oaVCVxX6pDBh2nYBKkZV7VLR2essJCXX
15wJvJ6HnsZmDQU8d4wt8zepKe8iTCx+IFIqQ1Jup/9m/COcA/he1eVdUZAp6j7gC8F0PW8Sp87W
lqKV7eORw3bW3ugtOyVR6U8hYTfLwfzp7PoPATW/5tO87gold5MoE7jZQp/TiH76rRqa0AdcwdS9
tcpchUX2RHNMQlvT2lvfSD9qbvYSyuR3R+BdnX8+ArZpCBJcHMsVNA9+fduJFjrmewVRSguv9JLK
Bz9sD4VdMJcJG6PaE/AJ/LSnRlLMRR6txmOBU48OsqOOZT49/vtxmBspP8XKLAcC0Jmt03ng+qHr
c9jLTwci0o26T7M6OQJYMDEOaPDUXDpqY99AlszNldZWLBRkorYkFwPzTybUazF2hwn5CG7Ytd+7
L90A90OpSezdPNkvL6W8eDuYhgFYLPrw7zttvkugWQ6jJSm5SgHsgniOX3fa5wxg3Rix02417cJ6
PDSRM26bTrNXrNLERrctApH68kkJUtlLn/Mw9Jgp4tzN4bJ8L9WY7YlXIidNy+9UCl0jLAGykMU6
GCMwiY1HUWudlNHXBtf8KjHq+ETXot4M2vgVJfc1qUUcCCP8PmiU4T0LV5kVGPeGUzbbNnEffvOJ
fw2HWr4m/H58UoL8iOhactd++poGCERBGus4bBs8wRqWPPiz6d7vPwbOZJAURRRNBk8cPQb8Tznp
cA6FR3dChauC8LRdAZKg6roUfxkaQp34qrA1UZ/htzQG96EjkZwm/DWetG6rCi4CLuhMgMnes1sI
mL4tXBRqxzrWz/a5zIfpUGmoGXOKuaVnr0MfkHjn/e58YXB69+u0dN2xCSSzKdZh0v71i05EbbM+
NKNjU7kPudv2HPLppvKSr9gv2335I0MElxmQmIZ6rPECWdW22tq1P4FEpmdOR60BGbuGFiuvf/OV
/Kd9m0PDDAwnDnXhdz27qnQTs6lUdCzHg17F9mlK8s+5UzEk1OoBnyq2sZl6Pg8HWHDBNBVQTnxi
eM0EzE7fbbVmPs1b40vNSk0SeQBDURGgwKjSdiWRvA0LMzFVP6yZw5oZD5OLiSc7O451W8KgP2jA
ALc5tYSNk6S3dQSdU/ND5MlFegqj8EsoPfW7zLR/XsIsWqJCuIKMJZuQpV+/ktiPgJCrIjpOii4N
yoxbWU8ucr4Ga/WEurM0NzJr9n1jnl2PO9NYhZDsg/uIpB84rHBH//2beD+uSARgOgHjQmcqY7GQ
fbdLtB2opQdueAw8kufxbdzoSKD2FQEpGSygY9A48cEHU2W4jrVp7Oo6tHttXafid3syX3jeQrpw
TbEnlpgTshxbR2737vcapY3SKo3TtCHG25Lf62DQjilCDMCtfb/GMbWKx8A/TRjXwSkBYQmKA801
nPg9qm+zsT8S4+7BA5zUzjKsbY4279+Pljn/Lv+xj7StwWIsV5N5GvfTpYQw3LpS+cClpLauXeRl
tHjijXTzR9Dw9Rez3Ey+np5tHMeHIvhqd1T4EQrp11YIwdSV35GxAG0vEIy6sL2EAtgMcC5y0luD
eOaNFxK5kEOE2jpTSmGX+Ie2Jc0kH40aYzmzPQdDh2YXvz3674aF+egL12FMFwoKBOFzv36ybhRx
WEL+O+qSamBJBRFl9niGbTtjinAtms3AacSiuUHrTuI1PkTPHFPSVnKNcgnSrQyOQqT95pyx3s02
5h0zGGWVMh3a+7rz7gfa+arLJw8+Qh+5e7sZQYRHOfxybXywSHdfD6wS12E83c8hgPMBDABHhuiX
K7pdbcokFDV6ZWcWocceCG9stXlh2kdpjOIwJfVuysRa2X1yo3dpuUON6W/oR4mVo6kDlo/2wRx0
4PBTpD3naXG0zI7gpbH5PgD+3spJtGvk9GgOjFWfW+ldi0x2N+Z4NZscbFJpIBR38766Cpzmu9ch
Go3b9jozYnGTdXyPTYwMtmie8WxdBuPEoQYbFiQH2JkUtnx3r8VTtGlyRfl/7rZ67Mjdv/+s/5Fa
xjEGwcHyyCbAlyyKd18+01WvR56tHSTTj0OPTY5cUXTvEx88wcJ9axLv7blIjB2vy4BKOsluSslM
VcR+5MI39iRymdg/CXmBJrKxgjTCWqJvxi4vjlWeveSmLHdK+p+8xK0PnM/O2neRMxtMM0Gr9yHZ
itJfe8AId6Ve3GBckk+F92BDImTldIUCLtlVk/s58gMFHsBAHE0ay3HszPw01ZJpB84ocPB0POL5
+jCce0o7Rdv/6GsbpWlvzfV3ag2goPVVj4vI4Fx+DurxZsLKhFuW9YKJh9WvXf/QxGZJWSZo1r5X
BQezbA4CrtyqoD+66RP3i+Vrxh342Rv2uIENjFlEy6OTnAZaIMgU/v0LEu/GS04ChwItWessUPHh
vf+CdDdDHpJwlFBiQR3I6psYLscBCJO7GvFkR1ZDDYeGCxlgTGSG7EGR/AYUIb8LLGESkmBcYi0n
qCyW9YpA+Gb7mz18N8la9pBxnPmG4bB9vygINSLNPa0OX+fCZd99SMFPbnOdsZ0cXviQuMhwEOx6
j4oJrl6im8r8yxgyTbZpw0EE8fF626SwTSzAfrN31AveXbcd3bYdg6UDOHfXefcDH53aquUQ8Sur
DLkPQ3zyftt/SSI73nkGaTvF0I9nTTbjOUtDc21Fh3SKDNog86AXlP7m33fIfF3R/zqUOCa6JcwO
LKXYtXfz8KQqNKPDSkW6TWKghK7j+xS4+0Y4kOQy7TN/2jVBmF1BmIHjVry4iVE8m/mTiHrwu6ZZ
fWsJD9S0ID30WGbOMn9hOtOePbuHL+SpZBeE5i1+joHYitLZWVwWMfZzVnRiMnFWP/otjtuOsIsO
48ptZYcsqTirj3yVl2iov+dFHl0oUJIV1mDtN3LOc7+jfcWR3AU+gFegnuYetd7XKgqCq8EqDfQb
FRyHiFmw5Sr6ovZtywzjFLjsZ1dtxlo633R61TTlJb1paQ5QmzP/3JLiRt5oXu8siYEn0v17V03O
MQ8Y/FNMGiu0C+GpgEJLbMY07IOu/sHXXa/LqINcNjrfEUJiR0xAknQgXRsHK3ZGJM5BN2GkzfFQ
uQ/91A5k9GA4Txzs4GISvObp0iMOAMOh30D7UyygGeQccaWKBlVm4vfY2JIdTiJ5dGEQh1j9AbIb
RXVmQP2ChnG6MwdrJW1KEtZEkyjtA6KZ58qFP0bhXuTJky204RziIFj14ZynmXoZcmH5lGbSYq5H
admFaB5r6jINznBOHXyxJaMv1lfShXL8q0BDvGCfV576PBn7mC5kFXTjsUmNH2QMG/dtEj3b09hT
Bxq1vVPLkT7bPIYoZ696U24+cxG8ToXmXkREGFffeNfJ3Gmj54ZibOj5JgkINNzIOAAOKjZV4KHf
tt1+i8+GCLdJC24LIy1x2eC6NqSgndIa+8bgrJ6yFlWaRD5jQgDCOmU/+nD9gfVl13U/0OFSJjQg
fajxRKgnp6E5BuY5P81Wio3qnW+BpM0GACe+YtJPBEiZVFheh+qBZTPO2za2+Ze0jIRGX8Gjfr6G
zNkcVdV/72nS7AkIEWvHKipm0KNPQlxxQ/HiIi2yXkK7PptDjI947D/KabYRzue0mtpNV4pmVbNq
3naGbW2SQp2lCwKFTii61treG7K6ECIcXGKQq4CVISzDe9oI0cRr31KsixG6HFQo7wyzm/EnA/PU
lhy2KW9J6h5C4kg8MoiGtLyd2vktlH1lJ7l+p5eCqG+WjY2xfZ10V5lHcHKL81VAf3IAPq7iTOxZ
4hjHHLsfhXJBEspE5a2ymCParbGtbBNevxc7qAWTT57I7G1dE3IRd254mySNBRaa4ct0HnMAcXeV
AHzYxthcvFzviPIexSOW/XEVGB8NzR8ejRp9iqzp4BpMmMgKCGjLd76xy1W9jz3fu2q1kPWYo3aJ
iRojHj502aguzIGKKIUyq1nTXg3yBsiCf9HTb53eg7iRngV6BSi+Pe90WLs3uJQgROekQ9e2YArG
KnkXmxOAl8AvNy4Zj1yV9+UMFjXGbwqo51iW4hIT9EymYZ6uK0lzVSNf5ErPYI0WrfBJCOseZGoc
gjyKrrrBlFuK80vW36GpHWQISr/qxHDxVN9sDWQyd9rQbsT8wSFI93vROdVWRu3w6BQN4TTR9DEW
xhXzR9gZaVbdOAY7F/uh9wkUxaM26cCsNVdcJqdExq0TsYyleZ/2k/k4W7wwIgTduTNZ5TIahgGO
ZE6rXVFb2ZUywaHYYSw/ZYZPZo4ZZefRgM2aa7X+BC8eLGmsbmt3krABUZXUcz6JkPUhjFW9FcLo
12JwvhFDQJqfLzUORqOvKfrcV75wPyhNznjLyDgLK/pSJA0tdk5XppLXox1umWiw9C+nz7Li0lPS
KE4SQWnCeyF6NGId4H438rLelZYJxhLWI0RfPJZJ6gK5xsXm2EOAQ4yGKlTUAxwisclGCVI0O1h2
8JD2Q3Wj07zfyNDMWI+bxT7uL7Z3w1eZHFGIfbXdwaJAKYpj0nId6rTOvKZM8lkwkUmtpj71QUia
epacE7JapqS8swLOwbwytY3pWgPX+rpbV1FdQyQYCFZA1lL1z1kuH6EsZ5cYYcwG/kO5KyQasjha
0f8dr5dXHWqbtJzQ8bbx0CMNc8xgJ8UXOVRcq3oCt4JE3xsj9viOSJvLVBtH0ySEpDEBoBqKzq7h
npI55UHvaEEDcMl2RXCe4N/elaOTr5zaPE3CE3u0DR+qVEW7xDehE7kVUgoRDZspV/fFWImbgHK4
3dJ+pkuRnPoJrWloVlDX3Fw/+EgfEDn2W61PmH4rFxm/Ss6039atRdHVA5m6brNyvPR59TGBX+Th
zvyctM9NSvGGFQskEye+HgLQuVHFFxzOhMuUPFRqUNWO60WPPzoK5y72TV5ZV5lS0VWP/5jpWm/s
PFPyMnHAqMYgWP4PV+e1HLeudd0nQhUYQd52zsrBvmFZls2cCaan/wfbX9U5/7nYXVtSW6GbBBbW
mnNMcqxeor+UkcZZ+NPWl3VDLjHJWEXuXVoylQxLHey6REIyZ0e8KJ+zr4xLpGSJJe0ENwj1SU4J
aPns0Qg+lwgy3REQg/TLe/XJoHL8CXqlaPHDxmy3UroOak0PnF03qm1foaKwct2cyWFauzF+9iAi
VgmFt3UwWsHAP1XGDuD2Wzr630pHxdW3IwTNNLl0Uuk1XjKYKoSbkqHV7AUeM4lZjlO443KOgSVP
wMEDDDB/7yNoyfu/bYdtN53Fc2Y3EXAsZij4futNtmTVqB5eceuYq3yck7VK5qOd+eUeji/CBLzh
QFRLdN5yqI5+0rx78fBzEB9j7uIVjl1axNO6JnPqJV0GHqzjR+4CD2UMlaHTBG/VsG4MvKpKHVqL
55qhbVzIz/O8+CXWtBm55Vo23RjBCYAkxjozWqlq76bdL7RDp5GdeJzyB0H/e8XJj7ZTsyMrpd5N
XuHShWZA0rrv4UDSVE3kJD2z4EnVoAxzxHVuJ8Q6GBllT2O40111sxTopobaaUcs5TqxnRdK6o0Z
u8NF4xMOY1LXpn5G6aezr2kbFPqrgn+47mnGTK31I1QVZ/YgO3h2+trQGllh/P7Ug42ynW3gOICT
WPUgYiiJCwQ0E65yUgeNjYkyXsIERBhFJOyMt3JGG9dMBVmGKTw5pgK4SU0ZQ5vYyhE/ay8BYHwM
fZWyn6bxpgIkvwxyX4f509QdfFNSYDa2VfYrI8WtOyrSB4Z6+obWPNK+RaRkV+/J0ABKHNtgG4hk
JzzKiUB3uykt4SjIH3Fk7eq0JYeuafdJ7LC+B4QzDATxReaIvojwkHkQn3bHnN+diFBmSBfWIG9a
jtsZKYEo9ldRmmYbXZjgoKz2LeIAR1kB7oayve9FuQmj6stwrbOCSA6+aQZRTUXSF7TsEncPyoKg
pTrKt03iL3K7c1MyuJvxsyajeIDR4c9gwAViGPi2iAFUzcuuSQgc8+BxIJemI2lpnXQEHKczGPuE
zv+K3euBxOERduUEh2bk4KQjdSGeC5VjZf6Ch3WtlziILi0B7WW/zWI6++EFyj7K/QnqjkHQJvrk
9Eamdsd23ch1FHwhpn12Vf5Suc3B7au3jn4DsjCaHLXPId0ubk2KtqBAgO6HLHwg/upVkHG7DHXy
G9naJsdeO8/6LerKeEUv0diAj+BoQtaku4hnf7YE5Dzlnn+IWAo2bgqlPlm6gRKj/b6popeqwdY0
BQ5iGIuX16lHsZnm5ifFEVs22YPI1/03l+hTwzEK8qQRgNwZQv3isfAK4AdxDqn9/uH9C/en3D/8
93DXjSiapyh3FwnJEPTbziP1e/lW7l3XcX+iz/jw/55z/3iqiSxmFTrfP/r3RMS0OLNHefn34X/9
qOVbD6kXolKPAhzESEZ1OST7qs55K/7/72x2lTlv//vbToQY0IjHq7z8Vfff8/5///7lvx/2X98l
9E3SfRKSwe4ek/uvIZ1YUsgTJP+ff/4/v99/fcv/ec7/vHD/+9L8+z7Lnxjq4s1vaUZN4TV0OK7b
ncyPTtv2D0yFEfyjDhjU+MuHx0KtqvejAKhP8PR8Eo3S+6mns08UCCALVrS7HX8dGv3waHkU+Ek+
fOYRhvE0/tWnBYwV2qBt5aAM6naNncK06aJ3YrGIkky1t5UduLoY++3WGPuPMCr8q8qzTS2HAKRh
VLC1wWCK8zqHt1+1K7KaH+WcIhcORH5sgggpcFWQOm2tXFiyrpeTJecfR9dLCeLgCMYBJNrilCBq
x5R/SWwPnxP51QwIuM0UqXzR4B0l8G7cece5oD4X4/wLlcpTOhI+M/RrQyKldONyXdPt21ikSG3g
KZC0nQzHzCinFQiMc9JYT820zCFwYay98dJFEYE1mTyU/azWEHU5ShFfu3dVs49s9zXgWrnKaVyj
eSu30LSivScetalrWiTFprCAFA2VYkBuHUJHgIPcNpzY1mFpBxiZFfTwgBcNyCXTTQ0Azs4eM/kS
0+reNLP67WGtR5Tmr60Wna07HF0unZUyvzNqNhPPgdtFww4FX70lwBpCetBdEU5Ya2XCvx8J8bnS
mKDu6YEp5OKWj7X/ILxjnQ9X+hq/pNHvS0mUYeqNq7zlHBQN2HkUWRlW4F0iP9/FDa+e5U8/KsN/
dJgm7ZvEoJObi10/dBpHULP4HxJUqV36VFkYMyGkKiSK06O9RK7a6E4js9z1bnMjECsjMhrkfmN9
mD2KZgCh0alW6ZINTDsd0fil4UT94GFRD+ubkkF8sSfLWRlc9aux9Op9kNvjKQQ+MM4TunQFPIoF
dBdXZCZYk3yDrAC3bBbkluXl4vVgkuNiDU6zaWXQe8AsAgKmqdaIb5vj4uGxIiaZk19sFEg2AtfZ
AzGBE/0iBe6gpV50hdvDUDCQfptlgM8hjA+VEX+nS7pZDk0qgJe6H1HdHlBFerfIStdAYzibJwuE
VcUBHtfqkT+tveaLqpm58k0kkoaG+tNmCFxEMHAtxxrzsuPog46SLbEVBGCY5AqhxsTFfzTi8UwM
XbHx6jB5UeO3LVt55B9FSMHydJNr+Pil+7Pv6wHT3FcyvzTznJFLA7s0ttrr5MFzIQF8DkH32Ob8
y7GpJIt4eMiK4DUN7W+mSHajMNup6Zg64gRekF8yz4JDrzyxjmyUX1WIY5UIa2uNh6rastl9joR0
7D2L3M6ucAO6RvWDlcAbpHMErDVNL5ButlHDREA6io0YpehqqpszWXOEGsxfnqR1Rr6BBZgdzGBa
7GCsfZgt2YBjRiOJMd1r26ZPy3hg0sPIru3GRF60r2kbXhznS1pAd+jyPDYzupYoD0lgtQpwBlNh
r6Qcu20c9g9NRhB5ZoJn8mRlHOra+VloxaJhkwdmOPjuVYxmxBxyvbWq7tNIo3OnjHGvrflbJmhi
8+nFrIZ9/FeTG4jm1z312m8RvRp/uQAHjEEZNURivxtqILhGGfugs/OtFuRr+papYflMh8AyuQCR
okQZuDyLBj/H5GhVT4C9CjPLt9kXNcbYhfG5zOzT7JJCFnc+4A7OL6EJ2m3J1mLBQNePuj2N331p
rYg8rk4tXPB9nBhXpLr7fjZPpu3TRbX7ozPFryJeEloFPVVVA9b1hJ3vm2+HzGCC8ihCHRotRWKW
a5Fbaqvz/jWhbWHVyd9ceE9eB9K/C+xxDUZnGz+3eV3vsrrlHpmypzzNr5Njyi3DAksZ351lkWzV
dZc8rD/8iUSoJEQNoIf8tQIfBEIqIaJioAfuB52Lr69C+CiynSpn6hkAkI1NM8Hotq7BjyEgvHxE
sRZehbzFMnmvqpbphDX8CpBN4PNBiz3pidH1HL4nqf3HrKcAsDD17Ty7p6SgpGgzUz1bXbRT8GLG
Aa5graxLyx0QNeKrTVgfBvUpmoIDS2OW177DX+A478rQBE+RnCQJVjVJFwNPdQxb8SjrGGySgTWU
WLXFn1BDf2B2FgWN3ovCe4/CMT7XMv/hUujVnTSB4ChK+IB22TC6r6APD0ZguSRwEJA416heEIWX
8RJL7RPrhuXw5pQJCdsJloasyzjQB78iG0lvakEJ0lkJhNX5CW+L+PYOA8Sk9jRFP3uji88YX/64
I8/VVgQoi0NiHEBIrxJ87Qt0w4u5MoHMTFvPLOoVgrzqkJsg/ThvePEkd4Nuix1e9A6CHuaaqNxQ
5tcQdFZEPE6XIZiHlTGUwLTq7tl06WnUdvba6p1whQWqB9qllLGmxd4cM4J+z020HPHa1jx1Zfda
+ZzrPZ2OQKScfmu5vdzHNhU/W9VJtoCvkhgGqGhwfCaF2gjZZ6Clw7+Bmo8IVdSeUoRleWCyPWOY
WYWdrdeE19AjpEM12EEOvYeNU0KkAv18KMP+WAFascd8xcLpZtolLQkhnpPGbwGNzIVd6UHgGx/B
a7wWBVDX1oqHXSnp5rF8D26/JhMsBbdinUQbofddILGu322dnOisFIddv9ykmChAk4OrC5J8z7w1
XvlgPm0vPKRJlPPCJsVaG4KaBlD7loxY2DsOHRCaFQ1jmFXBmO5Sh39wv+A+bpS3Tcwq3tITek50
4e21URHqOL7MpVV80xcnFxdnk2EQdciA9iNMww9td5ARkpbiyKjPYmSMXmAVmeGz1U22dwJ/fsiw
HNcYdM/cRN9OGXrMRVLrNGHHwh9o3sSQR9sgRIoMIu4zNOKddyLxwj5w2qFR11Y/83Yct2ZZLVyd
5EaO6bHBuoe9yx92rQLS7kJV9pJDV/XJCQI6aWcg6tTZN5PrFOX+YZLT8xjsUc8B2YbY5ibwc5kW
sEn8NDkjrPJtXE28PIauVqVgJNT5/aaxdIUdw36v/eF5Ktv3OmKcjXnnQ1ejuRPzgyamDP1Sd5UR
JYmdd1e8/GcZWo+iBSLTDGo1dNGDy+0Ptsq9JU4PnsNZuOhLv7NtPwINjI2ww42Nt2rNSiI3Necx
rhEDEt84b50W0RpYzv5khJdy7F6ZExC2JPx8Q9//eTYeuwZwk22geKo7H/j1FGz6hF9HV+owA8tH
H2hv+xG4j/LnpRSvb4Gsoiu22Gdt9PQ+S/qRTN4N8TB2/ku+2DIBmekTrVua0kUMQTap6Kb8+6Tu
Ga83iINMVTJYykhjy4Wo2GIr6y00mVHpUIhV2yYmE5kBp+RcgkW1SzTrPof5gwtRtlyM0fcHRXYl
8jtKpwXZcn9wg7ncRAq2oaOx0KnloUU2rmZsxoRTFKtSL8g9KyAAUpknghwpFjvc291AhObgvuFy
ZE4gsvkH6lycoFodjMXxCfkZBZpVXu6Az/vDf6CfbFcYr2gIre+fA73kjHVySk3slHc6arz8H9QX
hqjGEHb70nCO9oI0vfOPIcvwF/7nY0vnajOFOLHDXFn67OgkQLrfWXR+iLK540mLu8r9H3O388IP
M82CLS2hKamC4/1nFlZE7Mx/fnxM963NA/+QLFweWtYkPvvFTFDGLF7sxTrb/mDQjAt0+fr9SSM2
te1oCpQFVsAC3bXCg+k+QF8pnLULWnYVKllts8UW7xVExTY23Yimn6aVIK4V5GyxLmqcR0XMxVjI
HttRQVnBFYB3WS4PaZtnp/nmzYw2gRcnmDwwlcdVEB99nEF72kGHf19czu+8kQwKx6/ZsypmYA6u
RgyeAFm7nL+EYffTP0jrcghN2Co2I22r1R2UfOcm5wB2UPveEjdHg1qBgaGKM1Y4xsESLQ+pWIwt
jMu7Q5PMm7ybTHyTVNsDib0/Umfujl6cHtByOyeVhr9qtxZbq+D67bp8p6e0I7mTB/rZG0MrSuUB
k/GUwbBPFt/p/Yv3/8uWDxuvYpIC/xE1NkPPSExs4ktvTfXje5thj0PNHBpLB8eMMKvpt9Ilv1bO
3Q/2uB+sgL8L+G8ugR1Rn4FcUCZyAXJyBba+sOTTcz88Zd45DeS7ndlMM4OeLq98nznXrpCsPpqj
9WGYxjssa0y+Qb/2Cb8M4n43zWNE61wfqYn/lCF188/Q0Z91zjgUZEbEGKF4UGJ4QoH53pI4jlzn
bXSpQDCF4sPlZxs1YfP1l7LtX4gvn8YGtqdfgSpFs0R8Q3EWNPnX3kDL3DRx/1rdAse3FjYp1t2e
hD34PVwYpZouaTRzqFs+9Z+Hln4UQwc4u8W0hO/xxUzV9ZLKdLp/7X+eGmfLxXf/lvcvS01IUjPa
H//zvN5fXPX3T96fN7dQ/mVtX8sUZjhy3OIQTiT4MWr4WzvDFVonrXY//gwY4m0auk15NYk3RQWw
UrkP855YPk+c8yTwzg0W4K2bySvsRnfNXPBJtN5DACkIkYVJ3DaW9iHkDckHrHx98GxbyyTMEbsw
xcBC7M3KsfhS6zHa6OOasXFXqRduOUP+1X3ZPVTjOi7GYeuUzdVg8bi46mQP2CS9FICY3yfPVl6C
7ZkobooyTU6gCM5jC5/PibitmqV3B6mbOUbVfdXIPEnqUgA3cqiypXkg2/qVY7+ipqv3jmOz3HVy
Z6JR3hCVNG9dbbwYST0ebB1SdAfsxR41xsR2vbfcm9X4BwIV2sdxzvZ1K+GjBeaxcSK1warX7BNv
PEQcWSgVUVxHiMz3dCI563fGX6VG7lF72rQpk6TESj5xNNGisZcU8xAf0oc0IO9CKftlxFm3Az/z
u828q3Lbp67OHt0u/LadQp5lJDZheCHGs38bUnMv09Y5wtRYD5LidyIP0vH6I8fZt7yBzDWXDOqM
fPouW++9Nq1wVy+DgLZUN+6Ot9iP0BsYWIZzyyM7L/pK2uGT1Z4/sTzalslZIopebX98JJ240sz7
52yc13nKfdYN1a4voSpGatZ7JF9/xDfnrAHEh/tquOGwRYSqNngnXnGcdCcHpNVadFm0dkP1tyrJ
BGrna1C0yNYa68QcM/cFuuAm2Dnp/GJzWMkdE9t1/mG59m/yPkJuXWYfzNWm7aKFBt+7GhW/j0V4
O1qqikxNhki6D6p93OSPtHqpcjmck7AzCPOgW30pxrncOQJIqrD7tS3jR0xVP5UVPQ5h/5ggBoBE
oVdwVwHJBmGDaKymdU30iJBbgTts5men7nmq3IfZYniVoiQx8X3TQBpfQ4MhMCS1b9JpcLjW4kwU
CsIkfR3z8YcNwG8VWcNjWqqnxqVX0TnPcug/oqz/LKLoqpzxkNCzd5JqiVzOf3oK/dnckyUtuC3s
obyURfGLdx/fsh0+uVn0m1oL3GcRHc0pvbDQS+ZK325bXrQ7/BkN+49mJM8C/WvMELS1zsDsRD/O
Rd6sDdiIgH3Mi8qnrxxwe4XQvEJI4DeN5O40Hq32Gw3MV2+4P83XTrcJ7R0Wyrkuf0/S5dWP/oyQ
lJknOQNhkQk4YetHOi+tAJOZRdu/T74JATZOEAt4IbdoR4cCfAwC9x9cl/E2IX+Cy9QCsSnfO8+N
Ngk6Yfrwclcv3we9SENRj4l7GtOzBVHa8HA9QINEdSbIiglaSOXBsMgAyZd2iVGSBblPDX4BMmwu
lrIY0vOLp62sNtIeXpO6q4AFF4z663OkocFnsmD0/xF7aQrADryZAQcG66R/bgC7pw0ZlsJ5iEar
3hsFoVICUOSIhtwoBn8zGOPN6nGcIzBIJp3u+6a+uCODDQ7XD1FoAiR8qBbbkF2/NTR53dC5dBO9
K7WsWaYDpyyIjhLApMtMitaa/XsgPAAJSL2ZPCPamKGm9pX61WuT56EdVjWdV4h8q0RDmSgErV+c
PKxWXICJQQHLH3YQDaiTuF90wseFUa0t8SvwvWde4YlKhL29f5zgsE95RWSNu9FRcBK6e9BpcCpD
54CBnwODCeloeKfBZCn5F/FzoX0mBCp9LsvphUCUj2oAXuAbGQCr/NJkDEAEb0/voH80aGAZ8W+E
IWlmkYCNRUV1/pfhyHYd9zoCRmft2liiqHH6dVXE7b6wSlSuLVKSXyFaOpC1wc95kP0WcEeecVdG
4pG8kAU5hKCGeaW2vmhNkDCERckOqt9dN37Y9HWSqnU5ZfyBgUz4kxswu1LOXnTtexS7b0wtaKJp
OshxNvyBwMSeaXhPMg73uv4RSOi1nLJuMhfXxJh/e/AXRngvHpNCBHHbAKAKRUPxLhp229Kvfi82
857aj42nqXe9Fxi7lsb+evI5ntrtJ8Mkez0kXnXAqoDNq+/RtZmS6mGcSN7qv4OO80uqZ5j0ksSa
KJekn8FDGIu/krYom2v/FDZEno2oCWB17Dgmv87tbxFjO9Jpw9XSdWcDgseKyT39o/wlJ5qHIhZR
G2GSGisDJXDe/5pCFV9jv/kIC8jXbiv9h5Bu6opZ8pfBUOCA+yneEu6SHyPWElswiECYkG8ETrfN
LHg9k8CYUYPSAp1N61LO9FmlmojEieTNX2T0sgpOoefcvNG1X+rpxepTlHol8goDNZ4TdAlzCnfL
X4nuZ2kvaeX+DihqzvUMKh0vutjqANCuDuuDxUEMHAQo28yCkRHApN2ULudLsHAG4+f2b2oMh8xH
9hSDn0dfZFYbhZZxNTdIqwqdd6e48+wdvIZ67Rj+K3Ho1UuXEKuV2W2/p9yMiRLSNKA7sPiFMz3V
zPMuvt2pixvX5g5vCXBCGA8XI/dJszHMq29mX2Gv5kuAj+I4MhMbfFVf9PLglTHoBoO3F++eeyKu
Vp2mMTuX5LvtZTUX59jigJimS2cJteSpyTRW/wYGX5YbB/pnD26Ceu7+4OmZYjbf5LXj71NHTae4
tdAE0dYPXRDEk2YTNaALI0do6Y+xldzuD8aEck/4KM2JS/IY3Lsrf1hciYg+V0ZHnFwWoBVxxwUt
lEeHHtWvWZf2ZWQzXFeBbiDsjBNI3FaS3Iq4RB2rSM4vngPJJ5OOeXZ1CdaxY/rVQ5557Ywx3+GK
oEpMEnPvkR2/DjtHPFnlW6hL9Xj/wA2NaWcsM3wgOavedgab2wBJgW2i6E7bdr5Fc8S+6lLNVEDo
oeHz8rhmYV+ivvjT2l28t0xyxbMZZ5XRxAeXCd3ardt5LSPEPyqwbr4akc3pgPj3FFtERid4bavB
3s6D2e0Ju6PnmszuauihJEy+YLied3y3nsHwXDLlnyQ9l86/jd5+sCogAKbcmEl3mNjUH9KkNjZ2
b5TI8Ig0cQeX77kP4ti4gPZB52emiBlNUfEmjwJnnubIEM3HGeblAbj0UfhYjCLKiSwxkrMeezYs
9wAF/bmbSatOY2MXLT5LTHQMMWZxHRuHxPGI2t3VKO+Qx3QbbjOYyl1wINZ45iKtJwSj265mZ4pb
/rElwx3B7MW+cmnEi4q+YtsSPjv0qC8QD2CiJMclRlDZWi21InjMzH4s++Ro0PijghIt7qV3uKSs
couhV1cgN2XYroeZk99gafx5bKBb20sgdobTEfvBNSRt6RolY7afu+ahmu3L3OYFwXXNj7QX3749
2GhJiScKF3lLSdZFm/NCoNfh6Bqk5wyEP4PpAFrxyAoz6y97mm5zX7yURZ8y8xyDFZwZbxNRw1kl
22aBqSVWYus0Ybz18ikkN8r+mwaAkzq6eUicxptKgvPy30wa4SVRwzqo/fojQiTGWDNqhuzsBeZr
RYj2gzcITp+s/1blreBX/BBZ+Vy2YjUucXyjlaLwgt/E5krmJbOzDdgSFsrSNjcIoNZiInLF7rS9
6b3wK0taBLUWeOZ4KudrEv/OCsc/cs6ngeqSbzI3QIcItjIxP2JCE65zTYuaE3GDJTv0aYI16YnG
KxxhK+mWXrPBCiqZkbkfuGSSxy4cPuuA8iPS+lCEHNjmIbn4CRTVPreB0+jFMu2TCE/J5BpdeQhT
K6Sa6aKDNXKyTnJIMzoPd2Y9BCfLzbgr4dU/W4ZJIN53kPoRNTiKayiq9DST6FE7vTgGzKS7EJor
M318SpFxbpPRgy4PJTvN+nyb0yNcrnG51RatYdJY6vPUGbu6YMOYRu9IdnZzlJivEmj1W7efnzIj
e4zq3CULsYU3S5zLpXAqsUpH9cB++CbH6ge3kDxGAq0n5Hj/qBYGW0knzzTLd5Mp1N7V3VeRJPD2
nPgZVfHiNhkvU2JfXR17nIKpL9pieG9SMrRdok4nZh6jS3PWDUnfg0W/dhMmJPP8s+4bTVvRubQS
+4BdcaIyNfc3U+QAK2Vy4vqK6eVVj04zE7WuMf+oCvd5YR/1jJQmfCoqkPhKO2evEmsH0TJTCecj
QxFhOaS60ZfF0F3YX8ZsiF2RevTQmUhsY0IGAr/7ulvj768YCZKw6OKHCGNS0GILnd8qmPoLML3y
1Lnlpd0UTdluSgIRV5lRhQQvCQeFOe7PWDEPb2hSeHZyaX3nqSePdslrx5a/mP3k0DlnAsRwxjjj
wvpx5oODov9W2c/3Z4G9RqHp42kFU4DYG1rlro9aFFBR7fOmgxkhnjJfmd5eDa6/x4ZBVZB4N5Di
JRR/kuPsIrkqydykhhdXpeR1+YjjrqXfkhPJahYRb3m3ZpJKBrgvf+Wsz8xsjghrDc6pkVJs4qYp
069oCEkPcWkGk7FOenT8VQDv5GAhiSlbvPZGb++GgQFukSNhCrgD4Ghx7py7Yh9tWR0i0htBCWAA
x6SJTE/YpHNkP61qwOaNbHRbTguBlAGnV2CeC9WPjGbcmhPma2LzLTOLmJmwDo6ZxSuOLooo7NSA
L+a/ahfNLNxuux750SlWY3omB7vqH8EZwpVv+edRwPQ7aEB/+QGRAMszFYSkf0tq6sBsD+3gR9IH
r2FHeCQcdmhCgtOunrINsOu/Vt/DVCN8dt3PTGhSDNQN1hB0VusZiZGozW/W08XClj4aFb04cyCN
0/D4GWlNUlOEFGIwy02c9JfYsX4pYrCoqptbGVFRywqbrsk6HzE/Rs7IveA8iMHmTTKd55qLZOK3
8lrxOmZ4yqtk+tFpzmJuxdRHxLzZdiW30ZRQGAlUZi05hbwyDCOTFe87I4mRPMERhQfMxb1CXGjl
2QKmj77u+8lcq2MWFscpeexN53dUcXSofP7JvX0HR4YDYfQ1UkuORf8ZEWC6NkohcGoW2KERoZCg
md7M5ME2rGLvVmN+TvzEODQYCFrdjbs84pDrmZTzXjaINzfqxtNg2Idaytvcuu21qXV3LZm558xM
jyotxuNSA7vZUD9mFotmPNk/dDjYjz1lpBzNBsNfthWW2T+m3TLhmTfM2ooNhL3kUGj3B+Cp7Hx/
EL3+GUVkcUyCWMusjC8i1BKY4IS82uAQci5m9RENUPWQjZjXaZTxIZhxgrOOPjNs7/ezKZ8rp3N3
rCXO2dLBGTEK9dDYbiqO+Ifaq3/6mWGu69Z4ijSXaDeJ7eCySS4XlVyIDpG2P4VimJh0y+tHe+1E
uImlFqapTROUv/Iy+keGPT4cRk6zY0doUc9xsvPAUmb+nia/u0KLwOCulptskM1xSnE83WW3hiZD
wwBPJTTvHoVBv/IpE4blpGY2ZrgF345zkdEfN2J4LGX8mfQoQVOFm4H68YkcgZsaQyxl86bB3dPC
81ssQFxLg7iVVDJIHCiaMjd9sTunQIbzB4edt3EBk7Ebjvi90A7xuxEhWzb1th7c967yGo5BlEsh
6p6ird8bKuN1PbIG3Rci2islcAXLX1Ut23GQEXSbWV9zsZxGteLsH8cPXc3dr5hLMLunuK1X9Rhz
uIX1lium/nTW+q3KH3IJsoTYrvogoURQKaIXMW0UHfFEveezGuu2/zAEhmtYx9S/Pv1vjodGV627
DLAp0ZvAS9lU76+T636KAW2abeCZN3EM3X/hah7nVUi1JYfwbaYQ3FC6stfDQDHIj4sZou8iLgGE
KcafaYrGDffkRpQ2biyNWMIbAorWkUYmrjo6CtyrsXSwJxYJPQMWLJOEJxYN7NJdr6l6GDpEFTNT
Rbo1YzxCH06Nir4W83/XZl85sdOLkBaxtyE25rTYzr3+JTS694nLCo8SJJX/uwRlw9A7wfMd2vrV
2PQpK1Y6sT4Wu6aob0Dg2B+9Y2xEn7jo200xYESDCkFZwpPKTu2n3OHoGzQ+kc3yj8TATrfM20AM
Ze29wdtlTXaHK61rwKHgYNYxyk8nRGSCPqBdLW3vtYfVxcifOcffRIhBUBkI5pb1qm93PaIINPus
z+3EgS/l6WTteowsWcWUmXz57XS9t9SxkQBT5BSPTIKsLjeZCMRxCdpYltyFXRNUC+UizR8rpa8x
i8xK5F+doWtsxPw1lcy3c2Ez658PedBGG4f2+Uos7+O/NVEPJ2Gkw84fki9ol9G6tjDLZCBczd46
ZwkCCnIQ1tnI3e5ND5xJolvNFArYsJ4++j6qcYuUIdTGcPrI8RzKwVvaGfpPTEPnUAMcfPRK+Wcc
X0K/NH/SqEDxXMzzJbZJ4XYsAlNDzOobQYOqlDI7lXV5jB1TX62xP+Y9hz/fsM1rT42TZzM663IK
9r7rc58EEFIK5Jto+7mcK5AHq1oRwRuSqhU3bc18t/hyCgOAxxI1u1whjaF/d/70BrfzClPgNpTg
QIKmh+bIvisb+0jvm0OONhjr0WcelqvHkTWLFFWiXFaC0U/ZZllUrExY3FLccXbo/Zxh36oMn7Nr
px/Lesh9gupAbckD+YpU8Fqm9VMx25/dFH1nmXuIhoJVLXH0iq7GGtFMz1uqXmrKa2ugQ2jFS2c/
o9y1l5uoHvlBbUljb3YWKyTAy5BQcay+XN4VZQe+W6CXE803yYpMFHG8ydThvmEHnG2lecY0R6pe
CJ4xYeChk3N/Nhvvq5LeMbV93IHmMSJpfVV11W8CkLlmubikdl5Hjzm5TXJNsCn8nNCPmiV6wswy
F2y+Xs+lbTNIYfNLvlzM1Ktw9g/LvWsm7bzL+XVG4b2OHctdI6FUCtHdtKRW1Es5QRDEzq5xK3vl
Q1BxM8gCt3RLq9sJ7VuJDm91/82bHpd24k4PtSdedG8LxvHY36giqtm/mYs3mGQLFJAK+2bns8hF
eK1GdatTLv87iOp+u4SJv1pC0gXaaXqLvL8hJgStk2TtVCxLAeJ4DBvv7vJp7odx1TfWBmMJqwP+
2g2M2Lo0iL2e7JuoQZ7OtmpYwGTwN7bnYr98Xk5IrShdvU3WIxVCMtQENe+kzcR0utpDoKEo8rOW
57YscOCR/h9757FcOZJl218pqznSADjgAJ5ZTa4WvIKXmhMYVcChtfz6XojOFi/bXpe1vWlPcpIR
JIMXws8+e6+9yCkOXv4edwpHN5em4E5qwxOJqFml56WjMrpdXQHT0kQOyTS2JZKHbdFyUbhkmhJZ
8eGlvMPaNPk0U3GoYpf42MzJolZ8lzgoin4wG+zAyzI7RSOI66PtwqdS82yfatOJYuQvu2BS8VPe
zwoJmq5lb5toulxz8nnuPH+tVQx3XP0QcokM/I7muo3PAn1uovZoAPLpAixrRvE04YjguN7KAX7E
codAhtaLh9KkRA17m+QtXs1yhcLgxigwvza5OHIy6dOWiIa2nkrSZzGpjax8z/nk1lHsPdUEa4xQ
uw9rAEph6rE1tVpGRshbPozDrUFNzop+vwerb5+becqiNu7YdGIkQcFr2tVZl6v+GpHtXiVT+Nmb
3PSVJbetR1OojDnWlqQ4CCBVuwCLPx7LCUvJ5CEZz9dj/5uPlHcWP+2v389usnQIDQYO9iHfdU02
cm7kIxuEeHDLIjo7o/WTpJ9gzIZX1qD66NyRosOIn+DpJcm8F3E4Hkqjikk/W97KdqJiia0hvkRo
D8skAsPPpw26KPXYgefuA+ucZdYrc8WX2BAUxh5E+s7gDtpblDv23vAUt6NaUYOLCWesWfHrDW2B
juxXWHrWem/4J23iiWU646Mr8ERx85PW6FitlN606+r6avAzHiMHI9sIh9YK+3JTjZcaxWvCt+RG
/jMF3tW+IJaDD0du4eLiXyvgacCMMMIwJmrqVZtGtLxjAw5AhBvypasyoLtlcwV7RKgFyPHNEDhv
ch7fBGk6TH1mG51qJvilQMTLND27DkyLtwkDZ4uf5F+RPv9LJ/wndEJhWAY0gf83nfAhbxv1t+VH
hWT2fyMK//yrfyIKHfcPsFy6M9MdoDyYAFr+JBS64g9hO660hOO5runODJ9/IxTaf5hAc2xmIiEt
kz/174RCQTkLUDKAgjY1ibAFrf9Jz4opzP8CYqEDxtZBZLg6bUdC/wtDgSbpGCN3iAMwJ0lq+J1z
F5btY2qZ7tIZXnDO17euLstlNXTdSlkGgt547CYWfi1Ui+0F50K+sVw/PTvlve9o1KNN3rTNNeMg
8mCgI90nZDWex6qodp3ufVECycl7iqOVnAdTYcFoDsMaBKkcuMvObppED16sr/UKx8zoM6umg9A2
xsTSYJDYFGHLbxs9IOMQUCOaVOzxgA5Q9YJdfa076by5zqKdmSfephhoc84C0viE+aTFNsskFW7w
gy7If+R0shXZnt71gzsMw6rSe6w1FXyWDKtizBl64zeBT8WnPDPebNgzJQ+OMYfYOyF3ZUzwUuvy
VRkaxVFHWBZl7+7TcLShig9PnmKVkSUzYN/etoMbHovBlCyq+vpNE8PAwVdsgyjyAMiF1plVDbXX
XC8H2WffFQ1OC8Lw46rLWczXcUsFojFQ5Qe4bm2F9es8zY6dpp4bCtOjiCWMCEux9UriBFxVR7YA
Bhla8VnVsP/dusz2BnVeoWE/eiXPqjws96TTrE2WqpSxxN+BNw+ApXWIDmtqp8YP1k13qXiyPds7
kqnChef3N6FHGZAdBnMaTbFNdAuWM+HKk+nNb+CfY4+yLv1opXuoK2i3yreWPh4wPGrakU1DclBx
E56h8Q5r+hSfOiSBDTFIOEuhsu+SgiyLQjnCWnBHCziWZr/n/U5MpMqs6n7KjZesmMo7vSIFmTts
1e24XY00nN84l3Ky0HIU53bcy1zCB2/Jgo49nSkzEXsKffuZqN+iMX2xN6vgZo0h+4iEd2VZKLT+
7Kr70j8KCRBpMHlSj0pOxzEG+jQ0kDcdEd/4ha7YKuwmFsSAzeiQrT1e/Vqi2O11kVzxqHcXcZz3
QK0DQT/zt8E/lzeKdK5WzEErF29FahQf41JEFOF0+HtgnS8sneMu0qF8QTTZ9dFo77JCz1a5k1wc
KlXW8UBLjw0+acEG4pQqR7vW3aMM9OKohvRG7nAdts0DnU/TYSTX6qpAHQtD3nm1L2Ae9+gVjnDu
/aLeEVIJ9sYc86ah7C4csFqKxhKsImF+JmW7hiYKT7NuKjTKtj422nRf5l28+60uT98khKeDE+o1
F1D6IIfmbCbheI8L7Dtt6SE3ESD5XDN3QRdBtkG79NG/4e8ZIQevEncS1P1hpRVZv8OWZBxN/2ho
787oPZZhVULD4UxZ2ls+KNUzmo2Re6d5pDJpmsD539bkWav4SU85btiedzcm2UXPsHe5or0M5pBc
sm1wJmZxzH97lwTpjzDQdVAA5qE1XG/taeg7nir6jU1xsj8ULdVnANtrNKZLPw1LzEtkHjL1WJnP
WQU2z3UJkepGeA4Ch5yLZy4HQ3Oufi4feQQ5V4TQX6pGQXQyn807b/U15GAJzCDgmVGIefdJaELn
TBWVlBu6cU7tNqbZIQidu7zx/G3iav1yDBNGEYS+k+W2t7QocVuG+DXcnuxVH7SC4j9QciNzAb8f
893APgffiW2OrtrvWs415nABtCCJd5Fgz9tY1Y+Dorke+hgnq45xmx15eoXmFLvHvtKeksg3N6Gg
fiot8pCDPVGOnD0KBc3adVIcivH6UaEt3F+W56PlwHouDI6EoQZbLn8hbxSeR5ftF+VKPj/3cOFX
u8Q/lN7K7CdNmvapao1FDic/Aj2000EyrNnGENQlI+NS6RtE3Z4ez3StQZtc9LY+rLoOdwb54RWk
rQS8/I+PeWFblw70RkNNm6aG520TnQi7Sq50/oyXZXTYV+XCddiOlNbwlJFTZwmCpFbb/p0yatpv
9OwLusOhzSks17L+KzWCdGnGzR4FDUFpVIQYkmQtDIamNMEYRfMZKQSSsWE5LHyDopEmGCHUYI+K
lf5cjFBQcoGZHxUIyysFlRt+9N3gqX3psuG2LG244jDRoCbtMTnqh9aBbJ9NPDhEBaZxCPqUx/xg
LScL2HStvVhh8DTWQwiD3xN72quXxdh/wglmCyrcgXG/TvdiKt/MgPyRSvz7qtpD6ehu9dgusLDe
u7oVXuHjGCuvwT+JtmCvRoLiy9qCGqLwaw0jt2aVQsHF4rvGn3wSPmmlLnO8jREHmPnhwGoihotg
0CoLaaxeT0mKOq2f3M6eLo1DECAoAFe5WfQ5sfPDpUMREvkajScd4TwX91A5knebdUMLmAQbSWS0
LGJtNVdNOhn2fzuL7PWogATIqVz7jjXuvNiKaWypXkQj1c5sQkzkWUjTap99jMzF2MmBLk4xaxc5
QR2zUTsUF1hSmjxgndrb58VVyih4GlJtR3BwPalg2tWT9T06jjpNcyVHImwePs2vMXWNxwyGcJ6+
EnwqbmkXvOTl9EW4aW764prBQbWyURouJS0mmtgTxMNxrh2MtnpzZVzuSqhCK6/oOzqKmJqd2pFY
9ab0wTDpupzVipDn96a0ffNKKo2ThmvcA8lbQ5kNX8d4D5+J8kfTjNcmIgO9AoN/sGXQvMSd9eCG
w32dIc91Jl5+mx1hESFCuKj+PJYWBb+SFxZ038qCZSfjuD6TBKuo46KQJWigTsSlzFdx0yYPDCw5
hMyqId/KM08vRcrgV/uvgxzfTTo0z0aYWSsvupOsrT86om2r3ulRvqVxdksS1ErBq6pl43zYyn31
CyYhmmbhi6R0PLesw/Igce5UNVmPnVO9dBYFAo0RdBuX4N/Nlh6SpQIeBVjJWDchkN0CEwFbxOFm
4dg5ia7KVuakFTsZ7AKCOz+lVuIhZTJ+iP2k3XauYewprbIvUc/vw7ZyufEqkzVrqfZF3Fu/GIt5
NCZ3vTn+KFe/c5RT7EtMpQhXxmYqi2CLtW+k8N3wt9VoZEh+OETHtrmT2S1OYTiWqjh4o1c9eg0X
se2J7mvI5bKQ5S10a/JQvl7vi9FnsZA/8KvSMd+Hxb5lrtsQM0jvREJnpltGH2HgSBrb3ZYPxV7l
lUHx0hCqRxld53MWBEHQdTinHEIgmKvLJ969G1kF8Z5CDCZh3b61RX01+72fV+6761vIpjR/PExO
LdYqnzJSs1jCVdBMy2Syllbo/5i8/JcwCrRVkYlpRYeogcGOxUCcB3BlHMrm7Uz8woZqr1RjyV2a
IUsCOZjqF6u3q2/Rem+Q1MJXtssuYfCCFxxG/Xiy+43A2kYd0TNdpIjFs0ZDV0O4rlO6pAd7Um/+
NRPhCXDZ8BMU+ZHIF3mJWjxojv3Jtia/kS3ej1Z74nnEE8QVyRZAOV3rbngh69ySDgS5LHsIV1Sv
pTan0nxJWDOfjOoHI0zJyiGUF7ezjpOiN0tnU+e36li6Gd3y+rzOlPibB9TfteHE1mbUcCEnZt8Q
+vTDq7RWaRBqz25rHTjHqVXvFvol9zUFxyb+LjAosv0wxh0F6y9lXq/LAmHbQ2THW1GdILl2+8hx
dIgeA63E1jPt9c0SiepXn2IY4tzT4MclXCJCwqCMCd8iG3DamO0xqzsk4QIilmmGz7+z9IweoDzy
Ll39RyqltyjjUhbl7fTXpCwe/Iei12ogM5iZmLGwkh1rXT1nek5FfDd8u3bYErPKCY2WRKd613+W
uqaTCxHdoZ17l3//h+fzXunFvdbgs8mTKTooIHoOV5xJpjc3um7LAQxwZUsujsaXxe/kx+//9HPT
IXT1NyMvcWSELLGFbnvcGxYux2rdyZyYTSDRxjtqNaFVkAQbAxZ0eE4IRCpqEf0+wpBVIOGjAL2Q
ioa+1ZRnraY7x7AHKD3EeJehCS+Chvpj4LQ1YhoyZmuXEJV0FGXTTcbD7IkhbkvSBKb5Z1MO6Gpt
5Cw9pCv6tZrHchijFZslZrop2AQmZot0dDr2c+q+tB2AskHr7jmesAO95R1FSOpTxl1813yrzguY
H6JLarf2sgkR+32jxlWWBHufmua7oSNjhp8ybqS3DwpLnWbMBKaCaDfZbgSmTMdPSwQ6SCOH4nPH
O3VT8pwrNlhARsNb3CcIcpLqeY8Dsoqjm5E628Iufzxd6Q/aHLLqI1L14K3Y1PnsOECEkOaYfbhT
pm/iwH3NzLAE19RbW89etD23ZB3ViqwojqteNA9US1GbHbhv9AvvxqpTO0Tk1zZx3oDhb8k03Tm9
+lQ2a4M4tV606qQscnMNVkq/nJeHES+tzieL1rB2jr3NhNFO7xPSlaUmVoH0DwDyJQfakXhgt2cw
OcYZyMzknLD19dP8WAJCtGydkA5TcaU6aEIU5e1aDe7g6PoHfzaVpJPNcZcZkJaZSFJVRjROScIM
g36x5OAcfPsO25tFqU350UXkhNrQvsGCp5FHZ/1t+2l8DNVz3LsfchBX7t1r1sYvvijkwWtSenD0
M4pxu+Jg//sLARskPV2wi/ErmmMLXhwFlXW+jifdmV7MIDWPfs59rCqXsbBr/GWfF/HSni+/Nk57
piDkA+UlR9/zzL2PiTtP05EtmdhRcCcPVe8ldDRql64nbGfjUiFCXLKrpHIxMPk31VgaMTKb3Sr0
XAwcY/vAg+c+bAVnnJRDZOqb4aqrGEfWoqe/q08voRVXx4DoNDbnITL2RS20Q1sGwbGyA3+vNd8a
VvQl8K92CQVAYwissIaOgORiZ1iN6TBHYPhFpprRMvW4j0xWNGWJ0j5EHN4OnmrFlqXdsSiIqlls
RZY6W9PFOD/T4I0/WFNKwU1zMVv6o9u+R9HVOEdxlnk0ypz1KtanjR4Us7M2+OI0VHGuDyg8VfYW
R8NTT+H6yuu0W+YvI6O9wWSM13HTw0tx2Mq5yZng0rQO8C8seb0+63IkPiDVKXCS79RNYPh2mbXR
fldJWRzZZ6tyglHHsWKSYi1xv66gR1v3n5w+VBgdxp8+e6vLIX0wSRNP3nM6hBiwYhdDYolxp8X2
KEaXAjh1SUcihSarBbj2+b5NKJ5Vg4HU23wapbHLFEemyXTgI7rXKDDeW2OuOyeo1+pvDRrgIXfZ
eY6TQ/tZG+2A4E8+cCEViXYljA8PRWJhl822qQmEBnRVAjsqBxLxPzRyeKdzO3reu4lS5oLAbNN2
06OMBS7F2zVRPxag3aI0m01ujzrViIE1cwog/4n+0gxKLdmg4qD13e0QptGdyVF/iZcoWOtJy1O7
Lg65RcyXD2Mkazbaxjdhf4WENs8AKCNcl5IgbeDQBOp261wY5QUTwXdk5086Qbj1JAtQCjZ774GC
xj7Gj5kYnkNWI1AXp575hqKPVzA/2pUfE3qO2QgstZAeQo8JuOSy3pEcWhdTcsV5t6cr6Kdk1iXb
EOxCBw+rlgyX4kk58NLBU6aqevY0i12ISq61R+lfHb6bCi+rbrNhSqd4a6cOzCAeaDlSyGSeua83
0Vgc6OH6KRouB1OUR8svyaZW/UlpHZgQEia0GqymDmuhVWQfcPyWZSkfSpiQEA2aVewLfWFa2NRs
q/0Ys2HXCd5ynqjPJu+SRcoY50h7BtbDPoRBOuScWYik5cwfofXtRuob3dBT8MADSAyxEHxA1Wss
47eeqEjdkM/nkzPALVuwbGzfvidpj8xKRWmujFM3NOx2cPIlPvgmpe1n62mgZ980ndJvzy4JCORh
zvPokcrWFiflRaqziusafW81fnHHUHXUI+1aQG1D7bkEVfQYdsWDq4pwfsJvIs43HI5u3CNNUNxn
YfcjyWdxrJQvLDvOOZxRC4miioobAtMhNLXPkE0+NSTWpiAQptP7whGAq6YJdr6+ro25XqZDWhWW
uFYNkC9v4ImLA4xT68vkVV9Tb/1EU/2UWhKCx8A+sX+ufQkobvgK8W+tjGo8aaH4xAD/MPU4rqLw
u9ONmzP1K93r9lNMt17CFppmSVxwMdHfNvkYtELHcD1847hc+GbD7cPnwKByZmHCa4jWbi+U1AQG
xpOQ9n4s4n1AObhXp4uqaN7y0n5k7bPtc0zaPMyTPN7VbLFEQGWB0rYpWVvl5Kiu9g48ojbXvyou
7sKISPOKb5f8EuroRH0dtcxtkzzbEgNZ5Nc3hylE70r+l0vlDrUZxEyKT2Tgq9pb6ffMC9Kq6iSq
nherHueLqceqlVh49ZryszGto2/PXl8bWWXIngc7yBmkvJpeNTapLMlw9f6M1j7TCBRSXs104xLa
t7aD4X5Xfv9mdRCGIoPzY565a1lkl3Iqjpq4Jta60cpn/K/s4JvrvJ+cHWhluIKFsCgn/O4A9dg2
s4YOTP4BAh2XMsKFXdN/C8YUfoeVsF6ravbXLWdrZWsPkIv0pQ89JBZPcewePBv9I+evT2jQTaYZ
iKHDr8KKGaNYWVYaRNvUnd6Um3Z8KzHR9k7qIUZt8Xr1q87EubEdcHqo2uAU12bTRpg0Mv1U5j8j
OpjMinUolNhmravtZHsrpxS7AtkENI6lDY1lbfXzJ9Le4DEky8TtCD976uTHtWIqTzbJ5Gfr2WoE
Y4iDKWIOwJ1iE2o8eg0qDYCS99uq08XeUF0FRWLAnKLes7JYVKE6OiqkrN1HVDHSfumO1QEQX3tM
WE0orIhlt+10H66EH6yitA63sEvypUV7YqOBRjL1qGXlzBvPrZkxq9k9RJYYqcrPxzuwu2szKbE9
pyWarGGTlSmsPQtnHMJpy8EzxbeSRR9SBf1+oEAHFiW7Yi79hT0QH3EdNsrAS+XdEG/F4C4mk12z
sFMEfueQwp0qC4xPbWc/BQa/5f4sbeMjS75KnPNPrmJDUNUtrh89wvUK0XVy7H4f5UEG+VJPeFxD
m2w7EHehyRkDKrkmrLXKOGllXUTkyAxvE9Ep5HJ2/EGJ+FkSZ/SqQFtDPiYHbtNnj/P3bF+m9ksv
BNmdKXd5y40cG5WxMTUaTfquexzp9MIicZsKiJu1gyShO55aqwijB7xAFjs94Sf8pWERD1vei9bO
HPC3WU1crzwbLoUgRjSiwkFthdxBElpF4UvcYMwgF3HpeGh5RmluQ+nBRbEeDYUv1XRVeJIVxnWq
yvG1dPatqCPMd8pibIm7z0oFj40kJ23VAc+dAF01N2GPsmZ3k8blaQCI1aFvN1swTO6bMQuwwnJf
sbqGMIBQDwKfu9P1PDpzLZ2ziFDe1cpgZhuc1kbQtA3XwV3l4W4IGnMXs0bn53J/ZZGXztncnZzw
HXcl5pkyH9dh9FJhd7xagVwYM9y1yYJ1m4T1WoeFqLp8GXr6MwfcaukUTnww0UQ4gSRfba4R5jOf
gtgp92B9raXtpeKiB9N7baeS61rk507Rk5WUT6nv1Bth+xgdxoQhry9WWup/FO2Ea9agsKETHtW8
IwW7CV827pi3y+4Ztb9d9e0P1ceHQaTffdOtoC/gFtHkmyWzywRSV+bFtqQEAL/a9Iq7A+Cglz0M
Dj+Ufu86OU8eVP3K7jkPv5tO/+BmSBieQflLYSMoBDH3QDaVG6aKkiZa+kTkymqptK0CWl6rUcfi
G24iK0t2xlDvqI7nxtewxTSY2EZ/WVcPPpJOCEkXZCIDHM7MQ9r79zSgPdTCv3AsQPqfvDUyJubl
SKwc7nGvht5LGTDLsBhBgT3EbSTejUMQLb3Wkw/FH46t4BchYXuscGj7FDtDWGZzV9zAqBhexOHb
2qZjdC7S6r3qcfJpyRt52K0chrtQBWAr0d21YkQMc+ihhUMXz7MBhY8cZ05N+iIHNocqxvQGyBWb
JuR2lTKlIHeJbay39+bQv7BdXKc42yvTOWhe+2viV0KS8IccCHTWgq/SBzu4R6tQfAi/Xptx+g2t
eQi8+3yUw9IwiyV+/ztzrtGuYIpTt3xP90Mz1fSMB6TIAEWX9MjWTrzGKf/MKc+iYsk9t4Nz0mS0
Ciqm1oVuJI9d27wWtn+Yv1ZlxydYv0dOrNtGvJZetWRjwbA1HAzeraHVE/3JjkF6KZ3s1TPHa6/L
GwVUq8bfyql7NU3njk/Sw+xmYmKzI8ombIdzCk8fsR4hb5s8IhcDJ5MqxxLMQ6oCU4WGMIHtmRh1
ivEkCh6VYWo8uOP0GNYZ4coA5kC0osv6LpUFVjRamK1Hfmsr7tJ9qFfrln1INXgXu28v8+fVagi6
aXThW571eKnn8t5v6ve+QNWiirQDosmsPcA3yS1iZ/7O7/udGDG3mvQILKqUN6OFtl6IigjsWBJA
bl9KF0dJVfMGMMEVuQtCzXi/pivMmXUl8g3r7LeI3oFFHpX3tXePof5cjmpPEwbxpGSbcSwGuWk/
hy2YJFs/+G12KqsW9laMwzzDKeX191GEUqU5pF9yVUXbJImeBw1WG+uuBB/VsmiCq2jjmw5tFi28
2w1NdYR7StZDowQ5JipFEuNSmsEmatU3vTIkcss54RM+oz0DmDCwKDtmYy5prbnIs2/Bz62PydiZ
q2xAtO6ine4F26w3dzlTMg7vnsejRRedHNYN14hmjKcQWn0YqX0bKSx1HLxJlk3NuI3rYuf7Gsn2
aulLti5FdvCLga0SXTKuT2TJbh98ROBGY6b1MprHc/Y2nn5n5uEaPMHDfOE3WvQB47+Jeafl3bkf
82VHF1AlnNcEqFqleWfggGtCXk8s2l/7OF9FNpD/ASOaLPUXGH32Qh9/QX8MeFnX9yO3/IKsPh9O
R9tSb2RHjh53ZWftTb3aprVBxZ//aKI+YFBFTTDPQxies6j4YH39Vg/uzoiaGeqekvv4yizwjKw9
LQ3PNgcXjSeq22ifk1F/t6n1NJruU63Q3REjvrNGPo6xXGuauZdN+cwe833irNj677rtQ+cg2Vmq
pywD124DQQR7hK0e+yWLVvwV0Npo0tnOUAep2hVLqk3o4aXTy+MkxUNGFiy02y9kmN3UrAhmf1D6
NNvn31Luei0r7qABvoKde+sbzSFwITAgOzsipNeJFSzJMuRNswK6ywtodkKl3kE5mNWceu/K4MkU
xjXnMxGu+83Puih7Es3E5vL0SWeTJnl/Qte/RsMj+6Uff3TPZWCe6yR+T4huB060S1RwF5KxmVMZ
QstOk7COlSh+QlBYOMGONsBiwU0lwRPJ0UhXITvTWL9P6vCNwNghqai0jxhwWx4m3GAvtmbf2WG4
0hEbCwdjcViclePtRMcyRW/6i5iKS28C95nEWUsN5Gfel25wqP34rjX6R8SlB+j0PgH/4DYT84Nx
WlMvdKLNdm0b+oKQ/cFPzWtbMD/dMpuoHNU1KVIkqaujzOfpC3JlctAn50J4oeQBjvnFy6iBni8W
30yvfnA1/GqjCuiYIfoVzxmAkHAfkqWfIVoBjfEpqcc9UWzyqsoWwcXq6ClqskfDctdYA5dObgvC
AyU+uQLcFjW4zoOI+r09CswJKPyB+QoRVGzTAQnIGR8cOasxPZlWu7pMnXWKRvPqgXgRg9oFVbFV
KVFetqj1NJ3TuH5P2/CWp4+ewtSLS/VldN99b9wP9vCVa/QR+YZ5bqhSAZU+DU+9UX5QQdpV9V1f
16/KGt+c1linsfesXG45aIlEjZsvsGSnGSDGWoRoKwXEmslxSlT5fgA3HGqAzByH8E/DZgNfTIhR
oofLFaYso+P8FKlp68eckXhirCUwqKknfe8MoNnw3Jjr1qAziWPWMrMeDI1yis4xnthunbB74iZ2
Dsw4O9obnq2O257+Sr76dIQrvyhEDdCs4vJDeLKtK2fen5H/7xt0FnrjZjAuskwf86QCJnU/TOFL
3VcP0raxfHNU11vkcrXMC9htc0E9ECXkRW8tDevX/H3jUd7rwjuqUp2UgS5ckYNYzN8wtYwHJ6UI
MlTe3RC0N0CcB8aOna/CJxNuXtPlzw5o8ulkGypY+IPFHKK6bWK7RGrZP89/aEjLl9YJGPfCH3OG
ujqpfMzN4h4suqMgE+EeznB3VncWLMY49T7NGoyAEOA3pok3ubcidpst/DxCGR5wMcvpWUA1iex6
U2j1tobBKS1EEa1C5OawA2PPRGCuY+3Uk3eZYwurfuh3ldNdPF8iE1p7v68vo+acxkDsA9Vso0ns
rdeuRcQeH7spXA3huHPd9mKFb8EsZfb5T9S7n6ite5mxAwUyiLP9s/SeWNHsAj/58S335CsfBoAs
965ef0w+0KOUXA0sITdDwWkF4ShWOVqdQJrmEVmk8RYJb9mOzjsAIH1Ftu+SJPSwx9Da8HDhEOWt
RTzC0VbOTAyNmhTrArYBNlDZ0hIoAENqvs2PzKAeXqFLzHbbELB/fZEueC8v0stDnO/wqq58XBMn
e1S7hvPEgZT3b0/j/9o//4n9k84867+1f54+wuzn73/7yZqwGfff//j7n3/jT9enlH94yEiWFKYt
XYRB6u3+tH06xh86VVqI2o40JTVR1M/+afu0nD8s26Vpy/F0EyyTTt9VnXMr/+PvFp3VNjqi7uiG
p8/ZpP+J7fN36eJ/bqkCcUbVL1+IbkBPGvIv7Xs4NnStGTQKjhkiFnMsyABpsQJ0a34Zh+q9fdT2
wQp9yd5Dl/99TX0N/yf4ya//+l3+BufhmodZU/Ob+Uu/Lj2QLg5F2zUopsMTa/zlm+eZnZdSx0c9
GyAB+0/NMenPYI6J9dPthAbqyh9G+f/PbztXJf7nkkeqaroq5NtWry11Juml1bYMxcsRqEJ9tHnL
pP/kW/61+vKv/9C/VF/SLFT5bsd35KZtp3uD4aVeM/LjImmi5//+nwfP6r98OwwPrgW7zdQdyzD+
WjZeJ1oBtrL8bcz3D7Cxto4lZuQittCM11JYx2otcrIm0gs4oxHcO3kpaxfl2Bw2zRjeOVyuSPNZ
A0vWhtkImKcvC+wAVWpTYSYo66h5+0yO/uI7ncGMgUllRIFqI+ubPMdi4INfiN7JyMbPhHWRNtuY
1yHKLhWeUX/xCcti6utJbxhki6Y6wgZRZyv5uxMBhzFMUwoAkLBz89bCGAfwzow0jMG6mkifCZli
kw3VARfECjPoS+yR/dDC4Um4BWDT0UElSPyHE8ZmsmpFuOv7ScdOpNPyjTRkkKLeyeqjHgeuPIF9
nwaePBufbJ0u8KxtYH3bB3BuzpIs9cnp86Vp24dMtXtQFl8i986mP0HJyMSPnRItK8p3YqhP/Vis
6ro+aXb/Mpq9s3TmhdYUQYWpCbbGBlilHvCCrIdgOUGKTeRnG9YFATtqiDkj4VZr+6ehJrxQFNW7
HpR8MFCMs1DbjKNGhDrnjClpEVuJHOPxF2ykH6Hx93rBJ2HShCFNvpQZxMXSddOlkU33uZFvix7X
aNX2Pi4btdPK8TXTDhJEHe3aEySiAtWSnVoWGhxMmH4sK3+ffXNRyAjfjj8xJy4l6W8J4MVVw9PI
Tm2Z+MW2yyRuBmf6oUHnKSi+s7T+aOuSFyGHoAVIBG3ZassxxuWFnerdHzImSrkxM+gwQnZPdpH+
6H2+Dhs8e/PXScXwpI/2ZcyvsiRYFdcWgcJpGRY2+WeEfWhKt8DmcVVUFO1kGn8kR5M36ztcvdkS
XH+/+heezqy5TWWLwr+IKuaGV4HQLFu2PMQvlB3HzFMz8+vvh0/VfUgq8TmxJQTdvfde61u9UtPu
WTkruYHDt2i5ag6BQaMNcx/q6eYwOTSbKLn/KeT37TSsH2ZB0y1TyMIbNbo9yU+72oOKlio2Vrpz
ZmiEBhjkc1GXv2M/B+pbtd9uxUBOicW07bPsWKw1r7IY/9Q8QX0Rcc/pi+25dJs0rapJg+GFNCZh
m0u5UB8MQE+Z1V1yOPPgITMvbnjNoi1vriafzIXbJNe0c5W6hDAgMN4aKvjPHG0KAK0t/FY89w33
T8PkdBPneAsxov4mesdZI7ll+AdDs/v9oF2HRacJP4lQfOR7IaPpWONDLgblya4GGsFP73wtHi/I
eG7ESP13+5a6yxAX+piW2oM/OfmN4LsUR1fLMMB0njJCUWCb8+5CRYNsu2QkOVsLh2Q7O6z3DX2o
O5Py66xbyETy7gO9Q+QROrWtKoBNpnBRIbkIvAedVJeJDi1Z2v9yhVCjOVb3Qw9meFxOQhfpoUde
xsnZ3g6ZfARciCK+by/keb0opaQH0nP5fu88lbEW627Jaa7GV8ljmCdNsUvTcJtIpHyULTBxUWd4
AuFbHLgDSHCw94QjmHq6H7Dj9npNjAwMYBLteDqziDO0ov4rtO5ZH9MrnWYkmjyp2vqbYVHvtetJ
kGIscO3xZRBc49aSH2JNOhJuf5OzzfjGnXdOGTUbHufZG17DQVJFWJwLi66oARyg/GT99LQI3n7Y
F4f1dnIqsklnncUs6hLYyslLbrzKRjcD1aGaoyt7syrCL2weyBgl5FzN+K5By4UqjzhmV0L8WPJ/
lyPGATM9Bihk3aW3+mzT5yQkFSFvym02qs0PSSPzHwBXczPMfCK5w+I/jeSJh09OzaVI+VDNRf8n
SebaGK67Xwz7KTZA4fDCuokvlm51S1Zt6TDuelm+KHomGS3P0KMT+fvvp6ULLFG9ufr40gzzi3RX
jkH4AKCF+J8EWFqUTi8rIgV41nOPGJRFFTowk0O94nXCSmWNkcWHTKyXhrZ3VAsYegY5mfhXLe5G
1rKDOhm30cxvmlrcCrf5cRfhD1hAGGTxHCNr2CwTl6tVssAcAKmpoGw8qylwPsCTNZU1kre99CqX
go4ZGHNIHjGXdVoXd8aNlPzEgYmOKsnK0np1iKzZsjPV0zxdZI4FYXEjCVVW/wcuh7UzTe5590Cm
YbPQ082INGH9VFzeWoSCDt7LjF1CfqyXZG7YYnSQJxhGi01B6oNHQN7vG9QUxhZNj8RnveGtuvsA
Xk86EHZ9d9m2/ExvRr8FlMHaibb7w44ceYUeb2XKB+6GaBXVtrgJs72wtX/ERoRWOqZ1JsydLZbs
PLON9wLFnJvgJ57i3O90Y9vLnL6SXXvpuqqBxEGbpGWgrSRNpBz20CYZky0NTK8akbA4o0Q2VwOK
6mrqp1G0t3Qu8Ym6RB060t5p+DxoVfIIxXL2tLG4yZKHgsb0o1nFpCe2l6ZERLzCkPN154u7/AKS
52YqVQ+yNH5mjz7xEYZ+OlT4OeF6OuNLTdpTYFpMG7MUXX03uT9dVO4KQit8AGi1r5WoVh3eAiGs
QKAtcHwLLmNandHRAdnq2d384lLFpnbC5A2n5a6uC3JBabz7CTj+uT3J8b4AqFNF9tBhICH6sVl8
Z3LeJc4K1g7XYBC60RsxbAuN9BRB3DsSmDbfqhbfik31u7WWbV2Yj5C7NDbA6Zzxq+poxsxhhy9j
0N+g7/mOVezygWNNmPanMe36U2pDVWusYKAldWZiwoSeNjP+KVTVo/XHFtzKTTXyoyb9Y9TGY1tB
hI9rpOly6Q+D3WyrMXIfFjndAH+RstND3Q27gclZVHrD2JJEl5egOgzeVFw6XM7cLsivzCiika7p
gKUhDuVfSpX17MgLewVg5E3cIzOcY1LDGhPhTlUYYE0j88hohxC2sTukTUntCkkIvsutt8Mvc87J
s+yUD1SInHWUmasxD4hAPBp9LXAVHDQsfE/K4Bwk+ls/1cGIAPoDwjgFggxO7rWo9tHpzhu1X5w9
OpGzvjQPxmiXp3bJXiOFxWcADbZlJrOtIbZYAzJ1VyN6VKsRxaIMBMBG4d+GqN40hDEafBOmeOPf
RdA0Tg2J2sgiRtRyvLkb7k7Xm9i5VywsY7QuVp0Nv46zwZ4uzRFfbvvNajee7GE6RwbAnG5C3O6M
/R2tE4M3K/xk5D8x7VtfRIIracDjY84PurKc3Sn5AHqXrKlDxCEZOVGQcczZoKowfJIeR64CHXVF
fVOiEDxVhzqaHPP9UhOr4Kr1imiJQVl2NEYpQnFemffZSJ6MWBS+6IboSCuoJPgIC5zh0jLWKo4/
EFvlbpqcq4mPvExwR7P3YuGAN5ACn7AEehPxFTomKadKoe8IY9WW6XsQPFRhrNWXJM0PLMAcCrqw
A2yL7CeOanXf6Wh8c6iNStP+bXk0MQl/AzskT2WI/5o4DzGmi3mT5syeRLj4LideP527cAuQKbOm
70UdtO1U5iQkxBXr9pLxtLDkNgoTnBzH9393FAtFIpyE5yW8JNAgfHcKQiHh77N6RPNZGxGE6X2J
3cbUCbTH8bxWEtom1sj1TaMwOU9K+Jhb31HOh92i+9xiIbxAxs23yF4Tr4WVj+Ip2aJYbLZGknxl
3YCXpmB+7DK+I+oetoC1gBppoCWaTobopuxQjzS2DETUrv1Cpm2Krr4khgKPDY1/TvWFWLUh+m60
PosC2wCQh8WRwyMWQpYBC6VnFO5CtvAgRcZMadX9TJKNeJyyL6oi0KQ6Bpy6MTkLF8QeItimfojY
0cH/chuTMW/UJaWPFZSq/roCMb1Ow00jI4ArWoUanTh7I6ZLlvyCMeLsqVZJ1llJDSSsxTsm4j3q
Do4tetsQgUSjyWNs48YZq2IxpD7d4bOZwIkqwU40ywFuS+H1K/5hMs2rXVnfPQUrZBggNmCTVsgT
m74pvotI/ynNhaBFi6MtqdTIknQ+V9ts3d1Eyw3SYOa1Kk4KnO5vuT08iVrAeazo2lpQXCNHchfo
YYeTBZek0MYtMwO4Iv0PkuwQ1wzynmpOXww1jwOgJuOBM+rVAqOg54iTEoeBmaYPzanlaAEsTVER
vkxTlm45U9qragqLV9tTbBjc0nYPulrNAntO2l0kwsDAE+vlrfPeZZrlS1N5TmrxpNeDTTVRtLvc
WJmHAncqVPYhAu+CVIZD7Fy3uzDdu4OVXBigP4cXMHXWU0vINrAq6NvEMaQpEn4VjV1IaxD3OKF/
lbBIberKA3/7EksX+5piB7SszW2ET80HAcVqwzDFfINk2IEgdp9tY+4OnKzgwEx2iL4mBkvsCpbw
0TpzEC52w8Rz7Y4udjewvwktg7gfUfa3KL8yxi1Bp+p3aFdkbk1fpszJ7AB11OfRNR3dEXUIp+3c
Hskyn74cy3JZFHnOtFYlPTRkijg54FW4utzuHc69FHOkMCP30I00ch1GmZh3Jqq4tjtP5EfjzZMj
Kh4slMXgbH6RNlSb3J4uEPgpkiTsWMpuGNc7LTdVH8Ltzmh0eLFWMOJPxhWGOGpktcRvD7eUmeAR
5ONhUTjrxw1jUD6quIp8OhD7Equ1ZwvyGFv6DWW2RaXPWoOGvCvVZe862aka60uXk6vj2vNOR5Mt
kJdghF6YksfYiyfVt0vjT6nVW6kNGXDO/Eso8ceIyyL5K9XliMeRD91qPitToS6YNAiD5rFRyVzG
6bY4E2mlgFTCrLipS/Mvm2fCRrmGriT8KU7VmfWf+5d+4d5uyz/qjKmjKrXDXNW3KlE+awIgQBlR
fBVqw3ZieuXA9MjmmENr3X3qYhCAD1plA5yS8lsdMyLsiM3c6CUpiCJpggW9B2nkk+tV1VNvUcmG
XRV7K/0tNRhXqqWJI9GEoMyPeS4ZOO6zhQyocDs4DvBh0EXnUACtL9XdYL0qkyh3i23FQagVV92h
BZZg7iV4PN8WZYJqsvGqHkqPWff/irZ+Gor4Gb/k6y+0xs4bSvaYwXKUs6gK5YTBQPGL2JQAcKo3
4tt1H018FYTOVqcfxTAQ6gxYHeZ4znKqF8PLI14BV/c8SePWJnjabAZeUq3SXVprQZ8b08E0eTW5
7exN1PzuAoMPw9BFQbUKBwl8fr4YjzUZH4jfGIKueTuIasydSYXii6z41cCoWJ28iWlXuEJBoc2j
x62LRxuvOA0YYJ1zTXnXEenp9xzsib9jEQxrOKnN8NgZk6Q7tOJeVPvV5pBEbq/iFbJHl2P29slw
1APEdBVOMN4uZKtp/2PHduOnu1+8UlnD+NHbiDOSwB5L7DsYxzzdURzBp2m08JgD1dtgm8+LrNzb
FS4Rus8vgDfdYK3vgN/J7dy86XQwwDAyUmX8Cw7M2ZEdDuVpxY029bUXPI7xnMfnPOX4M5vKsVL1
p3xs30XZkbbG6MMbivmaCemyoKCMMRJ7N4tsCWLg1L2m4VltW6aMeJ9+sShZaZJvG2cwRabhMnUT
GQNJjDufluB+RoQdzFo17RVDevA8SS/Ka+MNb8e5h7EckDtT7kzQsacqm+Dfgj8y1Fo5DFaK3pI4
xkq3bkZjGCe8x1m4LvWZKo5qWAXQW/EvOgjoYQ9pgKbo/BoRQ6ZGiUiaVYG6zYvxxWz5Prb1g45p
jBxSkFfuPENUHmWgC4G6wXIvzMfloR/zw6DrD3lTWaeJ2C8zasZdXbC7FoQh4rig4QT5HMr3f3u1
3eMWHynT0piqyXXZsK025qgbCjRsQsWGtDRv1VLsip6kbwdQIymBlPDaitlC8sFJToSPrlFBDG8N
75d7Vus5PHA6meQJPkzj+Bam+HZtXUX8NcfHesX5VcKQB0zX67qYvmA4kwcEU+HRbum6ygozXEjy
CqadfCtNWq2N9RZWi7HVySSUtvyuC+VPTlImqQoTYSwZu0LO1HFcL6AOBEVrOVYAYAlquDMR7AQU
GwkgBZFKb2Dt1eLQIs3MfXUs3NuWyTUtARBvLScLCkf6xLQd81mebKu4xQpdw9ZlxxynihNL5qd0
2rgyZTDaYJO4azbanDEZc2HJmaqCAyWdg3lABgRwgnKrN5IdJA1IrUUD9IU7J1eYv8/tXzs0addZ
+iv07EuSl9s2QgGdyYjS6I8ttfEc+VTc027CTFsVRKN1I81HshB4VrT85xd4lMUp7gmLY3nYd9A+
Ne55bu7pRMf32+obmoI5rwx16yU3cICkMljlW2WprcxIPXs0a+WrhGmD1M7X1frTlTDsR7CFe7Yi
7Rh92MqPvgAYEjkLcARwFFhq7CJnihCLDQwVBHpgAtRzMHMXTZIMhtHJ461wyurHG+nsZ8WkgHAX
RKONm32XE+v77DbprnzB/IL8sw69wcLv0ogGn/TK0cpwBUx4MD1j5dC1ojhbbkx7zuL+cxSbGAvk
yqleKnexAvYSY2T0rMJqWEKTnVESISBtOkEuScVqgxkWyNrm9zurnXNvnRlUd8Pl1bO/4zj5MOeK
WwJlokX2RhflYivMMJlZs5rkXwkpVJ5Lco0CeJRIS/T3OjLwDegH4uJHnAk6lByKPQzrqLHGzlQ2
kWQcEGrsEhqkRDfXEZRp9sOo0IBGGA933SuG4q58WyF44qUTHvA0jGuxRb57EnS1gQRXMQNriIOm
xslpNp8NenGZgSptKMlbK/yywyQIoa1yuApckyhKF1gZWA0ARLbzZkzGyc5xTYl52ZSddlZs2thN
GxQtz/vIu3Aq+ZlhVaUjyHJKb7TftNtKDt8utrZNouVXOyOdOos4uKftvK2eJvts2DOoRh2PW2cV
HBEFe15Hekdtt+eoDpHM9NodGTwrPH6TYS0yYkXzVSu+ReRVWLLS6Azg7VQz4y0E2mg2zaejzwxt
euXGCfWzhh9J/uBbGoFZaOZbq7HYjcqxTqAPLbr8nLK59sa62tsJb01O1SeNwbdkMu6LYt7HjADT
brwozBw3meGiZ6lTCKFa8cmA/9lUyj+m5AuZIk9u26v+bCmctTB02kr9hEwHUzqbJd5SSNUAzOhj
vf9S2urEPRfcCzAzqr+GApSxk6xnvyzJ+bXQtI9mdrgspo4dg/3ul3gmKlbyHgVT0yBQJakSByHr
gkyogXPhwanYq9Dkd2aDe9VZPYTRFF9WiJdGWUvG5uQXwPvwFT9Vtuk+G2FHlAdFILRFrwwbwgFa
J9vJmjO3xZgF/R1Wvg6/FtJgHknPDcNhp6oSk5FTCLCt6XirhmZPOM2HjiaRQvuhpb+0TU0H8zMq
NQpJQf8cPmVBr0m3L1kLxHpuxdti2e94OxJfLzg6xXE1gk24xh0Arl9e8JBSuatRz6ETz+Qvpite
SWa/RR6edBrVA0c6NQ1iJfmS2TxdW4tlPyFZaVNEKa8BKOIyw3XrhKhJIa6etcFwwILS0ZuJGoEG
MdcHXa8b1DidexuLnVr8Gwf3q3SIowMXjwO0+TMNrBYd4sXBuSty4uelkMxyd15hcpDfOBgtdKaR
xpNWwzQxnekpr4VtZ+ytUEKC4LHK4RShKbmhnuYjTFkgp7g6Oiuy1121FUITdwQ7T7LpaaAO6Gxx
+/weWBr4aRttHHLUXFjlUwmbVzxOaVmdIZPVN1s9DIb6WoykALZStY/WlLyluOdwfuctAZ1GoFRq
fKqY1W1Uab9YzWjuwbTTFkh2csXCFAAm0fRvmqbW97LIngYxNFfb6Q8VFNHd0mL3QJWYOmDks8q4
x/P03SpAepHpzCcOe/JkQfxXpsIF38UIJqSa76eF3aSt2HQjPgg9tFmpuGYonSHMDfIurZdCSaID
MLJor7w1BOPhdDks0kHXSP+qWc+pv3thpPANUv0JBQC7wWRfI4stm4TKq6HQAAYYqmxz69IYDmkQ
FtlnSi3ulolgVOIf40N0gyRsmY1OjBFVPrzfhR7FAtp05M+dBdiwiZOv31uXoE9KfDW3yPJs1hNo
TNtvVH5yDTy7abhntXAeVWjHfpENV6Lr4f5D4QMk0G/sevhYIYTOoNJQWHmH1Cs/huRzh5YoE42+
clP/9OjpgUthBmkhcpATaPjhDNV1vRuG3L2762us1uMWMCa/c2hdNBWlBYuW16RV5VdlZW/imUYo
FDwb39kG4cZ+Siq+Zc1uFqfwl1NjCQDC2B5sJP2op+6nOzImhTi3rXNn3qcZJ4BUFDFy5X5diDAw
hyb9jnwIb735bNBYJE9qoUGXbwEuQhLMiZKgOxx7KqKuhV15aXtG33KkZFd+0mGcj9qMs78sFx8v
Dc+gAQNghrdn69Qb+gJKvSOLEJrTgp0Hs7StKltnUn9gTWmr8VQcB3HUOvt7IUz8aLSRukEVYGBU
6qbr758g3mo+NyomCntKAjck3at3YO7mHAUSlS2ii4ZxbxpkzoycjpEaO+hI5/qFcI7soGV7Md10
hWcWlRJuoLit8aTN1XEGNkLW+puehCfmlflRG1DS4nbmPbuq9lCrBpThEcc+vQbMjwC1QvbHvcR8
YTmqoGFRJA+dmv/LTXaZyZYYejk+2qGevzepsZOquzNy80+VxdNtQeEUYNiP6cwE0ZJ+l6pgTKo7
TG00A11/+AEjXzDuNwiHLj5m+Di0snNOjeJSxj6xBhhH7C69uitOvVkGVH9J81ZmyNYdiimiWkl0
hfydvs+8cp5JIKCWpLarI9cn6KQEVUQalEVnQW8MOJJNnexEZf8dGcBbes4zWxPMbqGULcc0/yOq
5nFcNzQgnEYtVTa8FHK+AVmGMRiR2sn803fDKe3In0AX8ThQR2yshHDFskGmr3yHCCuVrtT83FBp
vcW4eAqsIphQIMOKKHyLOgVU0hAIo/OpgO5VgzNrEu0/l7k8WmBanfR76w4EJwN6iMTpwAGZ0apv
AhIKOmGRTQokCsvZwoui3Mcv8aAlzbkuMRnMxdAesEdfQQ+R9Kw3PQeSNqgMBlhQ4j5JPS7vU08r
1s0IaJPtSznX1WFMcDRxYgXwmJFQ7DL/TAxUrC1+JBpjV5HNK902QqMd0Rxy3Gk4m5jnyVQmKNwM
X3TKM6TjoM7CGAWqDH02PodjIBa3kF+VLK9Mx4+hjbB5FKl7jErnQj5Od4Kn9QljiA5eDq9n5G7E
bsdZDujmsq3EgMJaYfhpltnZyOYfnYGI3w/zctTpLe3MrHwvY4adLvkoLF7mFMRTMIT2eNKxnrVR
hb3A6jgd6fpuShVuvmVpmRNV+L6igfGu0quoTZKUm2bVTmjASQWN0rkcn2sVD5NtsYVysIGoyazP
EUvzJLBK9Q14zcp9HHUanTbMKaYuZDKA3AlQ9T1k5qgd66VwoCLoW8AVNFOoh6KGsEEtF4RdRRpl
hxu3x9/fKnbxo6Fhw4NwvPz/jzqm/Y3WmiTUYey2g6Zsr//9U+aH/Kff/7fp5GK8/36HRL2Dg9rk
iBWoLJLy2JkDaFI+R/rxfNu06JLASMMXnN7WAfrIvUwc+QBtLmLIFhk7KpvCCwcd7S0BJjeXJ8Az
am3eTGBT95obZApGqCmNgERJ5fPJXipJYoobXmeIJ5tS/yo78S+7zZGiHZIuLwI4Kw91O56y2F0e
eQ/JcYWEmGCDhJP0m1od3AdVr2tyXKLtHOkJllamx3kfY0Dp/1kW61gBChFhW8Z8n5/3rLGhL1Bz
Q8hnWe6ewe4fSqurgrSu/2QxNKhKH/+kheYVUzhcVAJedqND5HRGocW5xrhE0uyCOeczNMiImGqE
ycz1S0jJSXYqChhNCVekqKGT6iBMMC3i6CBmfV9X1Ho6R6YiLdHSGyf81xkna9KBi0oGSla9TDgp
4zQsiLQDrlEbE59g0b91FVmNWf08w9nbQhZ6tGVGGKSN+Qla3omeFMHMC1T0Lh+so7Ims8ZaZh4M
dH8eSK21wsJBZXZeJqofWosc0q38za3IPUpEMFphzcd7JMSZTmmzqcjMUYv1STeR57nGlABuwQY2
CrGJ6RxutQgQG1P8Q6MyXR71KgBxTOkzrn5HBPMR0irHntmFV2X0mIxOIARG6n7hBBW13dVQdRKm
sQevbTTiaBir0X2w+hdUOimF9xzEwEAONAAJ5FDd/Zijd3Za4mnnfzOp6JDH4OSW2nHAQn2ArVJu
kphpc1PipJ0tennlQJyH7ep9kJXc7Ki1MEUQSNe3MaOvOsNxFtpI+xWe/6yuv5fYEEEdO081+AI/
rZniNjOj6XSVIQ2xlZ7MySL3S9rHWbfxCrTjj56OXk9wGjUe6XBL9ZMa1qs1zn/7uEFWlJhnqJ4n
Zm8+jSGakYQXrp2lN2R58RY+3p2b2LqasxZygs5J04kX89l+dJSkv/UJsXt6RMNS1XC/qkvpt1Vo
+7Y2ikNJQKgiimKbM90iLNaweFQGcQldvFKWAMPUU5DvZVc4J+JnkkPcKu5xIHHv0BjAQgD92Edu
/+IQubZxqtQKeXro6me7D5fdhBP3koa1E2TGYF2rkAl7Gl/axgzB/aFgkXqqPgoNC23ZGHAhmfag
cAGd3FVt9KTRh/QtzRqe6MBi/FMs5ckYYfMrHOCcqJieO5PRulS65N6YYKAU2aj33sWuH5mieEGy
Q9Q1FoSXIrYZcjIoP2ghBZXJE+bZZShfR8oYEkYySAFScodbSf0a4XLwJrUvX7uGIRL2v/xVcwgM
Kkbmwqqs8QGPbfoKfTn3dECJr79BIBrEs9dwZr7UcUh9mUpEBHnq4qMBWIS7rwY1kNEs0QZTPpLV
syVnSKfDjTzKkSgSf/+KcUC/WiTobKcE1IqNQ2pkth66CqPFRnmMU8s6JHY7XsPIHK5dl4zXsawN
LDLMMdevd83YbWu3GJhTCevSat2JUIa91tvOa5c5L/BeVhnZF+HYid9n63gBWv22cKI/6dKRoRDD
MzCjVvjA4IgOLtMpwC4PSKQv6K0PfBDKVGk+Wre/zCvnIJESiBoOzS18R9pWKuYqnXMJjRHcT1lX
fCrzciYCrnpM7ZSsuPo6jka1AzgoHhdesZLa5zJKj27a5E84DBjx0gin9+qyng0luihef5hJccpG
PWQjYiJoArXbmEQOrSLHjuA8SQNc2WKpttEFiOFimQPTkzF0joh2II3L/glC4KmT1bJr2pFpjZU9
kjm67+WYHqdV8xUuLPLDwDx5MvJzWK1QweUYNsKGvZ1wsuM4xSbQfYBMWmCmEoVUzPLbCVMabqSY
rKt2lBOCZBe99PuSJL5aWsxG17qWKYk3IgdlcWcRIVjp3Ei2BjtumPrZuyVCiIUQrEYgoNPliQ2o
3EmGfbwiusfNB5W7yiEk07Jt3CXoX7OGJDpj7k+aOZKsRQv4QVTpmcnXiRx58o1DpwpqJyEvIpfT
ntvP4oU9gLBoELESdzEkNM8FGVzlTIy3KeDigACw9v3KlDOnEqYM5xAg2FQOKYNFM31pba15jOaJ
lEmaYizbC+4r6HyUQnqUvC7LsDxFtBEIU0DbUhpqeGnjEVsHkT69q7rYmdY8YMNk9p+zlETSy/qG
KPKJngBvciE4ulsexaLBp1sujqpl19axg3nszXMOOWpbCuEczQEOaJ9g+8pBAw2RstZl+gNTQYSq
hvGmpPW/OZcvMUJm7qz5wa4Zlk+WZqxs7gIuOwbKllVrn0cWTcuKXi3kxrMatjQF0llsgAw9ILSY
BMuxq9rFkb0/3M42LgsQ+2/VxHxkVl1Q431J+t5kjlBCKD108dCZGNbxvcybvtaLoxIPILTi/jwh
L4NTP4yb1KmaMyezK2i6Iei53xitZ6Cw4upOWaehNsKfPLnTsZtMTH9yIF7P7LeMY0G6oIk4WkKR
23FGiVdFfxTVRfZOy3g3983jjMPGN6Rm7tlD33WdMgjo5tr8wfEir65OWI3Z5mlQNk6OR8logPyt
ER12dIS7yuZZy1trUAEPHAj8AkgPjIDY8JdpYhaLlZyTDbmkWFmF6AIQMJJgZ/vht3DkSm5kYSu7
uFn2IifJOrdQEAzWDk2qfVNsSdBNb+XbnvcT5Lq4WAI5bl4O9jaDgBI0qo4yXImuS6HX53ahvFCM
eUU9mrR1QpcuIWI8byzQjQ9p+mpgtTlmS3nACWqfXLsjPczq9maaPlrVTJckj2zPaMwecvFILdRF
uXaK4KycloH5IBHaNELXr/3+Nqx/CiFQU5fJmWZ10Vp+YZNLK+12H1lQiJGxAYIFJBhAhYGfOc3q
KVn/w++fdLgp2CqttSPehb5zWQ23t6HbWTo0M2hpG/uYLBtUos5teB+Ru98jvzkkvvZYvjsfw1/3
rDEujImaCRQav1uOVeYr5YJ5a7gRzO14I+kg/DSgd4y3ttm5aAkVUI6cMKByBrG70f7ASax3OGD3
GHa39l++8ABfkH+KjF6j3oBj9qqD+b8uf0S64cFAZGc9AkGAWShfQHgHy0VRA2X/KslPIAiEA/5D
kXrunRGh+iUO+jU1POM5+7JFYFbgijfqbvKbzC+/6zvmebe5iPphiH37Fr2axb5tvob6woKwJsWx
jzDKLE9au4WfY+h+T9AJ+K4Lymj8h7Stuc1cZ5cAmpF5kBJ+iZV7oz81XxWJZPsivzjirijAoTaI
8wJAIZ2HtIce0/gNeED3sbfFnx1UoKuJTEt69REeQHYvnjl1m0RVkYSGXJG144aHpD+Ur+mr8oGU
gFYStodtteutrfFqfuX6SVc3xuQt8b/uYry4x5Rbdd8XaI/3EcPEzXCCOFgEMALSj+ETBIlxw7f/
yJubPfPvtBvf6ulI7NW9f9UCCcooYEZMQBaZrM/sakiIdlSc2ha5yHDFLQcvNUeFsSlfQM6iJlHu
KVmGhHkM26Hzw+66PLSjT2QgDn00lDgSQBJCUko9kqufxz32lypg2KOkW6ZbsEU2fDbzsTwXr9qD
dS9Hz7Rvvb6HuABi96iTC9CTeRy4z+pN3GFm6Nw4CviTA8fL9/6IN2ChNwym5lycnAuNYwrJe3rI
p/UOiKg45n30xsBuCMp/8tL8UW7TEcsubs7DsjVPLwgnt/Gl4M28Ja2HoIZu8t+WI++n9On9XbXv
iXb/xvIbbA4Pkj3uAzvEGwtwYcBf3WrJbjR3KDE6NtWre4gRX7eeOMzFBqBK+gJhuqeSnY64fUse
Vb+/N0F5pQ5HSzBD1znGrzBGXNvnE2kZsUi/PQPPOEbP04uyS6/WLjmIF1k+WsnBjsjx8N+0G3zV
A2fTjHzwN0BK2T/Mjx7LYEuzhN5qEOERRQn6hwC/d3kKaQO+9YHpK0/JJsX3Cx58H8cBapL4On3m
R0gNj/Xuc8JXezZ29RZVbuMTefOWfWAIeRY3NC7Vu4lb3sepAhgkibax43U/6Q8BhognIMkgQryq
xmO31040fcYPljLjiznfKqhHAb6j+w0K1bgaXBiUmvvy2f2yMo94jxfFY2RCcOW9Ozkjcoe99tV+
qGvMr+dulUtzUHs44xvXmzznHavis0Zg6F8ymX256x+K59XRgxQXvuQ+e86BbUNcoKXHR0o7SL2T
8/e3fU8/SUsET7ezbovYyLc6951n6sTlB2tyl++Ls/ps3NxbnB5og4WHhQbylStEsZ4eYam1X1j/
ux3HjXLLmMg+xsfqwX4fA/ERnmHW7cp9/dMGMdS3L7J55n7jFifB9IRvvqlNfK04QvfM6U69eMpv
pCQnwaBs8hf69u+q4ZH4YfrwPDKcNnvCdhAjI60bfyL1QsJg2rMlbsQ3Os55xgBzHZHWgGthBbrj
WWjYa7hpMJfPIFeQ5vl4ms2Vtn/gym/q1/gTWzoRzO1fKlYIAzNMmQ3D2HwDDXyvPcaoj3dp9j/S
zmu5cbS7ou/ie1Qhh1tGMEoUKVHSDUoROWc8vRdkV7mbzRLL9oW7xjP/DEngi+fsvfZM39Rbv+Bl
M5gSaTpuTaP2YWLeZQdyhsyUIEl6OxuhXRrAekpg+FN9Xq6dRzWbqv1ULB4QRHbDvXCU6Ts+BI/o
uUEI95MoXsLkl3a9jfEOdA1V8Smr7geJCLuMxOuZOK+2wrG7t7bDnUATlRPDztq62s75avGRboUF
t0R8GMqJHZHYsuRZOxn3xot7ZEt4MVbKp7AtbeZfwKWegkGMH23q2cVTsUYM5KMUnYp31hwzw9R7
0b/dDTJxl+brRH4BcwXeiY4EUdoMYIKnJ/6SRq61Ll10ClMEwCJQP2tuHot4VnyL7lxYB68ir/RB
Wkl3ef0WbOOzw9DmDI5eucXJzq0NmQyxiOBNq7uIpax37Jz1UGyX6qrMZ+4q7hfBt1U9CcPEnGnA
Hit11/FdRtvIzNVmzCwVde2sfiFrILNpKaGpABchroQdLVhU1v1MQSxDA8QeDl6yFOUJlKtZ1U69
uYE0+6BA0llUT9ZOEpfZBhOkZkzyZbcF3Mw0ke6E53AOToy26r3/5e5g25qfYrPSWVPvQcWgXahn
RrxEJ8whSP1I7GpDjzPmJ+aPxBv37VROpt0Gma83T/fJi/XMGV3a5uDjDLK9Z8IbdX7kuM6ntg/b
iXwfqpPCGdCzTKp3S0Snh8B4VzgsCzPhoB/d5qB362ETzfBJT8Fz58t8506a9+Qsn/pn8G3mO6Uf
b21uRtj2vHzxnjJg4h9MOTib1Qa02gNPdyGtHW/GAzPaOx7EkE/J+vNPoWdb1iFoJ7W0kmmjVZQ1
eUvM6YlyFv21bs67lRZupUljS8sBkcZzZVcod+FPEwfx6RD30M3AT4sbR5wZu+a7IoOZ2pdMLWiZ
PJUIBqfNo/ACJQIXHAzp+M7c+Ar9pnnSPxBanmwc2+LuP8m3nq2+q9ahJjMdZUs/JU/yw1kpwtTy
F/VDALe7XZSPAg6MeAKeE4lqzMPbYFDs57JP+9lu77R6q3twK6by1vhOGdtwscj73dGT1w41271w
7DlvAAp7Kg4tMvl3+MskOeH0uAc/iqQGZa2BMpl87jkTk3znpWnHlV3g68a6fh9nRCjMPHFKwwr5
A9yvamZiRUrWMuCriSFMEtwGzbx/6JqNES5GbSWYDzyTJKl5CyVZgN/kzu7rB04KQfqoq7uqmpXm
iYukUO84sGVfxUNlEaJuOxxDX4N4JR1YoJA/yf4jRcHkobzz7xI8les2n7vH+hzmS4K5mTG0aybu
zFjBVVxkH6Ix9dj0n7S7TsGnsuBWjDJAt92ULLA1xTmOc6iQCDd4M19lAHST6Cs4NK8GtTu7mSuv
6TZfeet6U72oD1m07OkIoyk9gu+YgC3DA+UNthfPsnlu2NZrFS8BIjfxBgRkn9wlxgwLoAcq7c4d
juln9jqmGeLeRPNgcjT/crU5do/kG29XrH7hLeuf8S5iw4qAOKAA1bAwAoCeVAvjroCfvKZMekqW
fr0pj3Q7nTPYn2E3fKdb/Zg+B+YUlvrJ5fi1Tp7woE4VkPF483aZNst4WVhH9GnOZOUtMdgOuTQt
UKBMo0fOcVXy5kL6ozS666jrnfmemEMxD7B9rUN03SSOPdBxc7Kz1hyE+/iIU6YjWZtpxq0Dqeg7
Ys/hi40txxixcTlKTExnI57RrRxLbh1rcsI0eu170y4RTFNXHKbaQduhow+e+oXDGfWdgS8Q0rfm
3IrhB8r2NHn1QdB81dtyJjFl2J5Q1SHIf4KuKawdm3PLLD6EG6WYaYt0HS1IdNyZ2wwvmMkpeGrs
vDtODu4rcybaNOk6wwKjEqczyY76sM6Cxei3DVGwz8mpc7DGMNq0tbY34km3oa5OnUIlVR0p/4I8
ODqe2ZH2r/sqsWBxooKQxDq7Cc1l9ARtZ0g/X4TXrHsV00MTzfJnqs4ucdYLTlD+EokCQmqOZ11x
6tR8aT7U2XzE8xwqYmU5+wB1/ORlsKuGHOO50KxgLeziU/doQnh+BawGu9ebUGX/7LWJdsLQQndS
UmfDfUHLb5GfRZvX6Dw4SIpa9jso5CjGFxSCTdn2HpmgKcrxhbqODy7414XJ+rmOVtE2fWvMibuJ
Tu6eZKHU4qxUI9j5ohDwoL7Tn+EiyoHVnGOTsbYoluHIIhZf+/fJA19buhdfxYNyopjBx+KO4o7w
gteHMHjO4uImnfFyhU30Su2Oi0L0VTobBCRjl/3kfrIax8IaRVW1N88Ydt+D78IOaOmtsrn64WwB
i0sOdz7OyJN0Zz3gZaSul23bdQwpe1bOvc84oIfFfciuJj7zqFgHhEyQRTSpnykVsF/Xz5Q+KoCj
GFtm8gzsy4PwEi/ED7FfZC6Z3RPhPmQ9RPjJI6/eAupLH8U3u1YLGmmYEnzZrrxmpsydD2dTnt1i
EyDmXclbwBbrGJubB+5tAl9bXOQvls5KxAzlYX8joRe0ibXGB2KglQBisdCW1qE4VI+IOc8mQGH8
jwg/R4r5JFz0W++NU3XwzeonRTOd/Mb3ngKfO/lqMlSWC45N6LPZ5atzffCUbfSpPTM6H/w3Zxnb
FqlR/szaGHsJf+EnvQVEF9bw5FHAnBsKUviJ+ipsRRueOfEsROHNWP31Da2TmbdjWHXlPFiVaw8L
/L10HBebUSTGHc5YSffZeIk16TAsqee5+/5Ren7OJdryM8o+NG3xnLMx5q8RWvZpt1D3DBxekneQ
N94X9lfzASi5/x2cmg82AeEoLZKX5NTHy5R94uAsu5VxZI1iUhifdN22yrZfw5AzXkLQDdF0OPIf
616qMb1jpYJQVjilTSGLelPnC+U413W0t8GXyhWDk5GKcnLi7bBXiQ9jhA08rgm1SDwwp3SfviFH
t7ZjfVOg6zN3Htyjx3yaOOfoizHcEDzBVRQ9pnjw71iOZJYcLGcT2l3lGSDSS3lmefQexA1Ggvt8
0Z65u6q7ZCstjM0qPIhz47lgtuUIStMFiyeLpfbC2fqxeW1tujFnwL9Q+2c9OtI1sVrY7Z65sBN3
Xm4zdJL5rFyItPxo9j1Za0bTe3HIBcoyU+LAWTLak/ncdxtr1uydj7Y7B+VCiJeauExV7pYTVP22
sQ8p/TNtcPhwiWuxMU7El3ECdQS4brJvZ6HJ9qAugO539ULMbXfJ/zBdapt+n92xCqI5tNY9X7ZY
Fg/aulvyBMStMi9pCD7iMfYmIfWgkdSKF2jls1HS3NqPx2e8hO8JxzJvTu7VZ27CKZuzgJ8FFvJR
uDDJbGOXvZXP2ClkLp7SQXgkTsvVQCTS3VeXBiLo1oqctUBrZv3zV2Gng00NM2tWDmIwM4AKTxHv
Y2h6Bd7Ky1NCcJp03SR/g1fWE8Gk//z9EBFWHFY5Q8UKN6XUmPOgYB/H8+SQVI5hShmiZ4iP5cIA
wMphpRTktagl/KVrhmsch3T8AtwlPmcvVMooRNv6PhSDfBklfB8va7A690yGdvwjQHYzrels4PEe
FGRw5VaVOo5LXfrff3RmsavVTF+GgOrWXQvurVI5UEZFlK+tL+srLa1mawlQYMegSYqw6BPmcSZw
U/n5Qx8eI0NwlzQXKGIiMM7mVeFzfPDMMyLLwvbA84y6RyyIFJ5VvKcoOSjR9sOnqAUnIbx3qVi0
mWsiGpCwPhf7VpU/5RDofRJwmdPNg8PvXfsE+KJlqmcpWSgTR+D+DbiJG1H/pWTOzqkcmSOsS7pR
/RzoMH9lV8R/zIuoVdlGrxxPhHZge+wORlmHRIynIZUZGmdO9qSWZ1IxUCrw177ZwaD1y08hCE5W
lB2LrnyoSM9jjVSnpBG8tXpGCbU/95lAKp4q2lTWF1Jv3Ie9a2eCvFe4eFoN/DBJPRoOlyND1kih
6LmxFIpN6MjBobkzbyvzKasHDeISaiCnGx7bQb7jdXCASVWHOlH2aZJRNjEawIli92HKmrC2HA9H
n2c7SrEtk65c1bisWGeiaFUYHF2Nzm7F3tsXAqYTzBj90snJbhFdfzpmwsLMMHZmZHUb8ob0idVQ
DCQcljbQABvSkj96isZzUzaciY84Y+ZK0J7c81Br32pbQE4muxl+e7TQIo4LkLHWGNj3Qe5xG5bM
6X/8T8LjNXLNmIX4FzbHRLxkaLql4s7kQy+ALnoXyUkjmIXdqvAhUgtMQcN+ITv+qoyrSRzny0IN
1hnRTyAq+sffP/5fvsv46ZakiKZOh0i94OYYndZVWmoUxL6235C5ZmLpUjoIqGIIo0DJKXSqXSJe
6d8/VwI79M/PlmRiB02N5pYqj1/sD3KOWOpZJ3dSQaeF1McCp1ihL32jve91vPCDiJo+LnbY8Ha6
hZ6TdjI32xT6ltWub3yV8TdevgFJNsbcS8viG128ASnUxB55aAFtHCxCkAtgIYQvLzVRRd55BD/T
nxyBMAzfju5Z86g5+TC1OAk3bn9jOBhXvossoUVVTFWTrcvvovmOJAupT688J8IsCdjgR6xA1Gdv
Hl40RzDVG29CuTYAZSweBhYTUVf1izcR0rEbskwobD2h3Ge08aOhaOgkOWnVA7ED4+M3pOo1yxyA
McmyxImadxztkQPgMonWSuQESIwDcLZcYEKZs76q8S85Ich8UHluUTyZaECyHmVqFfN6s5oWeA45
ggsR4rC5b1aH31/qtXcqK4qBRdYcqVcX45oMg4xdyS1tM2Yj1MHDTPS8vTF5fgbp5chRZOaOJsLf
Mgz570Hc4XTuK2sMVii0E2yaQxMbm9ag+F0xYzJKsEabHIasAcdg8RetueoCbYf/g5jrNjroHiMq
KrP7dgsWbsu7X2am+mVVI7Mke43yYjf0ADQyPV+KpXMv1t53WsTF4veHJf9Dz2INUmRdg3VtSiS8
X+S1WpoKiVZWuA5YHE1dI4VWQMJ1TaulJw1hMhR+bMeGsuqgPYF7XhbmIimiJ1dqETiGEEZ04pgs
+csMC/KiYS4oLrSCoXXvndgsbsyRq2uHotK4Y/MyZP3nn/+xdiilpaeGz9dlZE1rCaoNhqvpMGKn
pLh5DGmpj57+107bBAq1SxcBHDWZSWSK1a3vcm32KCzcooqiHmHoxRBwEZZIAnh2O9Tonhh5SKAO
tJHeoyaUy/nS1ZhPVUOL3aWN0Xrx5+/v7ur0VciZVUU4bzoD8e8xaOE3+a8x2CEomhWSTJG58RGJ
9o8mKesTGeB1Oc48fFkhQJDx5TTykZRGroXgZDpsctjYuy9nBKIMiP2nVSB9VUZIwdXdZVEGuyfi
lm2RKGhBPfScdzgRG2yUFEyDZj1SlqoRQ/X7D5OuP1lTN9iNZdX8Z11Cg8oAEgu7TDdaTYldV3AF
olqDFVntKoImVoNkrSIK5wHkl98//dq+yAgbiWdEGMvKxZ6gdo5aqzF7Qj9yegRKEy0GNyZtsJRc
4zHQEgokbXXjN19btVQRYpIK3weS3QVOLuzqpAF7XthDx7tEcPOqm+nr77/s1mdc/DJfq2R8ogxY
RH67QS+WqhnfWHyvjkkmg6RYzAua3Jdj0iKBo5ArJkUuLZSWFgBxXBML5DYt7uTQ/WCCVBIo83qH
X+aAqYlmPPrhKCK2Nt/4RbNrRPyhpizN2j6iS2VQMfB679XPXNI5UQA3Y1RcLfSPcEiojI7AKNd4
yHznfQSOmQ4qjd8fnDRO5b9Xe5KsNVMhnV20kOxf7CmqlpHUCSzIdhGnTyq2cUJL4rmMCGoaxEwz
o4wecXfTcgB34wo5XZOMo29mJbPfv8plvjZbmigasPstWZMl43LRyXVDNPtMIRsy+SZXBxSATP3a
qCT6uP2hK6oxaTiYecrm98/993SCatJEWGfoxIj/pIv/eWizXKkaijDK7WHwZobMnCx52EBjG/xo
LLoFaSG/f+I44i+eOb/P1AyM85qiXp6OrdL3h743cYepJvwIlNkcZZ+zInj6P3yOKosSL5jVXB1/
+R9bis4dTrEKI7VNajeDQ8YtQGQ/d26cNU3l2u/543MuDluCEukOwhFAq0D2Sa+Yofnmlq9PhA5Z
gJSq9BUfIj9dpWUAyrjPiFRbGXlw4udTa2jqZiFYo+ZKiecKeixJ8cRFwEmIRJmYb5z0Jv8M8kGL
gi1XAdzULjUj1eqw38PfXsIPFeadJqLohe5DShyiCsc9ujE+MNnhmh8oKy0v3cXQLNIxwbtV6dBJ
jUFKIhECbZAS9pAOH/jMhVXLhRLPZIs8kl5+Vn80poi8IPRcLsQJrp0ufGuNGddTWm1uV6FXM1+I
RSDZRKkzzE1tNUtXyJCkEz5GQt+8lzbWRYSr0HW0Tj24mfctwsQbo5MgwGkmNcxBMuD5a8/iQg6G
ey7N+dKhwppaNMAbHbtNECIeMDvvyR+Gk+vf/T5SpCsbEwdKQ2MKiijDtMvTUhQNgsI1LbWDGCCA
7LXHJkoOSisfzcJ6pxrRTMQ+PGDnOVtxcF9angqkqcXqv019bd2Ddsa8/qxJ+VzyssdBiF4lXYnY
qSuyAiJ5OfQehZ1cn/mi+1Q0esLLdUhek6Rl54ifRYm/2ggP2NroUqneU0qsIMx+tDfWe9S2R62y
9kNVH+WQkmtD0E6Q0BCJrX2Re3MVG2Gl8i8EEcxy8gq8Fi9ncIhldYuX5CBXzRHLHOHiQZ+sFEX6
7F1p6QjGHh4MMSKF/FYTd5B1tB59HrszhpT4fkSpaZ4XA+IKPAvT8XvKKqFdpVEfPV36/Pn3Gn1b
puUB9e2sbCBUyMj5qshad4pja7QF60J8K4PGdjrWNEl9VuRkhc9iHfmg1T353tXUOzeEDeEVj8KQ
7nC7wNzxvEevDV8KLxu2lQeTx3GFhyopd2ptfFqaTjXfLM4pdsT7sLHwbiX3WOPSB+6gjCkHw9WN
EXJlo5AtaKkUnzRUmcbFYuLEUEvlokcdDYYsdYt+TVYKLASLOmRcaAs/tj6JDCdOri6Qs4i89rDs
aII6Smvf+C7jdn6xgCqyoYKbsGB5WJdXFKosTdNmcWqDA0GeviaPxB+NavHcRC9X6xKEZyUVp0LW
vnVG9SGl4rEsUNZ4nqnO0yajm2gK7qqtuhubmPTvrUPhhibquiyZUDEv1/bC7UGe13piu1gGqHdl
JlJZGi+Iy8GWd8WLE0PY5gYQ2aUBZ8sT2lVdi86NTW2EI18+Ivi27Gdw3Pm/y7ti1Ydm6xBYDbjl
ESJAvMT/R/LrDzcEU8ekC7p+kxDbXSvpqhhpGtXoOVcbC1lxFOBo1D+0eBNhJ6As393D+xt2JL4i
f8JYIhM3LVsoZx2CkQdduFeaiN/iVzLEOdhaajosnFqHz03F/MbL//cIrXA/UkAyaNQ2ZPniHFaG
VRaFeKogtNb7SrZovRdvMKgmTVSc8jY5RXWP9EcZgMWkb79/+L8naHXcTSUDJLRhadrFOTNsMtxN
UoAdxaTdhF9p1vX9iWrdwtdz4pPJRyXn7tYZ7d93yakd3LVhcDBSSGn4ex/PyjSt3aaObMLHtj1a
wiyEsK7XQD+CO81BJ53gkeveiE89oKL+/P03/xwB/55tqqjws2VJlXRduzyYuX6UJSo5naS1EmsO
LJXRoctI78QppdW7INIPDeYA2tvEpyUCaIuW6kTeqJNONM+Q30/1+I9NP7zrS7z8Y2BMFadvff+g
1DswfusgxaJvFLfe1r/LBF+cSweHdk3j649L2h/nn1yjbq3XMV8c072n4AYezM8AEz4IysPvD+na
wFAo+uk8Jk5C2sVHeUiFHbOyQpsgt7Ni4PBwjSWBuDsDnTeWMW6UlXX+/TP/PTDz8yCmK0DOx8Xm
8tilZoA1BZNcVta70Mre0l46gWSYiZn0+PPIQyeeq7JxYzz+e3xVRa7kys9hnQ++mARaSRGjcozQ
Fup63RNpo6rhna+L299/nnTtmWoi5S7FhCwoX5ZxOXaR6cJ/23YT7aA33OFTJhoFN7bK9CUXlG2o
yotA1BYmbAG1ZJUtFJxWdb/yEQUCqdLgwA3GWXBujawrxyWegSRyfjeJWuJG+PfQ6gjISIIA22+B
D2jwvaOidawBzhYM/qZuXiQnQOQTwIiSbg01bdxpL+fjuPQZGpAwdpqLz2YDqSwoR6FtkZ5KKCeg
tB/WgmiQZt2l7aqC6TbBoAmuARJJorjs0iaq4ti98zDBk+XqDFPgg7sf4K0pYQQ0mdSKhPe4i0OI
NewE5Dwx7SmYSXIxwxmHKCQj+9Qpk4dIxUTejQSZH+hYlakY6HGT4BOLRkfb6YdlIOTmXGuBF/38
zwHiWbCTgD5hIqfUCg6ubV+rUluT48lBPxVHU7y78Ewi62Afg+Tw36nroXzrgPsRK2QD4rKmMpEm
AJ4X2XgNuDHgxkn6z4M1rbE0I5mWejnghgCGq6ey0PWt8EowIx1Hba7367hAjZYDRHG0ep0mkEgw
TX3izpkrWXn/+5e4OrmIHKB9Ycnw/y8WkljNOTy4aWTj6URSxc8WQ+lkGtWNS9uVeiMj2NK597Ko
69T6/h7BuN2UJMtJdWsVmk5oE0mM7EZMapkTgK5LJ5gH6MF5N5WiHbxa3hZOs23N4dYXuba76Rws
Tdmk+MnT//uLDIGIjRg0qy2VcC9q/ph1xbJ038K4f9ZGK2dZRu9Fru1HI3xsvv/vHzhPQWVDV01R
vKzIMQ30JvRYzfrQ+Ryfd4G+LC6cG4u1/O8lmSIYKyN9Bsr38uWs7cowkYaUFUMPaTFYcP4nURah
zjIOYS9BeWDNCpTK9hvdmrQVoxzy/KRBYyIXUMRDDA/cHMiE4cg7tu981TrHMHNkh7CBDnlgSQjj
7PYyfG21IYZClWg7XCnLmHphgvBrQpSd9Vpoq7WQZW88ymkiy9tevLnqX31OsgLrDuyF+U/nJuIh
GTrVL7vv7gSpBokcZm81ZVOQkCbKmsh/r6N3FfBLK4CrajmR6vnaTxDA/D4wjHEGXC4HvCiavKqk
EE5ysc9ZtQzgyc1DG5MxLh1A/ybgBwiUOdRKH+0XJqm0Ku89ThMcCQ4kky9F88Uw1VOMtib96lys
K37c2CXHpYANEtS0R5QDfzSWhLK903aa5ez6Sj6ZHcWMjMEgKtkbOZxPllId4yx9szpxmwGqJ10I
L1PxUpjaPHcF1LWclyhVU4K0ToOUPyjQmjKLkHtZ//JTmu3kxCrzVNbHOMyHRgEBkxnFhtBy8BYi
OVcxmWEGwFP9nPhccxn2IopTYuTHye4xHCah5sPaef35a0OP5z9POcupqHjpeyDe2lXVq+/eoMLK
+oe37/JoXzjlWFIg+NrKi3UCbMkMm3VLk3M2ToiiJQ4v93pbkwjM6oJ3nScdWNIpKJK3wC0+aq9c
DaJ6EnxOmVXLgp0X+REWx/2gFi3HUmsaFt5H8C5ZIEdq0tkgPd7j8LJTWGThyJkyIh1ltKB/Ngwu
M9NKguzQPY5rsWLwj0QI+OClyByMGpwEqftQlfSzDOHGNnDtgCGJKtdIDN7WeI37e1WMjLoLfAAi
tlBJE6lLHtzOWYvBXHLzx7To38QMrY4THay0v3HHka9sQRKL4XhoplmrXJ73ZYlZrWLftgdH+gTX
9gzs/8mQvHluJccge60lxVbs/ksfjWUawh3vWUyNbeoob2ZTHZMcoJ6Z0fXLxkrVsuwQUMhOsqDe
g6XKqo5eEa1+n6vXVldqWpLOeZ/z2D/X7gbaakdYcGq3AYo2I1nlNfWduD0WYbIasnAttsZC8XBo
odLsE77cGKTaivUxqlBHGB7WGe8uMoaPoFOfY1P8HGDBBeajFPdvYSneuFNdfb2SRFuSXgx3usvd
VxWswC/MMrWx0+1zvS0QDT25VbYRRf/gcthKiH7vA3fZm8RZ//6wrh2s+eyx8ixLmsVa/ffYYslr
q1LNGVuEp0xlRrPUqVtmzVJLZ5oQHHHWr71B/Mwi8ZM69QJi2zJpnb0m10es+ZOwMpExA59WxGR3
48tdOQ7w5bjOKJzBuLldrLqxU6gA53mTQ5U+gxtb9IP2HGgsl65nTLifbsWE2pKraXvdtdZq5z7d
+AZX7lW8GdFSTJ0Llnl5DMwM1a/ihOpS3jfH8f20umW7JRDz6lm1miPZ409pPMZEm3sfPxk6jzRQ
noNy+KwM9yAk6nMCZF9Qcc0a0o3ZeWU7lhRUNZaisif9051v4FsmA3VolNA19+r0S9PyU0TqHbyb
/GDWya1m8JVbGAuyKMuaJMt0ES4GCyPDSeVySGyqA4vCRQ0Pz2QCeXWW6d4x8Hr+ZndjOo/v+GLn
pV8vaopCB1qVrXGF+uPing1tV4jErY6O5fOAjrHDG25UOzdNbhW+jWtv+8/PuhhvlhCEgaqOhTIL
PlbpEzQdSJC6uOFI/lvepQDYTGSNqrL0xHw/ZKmBCcfcmL3FpNVnWNZPI9E3Vo2FSz+vyPqVmKpn
QPUxnXzSScAtRcMykwgPbw1xVQrZCUusB0JfqSjWQpHYGJusLk4/5GMkmjHtR9h82ZeaSHavcC7U
GrArwbAqPWmVJ8Y8SZu73v90ZWNulQlKOmNt4sGm5CJ3qV2l/VLMrU1WNHsrBvoi9MtiKPdCm59C
AD61gNUUA2jU7OKmXyk1LrW8/g6C6tSUfEs32XcJBJPYGY5aRKdEtog0SjFpT30DhE3UDZPs3Vx5
IdezVLVgvjjiM1E2L2Gp2wXIMqEnDROQttXNGpGQHAUiDYml2eyHcGnxUxYqKknceOpaRxNkBG6+
iDuU0mL8liHNorJYkoNVbQa3j2ChJuwjek6ST8oIBC+wVJVBBork+mtmME5QWi3LwG0RblYtbDpA
UW0fEBBB9G4dc0hULBUwSCRG/CdG6j6yRFgJ2t7rDG8JWQjJOBXsCSEMz06OzjqwlGVCLJApZAcw
enh0GPWDmRxAnc+UjPOYIXarMmEr1KDGhfiFG7KDrPDLwh5k+OXJdMyNZhZfjZ8e3CI5CGWFlsJB
86RiaU8/SlM6yxG+xSRMn4JuBctwYujgbmkcnA3gSE6GyRtIseXZHqmSWujsREKtasABiqctKmE1
DolOzw9Wb2xMvcdEypcc1wEg6Uv0rUslhHvoeNvWr59Tw+1mSd0vf18ur84fyTAkFgcF2crFhVXP
y7wi9TGxia6cFTorstfe9xmJF6iE1F6f14O14SfeWAevHVKof3B7RUyBVuniYzWvh6Hi9rjIaP9I
orVPwph6fnJjJbpSz1fpDNNrpGNLG9G6+BwVcRDweiux296y67bGEwUJPsatSzUlRU43yXzvYBXy
zicWJ5dunxSurfhsqobOM6YKe3lxtLI4j7NWo6OAhyPKUZzW6N9bQd/yt/cIBbj0mRPHHR5Y/Oee
j+IVJOJWLAAkmxQfawJ5qqq4D2UitUx9Q04uHSwNWLJDEE0LOXMSSwlTsHRsN0o+U7d6qD13DVd8
Y/UNMAXSphqNFOo6oZrvEhTiYiCO23rWp/pJqcHAhSyXdT/2CCNhKhfQSr1+dDqJ/ZuSDHYyELjj
GVPJMvaxJyLk/5TLEGFOgwGfXK+JofgPeXYozBQNu4ppQKyGt/FtppDB8H914cwM9CeuUmGsA23o
wWcFhwLeEuReTiKvjtAiXBg7dh7rhgJHbya5PoWaJtiZHFLJKgjAKVCFKmOjmslB41JlAOMogRCO
HH9J5AcpBAjUqyj7wkgFmFSEzd01YPkRRrSuSqRBpZ6yrs0XPZp/g2Rv8A4kvRoSHAp6j0ajr0sR
E2VUuJO6w2PbBE9DmEHfiEeROJ5P3+EDRqzg73Pw2n6pK1zRLfRuDNVxjv6xX/piqcVJ2CTQD+kx
yY+xHm36VlyGEnE1/6+PuryiNRm84RTko+0ZkBQT+MIJNXYwiVPiqm/8rKunZJ17FboU5Ghc5/7+
XWIuZ2muFvyu0C490vTcZO516WI8twdS/yK5xIvhZAc3fONnXjv1UKWhJMVRi3vYxalHL5AVJBHL
S0fbFwJ6HGN5qaq94VkbKeP98v///mCvf6JGJX8MNv2n2gCcGnULHEO7CAoMYMUJqsyb5PRnwo2/
KvYQqE7z3z/yZ+m4PGeN+lhqnaiVjUvxz1BmUP1JULCDLvKmKiGHDRpHzJYWQaNiMRkq/VjCZiIL
ro2OpnnKQyiORc8ZoWjHVh8Bw1l1ENioSsyu+EzjihOpPyytHmmDJqRQJ0geMWJtEyJ6o9DlYIob
Vnpm6NOhGJauk1VTw2S+tbjSyBqgtr1p4OjOmCsb34cvRfO2nErOsYgwxlUw4WJLsdNYfuys/D4R
kn7iUIlF0DzzKg+asCWEM5n8BGqzLa7j0X2el0CTEAASEpZOuX0mUzj+L4EJdUIDjvf7U706ahmz
Cq0gWtNoUP8etW3nkJXmWbHd5tlX1D9Z0EZCZ1iBr9vL6ryqZwF+x+FWIfPaAIIHRCGTgq76z82g
bITey2Q9tiFUfwUDr88ayrc+qt7iUYPRFdkB7s/p9x97bfen84TiXRz/+Dld/7HyiFYRIkiGfBiy
haTgaqYWOq1x6y9SbR2Y0l2U5qfxfPL7515b8f743Mv7czCoUZNqYoyxuVuaEWMsMMt9K0vnIm32
v3+Wde1KSgkUkRjXUlaFi1J51ZoEehDKZCtJ8NB1TTvzka27VGPlIqqIccm+NcLc6D4Ny1708LKb
MDOoG0q8aMcpjYlW2or7GaXQj3S9uwsIK4dV2cUOgFMlQuQnSJ+ujherVIHlOdpLgEZyLsvI8jpi
90oYg14AOEcbHqsapMkQHlkbYfdCnlp4yYozLbZo3CYlbm2S284/5hLdDERin7DdWfswxY2UC9w3
JPDXE25eFIxTzvpCciJmo8QSQt3ZkZZuo5FxV5Wk6REMiZRqnmjtSzOoLSFwXHukSlsi99o7ugvJ
uQV+SaYJW3AFYyKcujIM4VDpDmrkrcdzc14oZ5MTcVcyNohUmLted1bdgRis6hSk9Z64h2xuhMKm
C7V5C37WF7xvYSj6ueZVazJmq71WeKRFYX4loffGFnNt0lhjADWNB2brpagzirIS3WVGXT3jdpUq
5wYcRSWqZy3TNjR8zxURZTdWevna4LXQZOCGMGgVX44n7pcuuYUsEHpk7GWA98huHXkmldMcEq4/
pkNJYwuu9C1bdwIiDWNn3/lBYLtBfCz+k7EzW44byRLsr7TlO6rh2NHWWQ8RgdgjGFxESXyBUSSF
fXc4lq+fA2bNdJU6rXIs02giRZGxAO7X73JOT1mzNij7Flg7jPRnGdbf6LdHbqXmBS2RnWDxwkvo
AaqDzQpyxQiwsKFB/Pv74k8mBSxmLOjzMFhuyFX+cl9E2pTTU5nDPAqLLf1TTLjrZLzHVlytgmeF
f6teJQz1aRP89UyLke35Po3ZU0WGPGIQUfPlTvWswrJ8xKpH/xajTjusBUziwm9H6ZE/K3MbOibw
+BripdQQUOT6oobW8b4mKt7/+yf1v43foB9pGhBLMOWR/lmumH9a0Xxn8gppmPl+NNKgIakOSs17
kpWj1q0xboUf1puqAB1eGOIphq/AGb5kvDfCDSLLbJdkHAOgVnqx9xfr0J81YtC0TeloiRLc/5WY
jUZ7rkPFYlt78blP8lctb+7jisFo22IQWeI4aeF4d/b4BPzxLh7lxab0tVIhJ0/Zuc/DtojLD5nx
RkGpp82t+JiwFbgDP6IvvRPSGrp9LO3nX7ym+p+soPRG0CpAgxuFnV+rmnoaRg5po4L+7BaRUsa8
Xz+xbIT6EfMzPSK8uuNcJYchPvoD6IEqzeaLr8NuGOJ3fWqMOwpoVLdziEFmuPg5+4auNzG9RjO3
y5T/wA9ZBkMp76Cjwj3BrOjX5DhKh7vFTpS2SeGq4u3kZpugjtte8sBiBaCyrNx9nvkWtt2Ss5Rn
HisDQ44ZkxdeKl9wU+IjADUgfTkJCqUWrmn4wZziw9euMWN6DX0t0JuazlPNfPDs5GtJG9LK7C2x
GmpiJU/zzpn/5g4swU7av0e2vgltoplS7Wlk2zTOC8TSjyiMjmME+ylK7U1kVvfLfqLcL2gwX5ag
UObm165tn0TfvxvU+qibf1WJIaj+84NNXT7FxPzDoA5+LSmQxyeo9WoTJcPPS6ibV5/dILLSbEe2
kJH0tkGZ4rv36JA5PkIEZIlVML9quZ/zhTs66S9lNb39xbXwZ5cCDWmmTtMKh9pfq2oTxYS8k2ax
H9MqBwtprsD7PhRRN+44z/H6JP69sjQknsv6xZxNVoi/6Cz5k6CFAUGPPnN72dF/TfCiu26aYgnQ
/Iq3b8jrZ8cFMaz8hteGdtK9PzXBzBzpKoG1/Fd38Z+s/qRKqOmQxiVC/DX7XlJj74ciKfdZj0Sy
LtO9VcEwcwHdb8yG8aqKYaSzZz/a3APbIoyBh3b7sK7wPsfS2xlleg37xjiY06IAVD4QQrxcun1Q
/RheoGVuECY9JR7iUGKLHVENMWHb/rGL/efb+F/RR3X745jQ/f2/+fytqhGvRrH85dO/P1UF///3
8m/+3/f867/4+wVzW9VVP+W//a7dR3V9LT66X7/pX34yv/0fj27zKl//5ZOgpK9muu8/2unho+tz
+fkoeB7Ld/7//uV/fHz+lKep/vj9t9d33gJoxIw9v8nf/vFXh/fff2N8Zhlg/M9//g3/+OvlKfz+
G884TqLX8k/+0cdrJ3//TfOMv7EEcv0TdCz9Q0vz5vDx+Ve+/jfaBATDafTw0uDocO2WVSvj33+z
vL9REeGKcQhYaPxadq6u6j//SvzN8ZdWKW/JAbDO2r/934f3L2/k/7yx/1H2xa1KStn9/ptYfsk/
598Nai9cnRy8uUItaiDLJfxPe2AzaqNs8k6ctFA8yrapLhgv7WMFL7ka/B+jGNuj3oNwc3OpU2JO
5ru2meITBqXr52c9dqtjkfv3gEktTq7FN4qCw+nzM3vMxUoTcbEVdfSGUf6jNLr7StNo1S7hBs4C
nlpWhsnRGMgeTnFxijIHAXWDVFcruGkmuxB7symbJRj/Tjeoc3Id9dC1XXTH/mJ+CVNIftqod0da
bEai1OKO1/rWSW18YHo62TpOWHUrX29pGeuL8CTTcW/HRndnGdK5hvquMKLoXtg9RvGJ4eXE7iD8
zEP86shmX3AEoJioEPOMonxsMnq9ptAzgmQsrYOMw3Dlu6Z1T+UC52/o3FRoaI9Far+aNM/dj8pq
wWhqPOjmzami4dEt4E/PKbDhFP9A1RjTS6TrDKMD2SUxZysAbBDcLGM8SYNcR553DtVBnaZ20E1R
4/lnrx+hKsQkQUOFdJC3j2keOpWvQFgXBsoy4CrS+Izr4K627HVbyukgpKau2AzZLKLygy4UANhD
5z/iF1n3hlHtlMrcVZel+l2FaoU9Iy7Wicqg4iSdOjukBxw9DneGBTGzdgTkIhj/mbsUxyRa6y7x
zkMHVCg27XVvK2+LMya8pgz4axFueqymswBu5qeYNQ3N7NY8u4PuRc7NmXlbYjtCkK1nl8JVD3Oo
uw/2IHeTY8ir1UQjtFRMGNpg03uBxwCnXXqJ0STnWPYCKf3mFE4ApvLmOSIvcRJqntexXj8Mjc90
h8uJYlKZx8ED/pwxusZBectwLfAZLwVRa026YNABqNGgEP2hXWQky7zrRf2X09rmrzectYxaLgcQ
WAAku3654bwOTHLYzu1pcHC2qbByNgXdVqYk90Td6IK7EfyUmTyi9BWHEvsFAF6mVC34Y4JZ879I
DNEau/zGf0oNGeyKOjGwxRi75zAY+0vqTUtys9YA7p78KB4OeVakSNxqkE/18NBnhXXQFe1JnF0y
aLzOC/I3jdII1HYwmo1vLqMJjbMOG7TOOWoblLbzOinC6GWwhjMw8lVhFcN3l/dt1Zlp9OS/1bQz
biiMTyfVp6R9bMabLZE5OwbGwyDtbA6ZSlsr+iFoiI4vTu5smsqftrLnH0ZOTajjU5OLjG44MKMG
/cQFKyvtfr5zp/SiegLnaXIPjULIVtZ3IrecU6zMJNAFVuiUOubV0g/SDIsfmprtjc6AyM7R4ktr
zelT1C/N17F7Ag3h0R+vZJBlguF9gX9KExGgNJ2u+BoaV1/H8kLX4CN+mhcMhtOD15qB3erPmZFa
58rsjg6+jdvchrs4BEFpp6D+fV9tZFobT7gMKox9VjrqBxENDyO+sX3M4XcVpbkFhgSwOyHfXg0/
i9CUuybtv4jW4eZOljOkycA/8znXqUQn0LuUF6MoPSOr9AOz+F4UMgqSobQDK/flRqICoXGpW1Xl
DE+k77+6zog0abHapPCL0DHkB43s+Ooz4U2KbYOwF1rgXJysjrEBL6rafQvx/r50+6BjuIWHVO3J
/7eBl01Bmi4guWYYz8ynGEHoAmCo+6bfp65YGUK9u/6A7TutmECI57UQkRVQcoD/qLln/AHVieaO
ved2EKkylIrKRrdjc4H0sqXXChih5qCqAX3s7NBwQlySs7a2tWxgdosfmi73SGtrezJi/HMSqiqG
o6imdCuJM5lYm/zq1Fh+QY7CCNcTTYi5X/uBpOAIndiyTsY8PfGc7mY3fLQIuILUgibeCeeazw1t
q/0orrmVLGiyhQrn4fOO4a+lvpVsjbBNdsJ4Vs0E2JW7g7HR0N26zE07rURKWvnyFOv6vkIGd7ZD
9z52UhgDgwk2Lad23IS+B7oyuWsFECTpfWlsroE/pFdm+ArJINlFVA3bWsQ7MSSkX8JHrdew08du
c+EgRP0EtrxdrmNHVgCbMWUhk4HXBjh73fee2kEUg1LWPXVSjA8erCEXcviaNOZ0mXCelfDRD5pF
+9NY2xichHWHhasWs3noTONNIxXF6Y3nmSXhE10nz5VNTVczyx3d6EmwyKXOkNdqMWI7bsYbDcHd
GifltU5bbRMywB+EZfLMAc5cK6fmdogpUeG4HwMXbwYTg4rkRltvMU/7QUznAzKzBCOdQSzg1SWj
K2AZqIAAnWWXasbWfsQP2e4brdPwTN0Tk3RBSb/Vhv44yGyUawKab75EavphUXnH6xTd0tYHzNbo
yS4hyhwTSs6Nlb/4GujNz5WnmduXWCcvp2LNYDqwfcZW+6XrbW0l0M7sxpLe+2F5HarWPumphrax
IreezzTWhE9u/631abO2xU3qGsw1MbqrqI+w8Jj0MvuODADgUGPUk3MVM0oR55q9G2rrrU5y62q+
FbBviBng/jbD1rLFz4GKNQtjuGhR35MucQJ/uRnLMLzFDrPQJZ5wUw3Q4yidfK5xNY6cVWsRZHSu
ea5HJU+TTPb5CBuqEHaDQ6B9IZWZ7rUCBViHyg0DAJNWkPQ8KGtzgyY2VcYOORHDuZMNl3i5cw1r
WvQec1AP2JuYPtvaxYMdogbpddKf82hf5VBCy1juyMJM1kw9Y1R322PdEVC1HbAW1ZIMnHHPqRZC
pTW3Z/Tf04rqchOwcTjYN+VHgbPxWvT9Vri9tg+N+hq2wrv5euTfPIgF6zoauhW4eQ7pZn+e+k3D
Y0N2UJhHh3N2MnF8Z446e6CL72TVU3fKI0LYKokP0q+ntbtUehpNGWvC5ickCADsalg7uC/PDWjn
JjGQQWgA7aLSuIRTaq26GdslJqoYll96KLxZp9492Nupd38OA/cfvfrzhp55HXaP+eGwGu8zVLcB
VCcoEz6zzlAK5g1RCcjE0C6PeeQt6oTonW6N8p5sGJmSqvqOhjE9tmZ/X7mZPJUsJtc2t41T0s9Q
C2qagTk9HHIa5g9SR+/XSZ85FFlvtcG5VuU10xPwbJDzzCI/dujgA+Zgq5OkB2fLrOarNvcTfRkm
DcazG93cyL+QZiMgQwF/VtDTp2wl2YzuAAxNeAUMbzPpDbdJb8HFoNC7LoupCiqB80KPmwtpALIq
0fDaSyx3jeQmVHIZEYus6QQe5eywpm09+APko7JhrSv8xV2Iy7DwYjYICyBLY7o8N42b0dLQi7ot
dmotbTg5hwix6PO4hywDLnP5bEDzA668TnZsNTDu2GIfcyPe2/MMs85WyY6a3koVEaCSNsw2umIt
F3Qvpb0R3kcAAXUM6Z4Xfi2Yil9Pqim2kn5YZmaH1ZwafjDb3mvu1nlAiaoP2oljiepA/JWR9WVq
X+rQl0G1LLDJstT22CECZ7ZJwnMrHUQ/fTOLOT4bHiYEC7v20BlIf9IOWHLTs8W3TP/H8YOU3gdJ
zuqUGZp46pQ49j5RU05IS9zSvgtGYajJiGttiiceTrovs4RuY13elGMfzCzmHRydYhfRLNrVAgaR
JcljjWABh6abN2p525PBSK7zMD5nQ19vWIr0ZAiiwvaRqmgH1FZ3lpn9xH1XA/imoYhr1dL09h75
4VV1GZvBLN4iKs125tFpgkVL4ybjJtzwQGleXF7cKU23uVtqD2xdljOJa9nqN51ld2/NHQX1EVxx
G+fuwfaL7y5omNPShjzHTflQU1li4LlnXrPoG+JOUsm2Pz4kuoHLKWWxMHOqBZlGYs5Ddk+Pkvml
c43Ap9U38St5K0aSHoqE0jaumhKxNB/6Un+vUhzDTLRwAGNc8xTLTZSBXk1732b3R0RmzOrAxHOL
e3KhqsU8E2jzo72D0QBr2rHBpn4eINvEnR9K+goSlAfAtaxDnSzAczR6m4RocKOXYbeaWtMKwrgY
9/EMoC/1jGhPSvYub+NyWw8gbN2a3KZRk6EvJof0W5F/hKHjrzWyg3xrpsgJxtYhcemCHw258pO+
/v55VRZRNN0Qe54z3b7D0ljf4gZFdzfimjbs8UfMCWmd4oHZVq1ubAefyLu2pnpbu81Xg9MdNZm0
WxFd10cvqcRalY71yiPj4cl62FCftTe9kxW7VE1gGXFkb2dzOLrL0i/pRWSsHUJsaWQHugIcjqH1
hsmjkH3LxDlemvPGLWu5I4u1XOnz3teKH6Hud6DHVj1V1GvrHSY9awJEc+6hU86DqSVp4Gn5KdL8
Nwzp+hGb1YeVVD844lroNyDmCoNzg/IA8dV0IIxtmm+GDF+kH5vZy4BjPZ9sj2KU7rLJcSvzdYeG
qEUtF/ZiVZqQdBu7pxpFGk0pcVa98UMwGq5Flr82J8MI+nrWQakNACtxjtHRFTYbFVveStOJrWwv
TugedwByKyMPmhjcnQUD3Bp84OTMp5/tF4+VDV2ReDBJRABZY+AjLKOtXnmHnNL5s10lgD7Lpc7e
uubdiO12KVvfYyfxMLv3864ajavfLiACyNea1a4mUTQoiAg/2CvM45srRv2aqwh2gs9ofclUvWnA
t0x0gmsqdN9BxLWPmTQeme7d9X2Tn6NpcLH6kVrhgG/QCRPBcUrxurhRKuCqWz95V5IjwED0W0t+
NGoP1iwQy/fAD4yuqw52XNz3TfocJpWzNhTdSKmz3AW+M5NkYAHwi+ZHmHXm2e7p/e4s9ySydLpC
By9L75IPOV2PMVV8vdW6M80fl6oPMzpW3FdwZO69HWI562fJIdGw9QvtGWqLSwpNsnWTVUaJsGvj
wG64vc0isZ6Jch/BmirXaA9jKa/EABkJVDqCku5ugiaxje1suqF7WwmXcfE6Ic0Ul6lYc21y/s8v
dtHWp8H2s00BYc9uLPsCQY0k+RLNoW6GBp1Glzx09a3tcHLQWpIHktgdzRj6dHfqMLjCrx+oeJO5
5sOcBO0yFxnGQg/a1JiDXmKedisdJBmH2tQY3jODO2lQ/AqD2Gq0Y+1hAMFwIj2vlkR0dUnqJfE1
+zmxAskbYB4ob1tx0KpJndqKKZzQy+CAjk58ShgYOH3+qRGMdqgEGLIlnU1dIU2JPSw8RGje3hTi
Lkn09IH8ZHln9wUnNBaCdZRCPjH42sYd+1czTLMb90p2G/W43Zg9h0dqjls3Muq7JhvCc2hICn5K
jMSiVPZOhPrZqQQqBicXAK/Q5xB/NILywZAdggcvfZud1ILUXRYPJEDFXky9CAwJ/LkawJIU4BHK
8DvdbcVCPODOKh1/Y/Wpd+xtjhHKbUYGYAztaciAUOC1WWptgPKLhjYxElMoy8MA3eh0J4q5DSLa
utZqbopTRu4hMsfsQatgxeZ/+DYZkSx9cfJio7gblqSXNppXRccqlTAnApUdJU/RWNrHUvJYtESP
n1il5/NURe/wQxL3UW9c9zFmKolQvnQO8WS369aVxo5tPKWskq0Tw1Qnvco5qbSsjRNCOgAZL9UM
1YMWAkXOTFU7LSmMW++Fj4oT+5bxsXSfx722nsZKO2SZd/h80imWywrg2nqi19D0WnH5vFakEDTe
FPcDsfCtrhcXxJKEpBEkO6ECCzdWaLyHGLFXxMn5vgnV3YzbSS+HG6cvGmKy7ijSkfbxwZuIl3GL
kAwkDO70S9x8md12PrdkAy6t5jww9DusGyqKVCz0rWh869yAYKfbJK7OycCyRLeRJLlnsPG2Rbpr
Cb02Nm08pwpp9XryD7jpowtq6RVZwuzsGum4zrwsXI/9WG8iT0LJjnhKIgHg5VeYUTuveyoJKPbt
yKBO185Xx6WdJ87D4VLMfbi2jCa5Ir7v1nlpDhdTxyqgd16zKeehsFYJ6oYZqGfRk4zMLAs4Iws6
u60+7uJZfJSFX5+6ARhYnHBMypXQdmGPQy31wR8gNiLtOjGrlUsoeMsHqzLkbl6IJMpwT2rQTULK
sd9/BiCe1h7nCLND140Cuajkl88CN6YdrbtShzjmVKwXBpmYFKjpPHwAUnoY3eY04DFds6K+RmaH
6YHceGCwQ2196fXrLNp3JD1WljK9g2aT+9FTgGxqxjJhmXazD9Nr32Xds583X+hdu/QMO30pi4uB
h3Nl04dyLUohLraWbNFaunu2DPjgEytok3XebZYgHybl3feuD6XbnbMzJuYVRVKTDo76ro3t6jQ2
3TezBv3u+cPFQXW/DsfIOiALPVp29RQW2fbzIFl1BefGvvjGlMiM2IPDrcY0hWfJku5Rnn43kUmt
nOo16eaPKkYb5XegfZmTdxzkG2ZyCSOdLkuPcKeg2Xydps68myvNWU84SvdzdUyizg94k2nsHtWh
1nTm7TQFDD1OLnZUfosTjAe567/ayxGvAGS8hNJjCVU8TAoqCikeonATsssfy1PH1BmaF87qVmOQ
bwq5aAuEJRx5SeZRqtmy0HSYmxatsCWjk5VAlIbWgP/Cawzmz3NOgLkW9ETKX1JKqalw6KOrTP0p
shdGeF12ZGgQHX6+/4Ru0ybUZgzWVv1VU7LcecbMUShX6VY4LXGz+TwVBGFTkV8VWdCz7yLHjiLj
POeUF6YpWXzbnXnB6rkVPd4gzS8tDhUkMtvMJmciuvqsWWgx2Cvv4ikYMiNb8TrCZoFJe8P5voGP
We+AoSIdd6afg+E0l46VqesZ+RFkOhfZXISwYbCPxVhC3S3SPbkkGFwDC2Hb05lbmh6AG8hlTAt7
5AiUg0mNRGWdmE/OwHFmZBgLHhSNeVGPFDDycBoa8Y5jAoyOtiBTl6XtPpl4cCCYe91Xxy4seRUi
sphEOskxoNEOVIsyv3mZPl9by3koiwycHBwhG34ob61PQ9MfHk0Z7a0ufM9SteE8zJ6lFy1kGDja
vt1A7yxJc61ItmvrLHXZdx3SSx6Z4Z9uKZqzlkfaY09xx0Gn9kcypQ+bb5Q9HuoxU8GsoB0UM9qB
ArfbhC3yWDw7MdnwiFdpZbaEVpZTvZttcpwmA92dyemi1DT3aDey2EBG2vtMKC5ZUH0fR3Dpi4ru
4cZHH1Z4hP+JtctHxn1dh7SNY5HfIf/eB0UTd5u+ZrxBc16yoTORtLPuDIZb3isakqPaPhJ5WfSO
Ic7WVTEAtiIVlAqLpoiGoZbqNZZqePGl/VSxcswlhag0vJiTKu91bG29B6zJzBqfY6aov3vGgKHB
L3EQ5iKh6SEimDKeZA2cMLJkchr7riHRM6N1LeJvsKm0hCzoZ+be5Lp2YUdfTZk8dA4HbX+mGCk5
5vqVga8sCf1n5XvXNps5OyxEAtUO2qmvOlrElqNpb7KGuynRlpfOqF4WeuBA/SuKvqYJIyauDmPf
s0Yy3vRtrRimT/bKMsOjrwj8WL7IcTGcVEbCW5mMCXCMiei8M/v4sZssJnqYDQ1suAcnd/lgJ+4l
1yOY+UvQEhugpqtO2/oLssfg0pHCmxVZI1lsI9GlPG6vwV2TYDkxfPTAvpMdbD7VfKM4g7crzqWj
PTsVk0KyxRAu/EG/Vhgs+5ilWkpxnwlwZ53509OkuS9d9WJGrUc2A4cbiswFMQ3xMu8i90Sa9BYO
Vnkcs7o5dwZ8pamO6JpxXnQtanZVhfHIacbwvhsSTFTzj6qR/mPGykW9BNuktUC9stnq1mRt8icH
Y4ImU7We03JJH/mMQlI3XdUMRxK9KPNrPMu3bOnOJyoSRyOlv9pq0TOPGeZxfyxXkAK8FaPnHfs4
Q8FWOzWbdKRVYNaLY2N4xUFqjCHLsaf+G1JizWqktIRAe+V2QMPx6QYzPVyXtG/JzxjJkZ9sLti2
+anzCPoBtgap76r9YLveTabFS1sPkCF0A/HteweaaONGrn6b0+bsD0m+bYykwLFhVriXyIKZs/zi
2GW4NduaZIcYzJMwqi+6x+XsAwRhhQtRVozzN2zUXWDa35i1d9hSh5pyLQNTAGwMjuIEKHC2dwXF
wKPe1euUvCbjpxuHRpmHmSrtefatW4TXnIqsPn4dmvBnmM0cB8m6nT01bnWW0m9lbTxEKbmbrKzj
APwnLhXpa4v0r7spSxGi2GfuDnFJE63fhKHM6Okkqp0T+O15DyC9RLA84hwGT65Dscu8egu/aYId
GH/T5BTtXIVjSuQ5At/OXEQobksyjlXSl0SYDsbx7Rg29fe6z72TH87D5vNv2TOpi+pr0pjl2dEq
YOkUH9f1zHnCgh2PcvWuLzikpX21a+zpFvaxOkRabFxUjuTDmYYb92Gy41ZfUxZjQt3DRh3Gr402
ybUhQlz0HkkTzkQt/dl+fYGiTJ7aJ5bvy5gZibBLv9rV+xRHKbU2QHxpaOGcSpr4FOGDZu8vxhPG
VESZjXfP8W2RBaLqows9cIoZaYIjt/lAm+SqTzXuRhd+/NgW52kSGSUbzJbJnBKQNG13x3C5edbF
T8OHKrGUtbOUCN/P+qdQJu2jN3xluPjm9AmlTZaRzZR4bypnVKZNZm9FR5h8ZN7KP5HMuYGCfx/6
Uj5EZkAC39/YFpIEOWPnUiL9ObJQbdrGfC0N/cmJaK61dT/bbkYrKpgTo7txiqZoLUfzzuroIsxj
fZfgeE/t/tEy1CHl8BGoPqSNm8vccbT3MOqsTYy+mJIwR4nG5kyudRfJ2ZbXEk+Vtodv4R7Hjtsn
1sWJ8w1aDYi2TkXbnFcW3c4dmM9T926WSloAUh6JKt6FLpCGEO5QSnHEPGxFyZyZKPQXqRGaU3z3
0M/T1FwgpV21Gh2fZU2nIAcS2FAvWp0Y3DKELlDB0tr2V87QnPWCeTWctP7l809RpJ2zbvAP0hl7
fWPmjDXS3/FtiLwvQ0SWwDZDSmJNHFHa58Pnnz4/aHOnH5Wh7UsmvK9RCUN/lPF7Y5oZPcx5E1/r
cKB3VyHc+Pxav3xt6BCRSot9gmprCsvZEcFQuTVyHCLw6+cH3TCjbU8/zh9fC+eJCVdJhcS1xvSq
R156JfSfD1FU3DJ4P9f/+frnn4ReOcQECC09d6snGumUvvbSo+1UZ4vZ5stQNR9s5CyxjTstMWS2
llpJKyKUhS0/34WmBtbLJCGMFNIETtln+tH3rRdjWlA3AnOdrtOZpmUAjpgb2hhz0wbCJ/jVE1QE
msckkm6Ew2NGavKsknrDLNyD4zBFOllJirQA46kk30cu/gZcJl5rLIKdl1+TkgyZGTovAyevFcTT
L3Sn/yyH5NkcsBT02ZF8MuJDf+Lw3JDKkZO5a00mrLTWOomR0gpzBSuvkke3KihPD+9l+d1x1Kug
+NdHrWD+YWeIdp3m7tdc2JTV4o5hYecMvcgIONsRtTmQHOIyeuioo2a224MUb9L1TOZsJTjFodjq
K4c+Dc1npMyO11Wmv5Yj86oxGIIfLvUiTlLWsRpGhmIbnaqNilCzpNkVWIq3tpSjr9DUaisjhSLk
0ySKX3RvWdV4Z7VCJyn9fRY5c9qM+M6ioKXCc+9zJ6fEW7dXG14ox9aeyc5WJ7dmhQXlaB8rU4iq
pl8y0bHd34ekxOEpYQuK8/6q7cd8jL+adu3St0J8kBI0atIijydxRcf8QHoYvpeMDupT2bHsNgGb
xprUsQ3hm5+p58upsNtnNFivyupHrtCTpbZZ4cUo5UbD7JC6AY/D3pgiA2Q/3Ub/B4BQfCNVvATS
NOEzTyXWg5+RttlStSIeLtx8Y/RICqnnccgx32fE7cR588pQ9qNfu5tkTt5HQZfscl8wP7hOkziB
MOW+zUmDsxMb8y72hoe8zq5VEd5TO4YfIA19pWdjs3Xa8GQA76PwweHM8vDQLR0ATWM/eZSJYPmS
4onFsHZj+8PP3rMeH+DYRUtCzyxX5I6TjV05+yIykRGG5c6pGWefGFEM9F4e+e7HQTXdWuubk5FO
TOuWSJuH3HqMjcRYCafTgzrFVAc6n3Ra+xXGw260IRmzd3zYrr4nbN/iKEHNKrMDKzzJ+HhrlCXv
QEn7cDE3D0ZrM4qM3cMLKSSZmnvvuwMVhcityf9KJgojZCll/C5G89a3ZB8tHJlmGctAR8Ysm+QD
tgZvZIL2x+u8rTumG8YEo41khphNst0ZdnnXkeAxndGhSo/FQ2b6C0XJ77yuSY2LG5Vk7HBRMWhO
OC8p0PdaQNWaPaYijVJ3uLmigahe4/0JaYkIekZJRiPrDnRxYoirS6psNkWYmqR9pgwQdMO+0irG
n6f0hqeCM2lmi3Xd+P6GDBobjlFBsja79nFBW646LLepJQOml6kbQvEqO0zfc0FjUs52OCCX5VSO
3ndkq4jc5hy1SYbiC+uoQbKJBviicZB7czkntDcFqVevhZbdV15qwdHK5/Ws+YGbUNaZes1iISyp
lZXktxgzvlIOBeQuUFMPDrz+wdd/yBxTpGgI7TO8wQycl2utfp/QZ6yLmqT97HzOoX+pfOZjCnIp
rUDCTMH9sRdNuWq3RWW9FREwQIgedDa9ZqxoK9duQI3RUJN3rbMdQv2lmUj5kMFYNaP53A9wJ9yn
ohdyOwM/M7xx7wIiqApKtaFDIs6ainUpwGYs8aY12PIAT2plzATxujdkO4U5npYXpiNjj5ene5yG
BDF0SSdlVURHO+FNdXSHGZ/swMHua5pmP0Q8VCubxbhkCsZPhhiskP80jafGDL8brEQbSTlq643W
g066PvZILluIPawk+1bNzENHtfFWV9Fzz12X0ga9gh5MoF7NL4VffLiqq3d1dQqVd4jq9nvh9NFm
NmEFkOsDsUfqNDZIRqDp7Atpo5ZVN9EVMcf4MLlAxvxRhChxc4u6eZ1WZ/Kl73QHvESVGg6O9H6q
2Qe8z4bb5Np2aD39LwZofp3RMEBZuyb/MS8MCINRml/6U/8Pe2e23LixZdEvwg0AifGVJDiAlESN
NbwgVK4qzGMCSABf3wt0325b1eGK+97hCIYk2yJFApl5ztl77boUXlY0UbgS5dLZ+9Q42AjRjGL/
VTHB9IIUzqEzSeAboiAvsDfk2l1Oob8bXDrzVu5IxJLEXcacjv4i9v1vNe3f1LMf/Nq3F7cKy4GZ
EcACNOvvL86KlsRNmCWEmfTEqVvbX46fksQIMZkWPf38wr/zxZCuHa1iO3qJu1/SbekwmNUMzmVq
wSUsUb33A0pUc376zQv8oMC/vUCoVrDWUBqasHz+/gLHpHYG6cdRaFHmITfvOE1UyT5fUu3Q8sKx
UCvoVhETR301AhQk9xK48Bsd/C8aYz5DV9cNPkdD4An58Bka1iC1GOlhiJqGIcUCdDt1cNbYX2uH
Q2exfpgNzO2oBlL7z+/A+qv/rm30yAThk8GFgJHmI8W1jX23QR3shGIdSUvGhVmarrBCn5i49S+O
Hdx80gXR/c9PbK6f/YdnNuBaGVy5pNLYH22LhldndVWUNiOotH1A9hX2SoNVLo1jDyppViXLlpxe
qsX7WbtLt/Os63w77ZWDR8cw/VlORb6b/ZH+WzUJZvBEgmUkC9h2/V46HOLROvxOnio+wBa4Ynin
VocncUJcMh/lqXNJywe/nhWKoaO/oi2hWts0NUOHXS6s8SrwYSPNOCLQsxYAjpG5FBcEuPBPiGXY
o0rMlFlf4pyZu0ZmeDfI+Zib3WPTN/Ay9SYYOvR7riD4TdSIyJfvpfKGg5IZAwdGE5sSwcWlMRO0
cliHaUVnqCcy88Bo+o6Dt/Hyz5/Ur1enhzWKq0THSMuQ8YO1ra6sVueddsKBvvFGcgNvdNEG7Th8
loKTYNrRADbc7FPn5Pr+n5/7V+ktz405xqcmsU0kwX+/P4vIVKjfpRMauhNUyyT3iDSHoCGm1l3b
pv/8bL8uVwQRwPUBZuxDNP64ljq9MFvUkk6YmtoPVTevaLyBEdLdz43y59REP/75+T662NaLaYXW
Yq1DWoxl4cNbm7dlS+cDd3AeRW6QaoQwRt3BkBYG4mFtdqwjgrSm7Q/xvGlw/0cm+QVRvcaJrePR
tnOtk4ibp5totGzIdq8EVZXC8wgvYp+zYC19bD/EsgUNTif3N3/Brwuoh2PUdXnDgDDxV/z9A6rS
MZpV4VhhkhGFTs+iOmSyuxqDh4HL9aejYWif8WOx7vNyEVStAe4TPbZVjghBk/hCEqcinGGFBVVk
qZ07MDNvJjEgL0v1Gtnt8p9BWtb33MeJbkCPhib3y7rjmyrVl8Y2Q1oNNPhtph3EDhAzz/DEiGpj
V61GB1rhcan/xql98/Z9WPO4knF60YDGJfpxP3Rp3vLcpRnC2yi3bbXMG8NDuTN2+dkQTPOjbpzv
jJ60SCvrmXWtmtpuInALjd/v8BUfzfm3dwKmgQdfyv4/YNajnlYi8R2gH07LerWqh5ZV83Pl+ksO
S/NKVc4Nx/lQc7X6N3f2DY389/fCx6WD29jCWbcGbP39yllnXZ5eJXrY6PoXeoLEPycCyql3KEXx
tKSMoIVNdFwZrSMcPSPVmCg5DeXuVzc1j1GhGd86wz1C+rcfRhHSud+mRtfsOmyUgDCzcZ8yuHyY
LOO6JBwxmsgKYx9QXz6CdbVtcDDmqB96/J+bPlk5Tmhq7+M0DgR9lg2GEXtfth273+z4QVoX/o7Y
vKcRMOkA/u/MUGJdGuwZLHzECna0GlSzxhwnWycxkX5Jjul+Z7CXGdXXTI+fTIhl0JQYFCoDwEy/
JYnG2KXAiC5xZjoHNREpEzfaxRDjTMivOGoZqiStzJ86jYMbh9qLHNXCXAyzrSWpqLJBh3vsjd6l
covnPs6vA2AsqrPK+M3i+H9s2NA/KFmx65kUELfF7C9OqCqlepy1yA5jZXnnJbcPKA2+ZYn0YFHo
Zy9GhpETCzdkBoWMJO6hyqoXfHj2SV86hsu0YOMWXbE5FAfCqugToGVkWNJ0p6G1X+2l0jY4FMzf
vHD71w1sBdrisiRyiXSf25X4lxceFyOyFc6A4U0maqMxWbT55xDH9jcyCL962hwWhe3e5ctCTEVS
MJOuhmvvW2TzNmynSGhKzl+sWal+icD70H0WqAe7acuwU5BgUdNXzN5iplXByJTvYEVrgFDDrAGC
b2n4n0WmkNcbWmmdRcEkH1xfHBpTc72drHrq/kt5RazAwuhPZlCYKT1kZstnqxSPk8YspOj+wBhf
n3dTkTIpZMk8tnTwOlhMe+2rJ8jgtstU7NBh8fdxuhe8ww8lEOtNhxvsWPfovGxTffnnDeAjO5lF
BPuojTuOBZWb2PxwG+utTJbRYwsrvKNPs+deun0bIGfDX+RDTI77kmDeVTWa1xbR4q1rbKcEUQSU
9vjQ5b9Z3Y31xP63ZcURvPurtxoFD8C8D6+nTSWDy25eQj5edXIlkgrXDaZa7+5hICH7f8x7oENu
g+5x0pt9sqBUr1wGb2lSS6zkRvKbk+6vqz4vycM6CJ/cZ7f8uNJ5Cw7cmOZhaCapQGbqbOjRMzBk
3pAnBu0ZE3md6+jzHf3++eTA0Sj10TyvHK7fcAo+8i5Nb30taI2NlQ7Khr2eyv9yL5S4cxoZ6XNo
xwa+QNwJJwkcLWUMuFEDH1pkmkhfmXvuekczdu7Aa9NUQyxLUZFZU16Z60f8P4O1a6l2KSbT7LxM
y9ffXFe/7k6wx0l84zTGewd9cv2g//JKC5GkE2wcFWqd6RPnix2pjPUL6lifOi33jjRg4dmg+X+I
Iv+o+Ye25tb2CZaF3/kkFkwoyrVfk7jrTt2YDiTXeuWlmNVdsp8Q+j417VQS3WHe9wQyPrNClGcm
lhiOVBOYA8twnctmN1t5Fyy1/yWq+h/6gvyznkW01/S+RGfVVGQWVwjC7QwA/01YnbQgIEbPRlno
yINAqW9JUIF2S2JZN5du0Jst1ArMQmc7obWNMm1vDZ57GGSxqsjc6kizQCAPcvz9UlfpbsiW+YF7
GpPuokJ6oxHyRs2DN2hX50kwFr49NAQF7se5tg63AqRmoIf6VfSXBbck7pDKeVhmJAhjUA6u+WrM
HOezPH4tzeZLISlxibcINKs3Tjg4f3Y6epBRLNCtq+4uTmyoJsPgP9wW0Yym4Vn3xue5Hb7o9YI3
QgsUSqtLamhP0uwx4kxoKVwrvoubTwz8MzwHvh863Xy8VdJp1P2cyJjEGjTybrATbKslNu6NImWP
K6OjtIgR+OeL6pdiF8IDlT5+Y98Gq/yx2E0Jz2pQc8kwzQXVWre9naEbFZD7CCixZYCg5v/87rcN
bnvLtRhSuL/gbftYN/txSki/yvN+r9XWXTGM/jnTquKUjeTSLx4RzH1KlwZVVomZ50+9gj043m/M
/uaHAod4NY5a5sob8Axb/+WeqrB+GG1nW4ymtZfW9aoLNxFbsE3DFtnvAfuGdXKS6E6zhnm3+jUW
lyuRAGH/Lcu1fdIpRmWeukvT6hsHERrHBNM1CB0nreTstCaXLckjmVrtrkaZvV3ghdsEltfTZP5u
pfeMX/4c1njhOIK/xYSRba9W0r8sEVbBpJIgtCxMpjYl4CExwqW09bCUGX3t2/dYFo3w9lVeFVvZ
zHA13GgJsx4n9Ob2pUcwZkl2aFnsZ6G9TVO+hLeHlFM8EveJg2dn724/AuNF85DWxSZu+yU0IRK1
bd8fBUI4hiCt2OU5BooHcje6dmGYkjkiTO2M6O6kmf7nSx1lihbTeMY5LsIs8SD8OPJn6c9amNbL
xP4uB+iyMrKJmIceKKIR2VIBKsKy82OmNcy1M6C6BXLtyGv4syfi8/r1yxmzEAOJsFofbl8RskdB
qVc6j7iTOawKHSxmj1mmy577iLAQQhnjI7UoqBfHOpiejsxmSp7bgU2LVQzFXPtS9iVCY41dIDGX
g0soVxnbB7fFzsYsAb245qQbs0tebs7MP+1X6AWx3MXD1p7wAw0zY5mmsNqrlr4bfRcS+gZG1iLT
C/bAtBfYtDa6rONjGeXFdkJLYjLceMqM0XipYJRLtCykaOWMCqCfbI3Z6s6QKtJDwSq9nUvPu7il
2NF7jvYNjN7b8WxWzdXK4mLTxLm3L6w+OfYYxW6vkhn4XcXs/TSkXbrV3cp+BgmT7vycq4Hyhck8
EqGdU2j9RRP1cMkQP1FcNEjuTWvZdoRrv/fVeI2iFvxTrPuHGO1wZ/nRM57/bd5yD+laK9iXZKPt
CFdY1X7WHYCf4qHNEMzWOQosRznO6WbXYdvSNrFidKWRBrIp+gp7+4xdHrfWkWsw3kxVgnhVaNUh
AWS2gRYSb3w7Buco/8A7e+yFMl6UlYtNDhwfDygt+bm2ywsql1XtZF/sHOVZjI/i0CNyPeDcWjFX
1E9+K9coPucFwZgZZKhrDnWJHzIfauyWqcb8J36jR/SA1Yo2lGEdvQIMr1lax5hiH436YgZ91IVz
qraMPvKqNT5Xpf1mVeVnT8YISweA3jOu+JM5dHttdG1oYAZWvrg+OToW/ybB1deN5ieEs5ydq8IK
VGelMA8DxZNmQzddeZmb3sEe/2eHUs+RHXrdUw1nSWEke7oZU+dVlju1/ouJvoshDL1Mm6PfpZqG
h9pYhm2lZVXgKeRVY5F+QgnbHkaPy+jmLo5Q2F6tkQmTljpwPZJ3PV6cgy+N4qAS9H2zXpjbKktq
bK2U67gMuF4X83FBGfOi0IiTi7DCctZvC2JQMfIYrLa6g26E7oI7KEQtiZiuacepX4yZ3Jeplx1l
q198W6uOYsT3TKAUmj0Mf4EF0g4XdiSe0Avw9Ev3PJuFu9NtPci0HLMX+KlNxs679SBE+/UJ4Gzz
DJkh3jZdOzA8sYqtWJiwVsWqP8J6u+u583UspwgIiqMV1z6ioXjdeucYsa2OBLJLLjRLkpOVsQpJ
nRuiEoO270Qudz2qkd3IAOvOMSXNHJfzk/LY8F0m1PBkUOjhLDirw5z/aHKkomj7mouepqsyBcNJ
gbDyQmw2lUp/odVbBDQg/W3rZmLv1Za7LQgVOHkj6Zm5E7cvnGu3tVdZj5yYsKz48q7qB+PeF1qG
J+IJ4065wQzFGiPlUuzG3qehYk3qzN+fwFY2t6nuTVeyfUk68BjpVliuRuW2e0IWvasWS+Oh4WZq
KWe3MWLMMMUHvzZwVTi22oWw9jyKGZIN+ue6mejJVeolN+GLKcz0u76JHxAQe895/gcbAxNWKbyw
L6l6qCTb2MS2iZjXOvSYLMZoRAh19ScDOrJrG3u9ncU2T6oinIr4XE7hnKcu1pL+HfRmd0hLoovi
JodrhyzpDG33SerkX7f+ezLEJx+fDLlXiOBmxO/7lLH2xikM4iO7sXwt89dBiu2E2wqO5DRBWmpC
powgY222uM63IzwgDbpG1+JY2bCkPGl5vG809B9GDdO91909HPLuEOXZo1XR6usbbvy6qaydpuNJ
G1CYn9Ky0k/xXL6y5bNQoVHl3dZp9PlywJCEvm3LmdjHgjSNu4Jh8CFeg/HiWt2mqVmDisjy5LnB
g5tuBv+gtQ13s27DaxI/89jZzSJhHmsypYnsyQ5SVFNVzLwb4Wx9nkuOy220cyrra9TORE8Otrnv
PbKc0yInHQ4xcps1+k5CemACrHB+aYeYvM8NbrHlnpEkjTZ98XcGbuJ9gm05wBVTHqKlxSvhG/m5
0+/MAX4UZQtaNfg0D6oTOPmRtaJNMkXg0bM/TH23qyGbXhDQDUFt18ke6ZZ+4H09jn0x7+s2n062
aPGcr7+aoXC6NVZaC9Idj5tjelasQoHLEuqxBgE4jMmkiocJ8cTVsoX93LJUlq6srstcVwcF6RuG
qIPhhACfPWGi3raNdCPgncwCiMp4KWe5WkZSUrkUqrxlyt51/83J7610cL848Dak3Rb4tWprk01q
fEaltr1pf+s8ZcyS2O+l66AqzIrk5Gt90EaadVdW1hx0Y3elpPxupu3RG/3lZJDjzVGKwmj6jpwD
92EpH0E6y41eG/aR2M77Io/vTXrcD6acv8xWE+2KuLiYUvePZlfq20UgtY2xJ26HWBFfYatgSBeH
rHA7Aiasp/TiqDoS4raceQ1mkmNC1eycSiKpd5Byn29jmaEX+cnROofXXX0VgNxxfzqXvmrP1iq2
nmJ0O0V+ITy0O5k5idR9FGO0HnsLYZ6ajoJnMYBLn52qPqRxYlzs0TkvXvG97TP/PkIWJGjwHPql
u7aTgDcdk5FcRwupREa0S5ZzNfvNPfoyJMUWLDUmz0Be9M4Pct6OFEgDrSAIAnP2VEOYvLOxTxiz
4YEDIx57Efaui9T7zVkO92njQesKukVeWq/3NiTm3Gc+vMnbMKRvhLYZxnzXtoaxm5C2wqulR1TT
iA6Y56Np1dUpzxpg2KXx2NAdyYY/yIxrESNYXeSfUjQlG3LRiPHWMdxbFdZ7p8H6rlYLIw5RfMKd
YFCXfENaPB2bXlxRtJKVnnUNIoAhCiny0Mljjd4ardddIuyZh9S039NIiDt7katRKTuZevE5mpS1
Zx5qbJIS84KL1yclz+Lcuc6zDwg0tzItjMq2RbNHBZo36rkSUj8PVrxjiDpv+9mqaBbLo4Ht1+Ro
/kRv76WcTf1cLOhVVJSTHl/YjLfHMZhdwr2Qk+zVgr0ZQIl7MYYe44ka05D+oxFgyihC2oIlBbN9
dbT0jWW8CxXNo4eFzVggbz0JL2EB6fP7YbH9B1onToqAMmUiiMCSsV8rx690/5pH5/EGOCH7dLre
zqGIpveFL5IL533BMo6kW2v7LtC483dat+ioC2M0hQMX52LtLKsfTog8JPw7b3zUfHXS8TXf9YMm
UcLbUIZsJz9UifuQ6VZ30MoC08yC8A5mAUIVmX5zxxwovhpwrPrlU2fkbGil9qzHVnPIhPRZ7jPE
J7bCDJ5GJ39qm6dqAZRgaM66c8ag1niuacw/jUI+t+X05hgqeqJbhB6qyc2HEZM17SEAM3MmEfPl
8NVkTtWCtwlr3ricU6kvD+YAeKAje+DrLIoHnEiDo7k/oyTjryUSmHpY25Enf0k7pqPtQhe0z40T
eTWcbyyujWI1VeEAkw2mo9GR6iLwhx6d1vsGHcDEOXZue6ZkSzSXYV63TWDZvsC4Ad3pTxGwBE6A
eJRxKuaijdPOKoTj89raZpD4DQn1BJ2T3uNNjAKGR0+U7rviBvMXbEFDIaswRhz51DhoblhNTmns
YT+ehgyDerTuGZRaU5mEmfXZaTXOg5VEktzIxtj1SNZC2bTpKSnna9wu9d6yluizk6C2mZyNqrPx
Go8W91wmxb27sCt3SL/nNDGvkbAefHCle0OJ4jLjpfbTwn/xBB5H5H13Q2udGzV3j7Zs5OM4oogc
m8XarvXD7bpVaMK3qoPhIgeUv4MrpqdJQSUFVeu/sfv4gT2jh8fos58bgAQj+thd55Jp4qv5tGjU
eVTYb5avrLNW6hgsdbM68Ml8mrrKZkbHahtl+rbxUYdWXRk/rkiZpkMcP+eTBaBJTM9lD7RA5SOU
V4zdtA29Z4LCo8UGgGL4zwr8yp9cEW7rbiuXlG19HRcMJrYnrjbMi3XEGLEC3CKtJiDvutvQOENz
VU2nUifqwevAcVvjOIEDGAPozvW5aAWAiyIHwV0o6AZFbV3Yamb4ECYCpKb6SSvDD5iqmFvZlWRY
mdN80g1cEdFki32GSO9O1GKPmCc/lwybTr3bX8wpacOJIYtnd1d+HeLfbEbCnOfNofeRakx6rx26
ee5JpdKfK2YA55mG9K29tcjkj2pkhuvjfN2UQ5RdsFizNJvOCyP4F1XN9x3R16HFCW6uZIbj0cYo
KpOO7DW8nsZBK4CA9yvLSGb2W0oI+qaVhQyi1dWEVV8+NO0oD1Xs47MyvDMLyXjAX+3tTZpfu3SQ
72Y/wA2X48I0AeXOZozXNayatVcd+XJsUxk4s74rPPOeYdn0pbCxoMz7sigcjrYk2kYKeXvcVNRb
Fazpvs9Do4/Csi/qs9fm3+K+1Q5FPOHosJiC1YJ52A2R1KOfDZBtEUqWrxEqXnUPE2df2bIjUJ2D
ZJR13+bEnzlqo8vyUhIDohLvp8ncxUmnYgcgpT+PcS/CMrVpmNX2EHIcTi9ENDfREt9NbaL2mACA
QTIqQQIO5sRhyGonvIcVKqotfQvsZhNp027nHNNouo8RXB4n0/zpdrN9V+reZSazBLs2npR2ztQx
QZa50zXx1UJxHDhUFBRN47Il69k4ut2b8lgaTMG2Pij1dANBcTbSufH9jQGZ7YaZQGpu3Edzuhnb
pLvT7OGlRbW4BbxYBo3nRBTs6RCMsVHc0UKOVD1dlD2FHjVE2IAAG1DWBSh+c6haTnd2M/PBUJ58
oj7n8lwNsmV6P3plSAaL9YAv91wPxYTo1oqv9O93Y+a3gRvH+q53kVXOWtJeurYhsqBrH4xmmD8N
ezTlm0aPuweJEN3CteaOxOW4g32Ox4RPHjzEHmDrV9XxH96sh7Zaqt00VA+kfEuiJlBftrgqNrnX
v7WDeBmxIWMzmoGdWFs3i8CEwSDasvJ/K7UED1phtneK5zz5yn7Tav8rZ5VNa3nFAVstx1yaGoei
qzDQFNldC437VmV21fxno7RoHHGqXGMvDUavi83epa9dS38s7lsz4cA7FM+R+GEA48Ie3s4cq+yj
3tbmJy96h6L4LZ7wzFiuImXHLPBHGpT9kym8AJulsYtkH+9xth1j3DH5IiTJ4LBjEj+5wzn43Ro4
yLk0BjaO0dqbqMcRhGAat5r5kgtaYoYxON+XrVN91RYR39VJRbXjGS9+4Wxk7HwRoz0+mGlx6nS3
OGdt+RR3FF6WsOC+RNOjmi0NBZaWB33ueFuZNt6JdPGzHOI5kErY76OR2oE22ycnr8QDteiFS752
yCFgdGbutBSP8e0EV7O6GinTixTVMX+Sj6ANCKM7VmhK+viw6O7PxKAfhSsTo/eALEDN3KsSxWri
Ur/WimXHl+Kz5FrfJPHcn8QCKZeSsAp8fQ5YJtJ92hOLPjMCHY32/k8Q5CogA/407TLwuxgc6EpM
pMruXDI89tHMtTkO6IyrGjtLTrOyzJ59Z7VXSoSDqH0PXmtpO/RvzVZoUc/JOSIGK8rucI0pMmhB
ZbcDFqFlmX64DnC+Rc98OoJTsnoF1wVdfm/ImTvCEsF6Pi7ftANcHhw/Pqj8QYWOMhVxQwlk2RV0
AFUAdhIBJ4fY7JtQmTRrb6JJBsV56NC8JBESoIsdTwfL7ejCUtZ5VSMPluLY7ReUU2xBzoiet8JY
vunHPDAJ7QrHPn8feie94yhPgIQj2Ls4N52Sun9UvS9OQrpsKbN+a5rSyVt/pnfzxSiNeCfsatzH
avyirK7fq578hjx36H26bhf4nqLQm1aLSq8Q2iRSP952/KGHJEGg676j2moFvjCuSWyoQO2molSf
HWmeUgvXs6vfY6LV7ak5VRMjsxngENCVLXDT6YrE0yWanEmp3gXTYIpTxCI7eI48L7r+uHi5ca86
ACFDp+HYVop7h0LUW4udoo++dQpqgtcNXM0tkA3PljUZiCoLLdBf28VzDsU6TNTx5lFGKeT0dXtg
fiJODfYgEnIIuo8WjFVG1H7l32F+MYegT1PjIlV7b6rJOWkzBnB66Vc/rB+IjbIdukUN3SmcLqcs
1+VOGo23Mx353BSmfCq6zDqVVk8rUSuv3b2jbOvRzuML+Tt/6F7hBc1oEX2FOIFGhTfs6fgaLy1b
1ali6lF39bWwYbmpFDcfQHKQZtkJSfP8lBbgLfLZW/Ub6V32VLSefXaGwtixfFxdZwYXoNp4CwN6
2izJ7Fw4iY7zAz3knSDDcZNBOyVMVWdI10Iotx0luRvz+UHgcsM43BQbfJDiUfNYbC1TescIyMy2
GXA0UivbjCLWK7ddc2nqZjgAPwXQZVcxg3BpbWu2XHzYKgnKyXT3uTGwr2km7Wo/db6o+buX4M7S
mogS05yKe70r3yO/+jrYNE3m4kWWpvlqjgtuU/SPYD2as2mP36n5kx2mKSjcqH8f2K12lmNWFwmo
ZC9wbW9oa8NUiK2nzraDhYXzuWYxmhMvtDk07ZPJ+ta0c/qG3uCzZ5Au5frdD5t+Z5y/epUnLsOg
J3cWCzLZpfXFJN4d641rHu1q+aHSOsHaUDC5EqP1FkVfqIheSjpGT3Wci12a5A/9UOhMMsgrXJIE
g6lK8yMH+osi/WCjZdH83DU6t08/23i822ETRYoEzIWeVOLE8hGP1xsBUvAVmotmpvrBqADjhnOS
D0yD2rfcJg68zbv2i7daESLVTA9tW+uPyqg+46drrnMtf1YDNDJTZcUhV5r7aZnNlVC3aPf1jPcj
V4u1Nym9jnLwwZELTd7H03WAglQf3CLaCZcAqoYW2xYCCWsVOPccY1KbXzrU02GULjQAZzNcsMjg
50Eme0LJSaPLL4jDNatnlU2folqb9gkI3UtkqLNYWyPOPI6ctinmSrJV79HRzfcmS9lOmya6usP8
mg+xdR1nfvHG4qW1reK0W4DVn4Z2fE6wbB6dUefmWL+dm2h41v2T5RQ6+SfJoXZr4zVOVOCaevml
Y7pyKMBU7Lva6F/dtjxx8N+NDm73TRDhVeZ6hFADKlJ7N5r5iwJ68pb42MBJzAzGcmcXfX4pF2Rk
xPud3B76FFW85/TnOhmAD/PcOEDyzTqSzvA7gK8bnODwxD8/flzHzbjB/84/7NcBWssDvJCzfW9e
vZfik/OdbrDZbKTaKIHBH5ILY6Ndzwki3ZHGjkUn8FmFoQPMR/DG3UV5D6l6RsfewCrudqhmD9Yu
CO6D+y/3OMs2797G2EabKZgCc2+HBMZe0+v45n0WP8HecOolHAtX8gpVpQBjDXhq+2AgDMQO8nLv
fZsYVx31E5FWV3U1X+QX4pcYRuZ4olzYT1sa15Hc4QTT+v2giBQ64l5FCYKDRL9PZmLZ7CZ5SYZm
LwGi4ZZiUDk0XnMEhDgeomywsOJ3/jYTs3YiuuYe21197w3JF1WXEzeqEzC3Ft9yDgIbjrMaaNDc
PcZVfSnyUb3XDTCAYdLquxnJ3XVQ+tsSV3upxuITX2Qok+qYM2ZafKKTvLU7JAi5nbR4yy3rkxgd
OmYZx82sOgsMHxUv4vlTFzgbPDbz/tqrHY7M8JoDroqer+4jvsq2Uc7OlnMb3h5aq2nDFtznn9+6
a1ZM3OD6ycysC12obWHUyi68fXv7KpdcGkNZXgzGaSGTr4uWXEo6t/uWBMnQb5yaeTlfffi2Yzpy
XOxxl3miCuvSheSRxC2PBvOy/VR4T7d/s0SOvU3tjg6xUVZhlImLy4Bwf/uXUT1WIaT7OlxfgVKm
9pefN5VLEw4PTqWMMrw9xFlUcnPz8L8/u30F1mZd9tmzC1zLxvqcsmK/jpaoXba3l26nDXUlM91t
bDTYcIYmjGRcH+a+6ORZb8zhUIN3W2z7v3+7lGn15/N8+FnWAnAyumJNJChel6pN9p1LsudWJmm/
Y0ODCKW1VUjlU4Uw6uHMZMsBHaPJ0mMmOIQYVJuF/teH289iwgdo6dVncrTq8PbAPJbeaernPE7O
BO5GQyIhdFb9kXgtetp9HebrEynG+39qB/+f7P9bsj9l/1/ENWt2wAeyf1X9kHX//ne0/+3/+jfa
3/8XonZUsraF3BoFF+L+f6P93X9RPuH78BwdzBM2kP9F+/v/IqVU2OC2zVWf7SLi+TfaX/zLwuNE
51AgOfT5zf8J2p+n+btUUPcNFPdQ7xkqwk0xbwq0v8hHBJmtxBhWIEp1rU7aYdu4dLfPtQU/I5gl
LtYzXirxA0/rAiHGcwtPbIh0TdyXNjPL+KdrCGV/50qstVcrohv5ppqulz/j2Srq98UVo/Z9hNjd
bbKFJWcRCziTqRmZ3bSeR7m4YfuDn1o3TiGfO9udTea5Ur6lZkW5kMkmGaAtsqmvq7JR732oONEf
djJMBP44Zmyem2QsHnLNI5k9Uhr2qbHW+nJj6QACLwNsATqjFSfkje4lMyq+AW/1wSk82zyYeHkZ
dWRmnO70oai+6p6HBYzc5hy3foFze0tmg29tQDhYnHLQQBg/zHli1izBIU/IOOOy2STt1K+kG0xM
NGgG6VwAE+Vj8jBUyM5QhfWFLyXPls06lszYxhJdZoWdGu9u0uXxCQwQ8SK6LHQIzyrPM5JvSsWo
MbGeLIXBJBNLSz1bu0a/8ggbxs91lH+DbU4Agmb5RXLXx2MJqKBwI0bbumUVoCqWBG4WsiE/+oLd
H66AHklCmKQtSoCmqTGv8Toi240cHFb3szv71wHDmnoVymvFM/+h33x3kil5jX1V/KGjcpQHmbfA
W7KuawAV2MzitrMt+q8Ohz/CNkER3pc+i6NpRuKlMrBppwZHbsDPmO3ofEI8hFc4mWFumdZj5RQC
CwC9iHbbGHWVb2Ubua+Di41/X41NPz36A3xH1rwsy3amCYY/7Dr+VIbQAqnRzpAm/VCLdMLmij3m
v6g7s962sTVr/yJWk9wcgUZfUKRETbZjO47jG8KZNud5/vXfQ6XOSaq+g9NooG8aqHIsWaYpidrD
+671LDMJEmthum+brt7apfoAVaaDZ7dHebF2C5FiY/kAGktxfpj2JDpPcddpixOiHgfPpMKd4dlJ
a7P2HxOZKGfgT1iQC91iy26QY+9Ay7ZGu99h5J1sZDC24RxSZ6L2UedgmoNI7QrgBJST9BBETaHv
yXFi+VHXo/aEl1xPKQWbU3PN0T3LqzLL2X4pTYgxIfQfxzlFjCjCoPFnDWsWJGrNu0IoE8gEtmcD
K6eFpqaFtfaUrVJ5rY1ieRptIR416C0BxkymPuDOD6q9yAufADolvWlS4FIpWc19nnzLDT17Vtpu
OkwlBCZk0cmXZgR1Nyu6eab8V1MdNSI21EV50Ou5D2w02AFb1Kr2VrVsgzjvxdloteZKxjDtypLC
i5KtGNgSZX7OW0s/kJVdnQu7sS9zrGYHN5oKX2q2xfrDKI6tKacnq5EEBfe0Z0GgEWk2CP2oRtJ8
IeYpij0itUw8eeK7UUzLO/LQ9s5QRoPswin6MI0rS11NKz/U5Sh5PbqYsv/YfXAqOXwZc60+Dmoi
nmI2vShxBju+OvnMAwG9HLp50l6LskvIDknpkC58VMCJESjlJiBynLToYNuUSEESmaGtZS0G9E5e
ZBUljodQkv0sI+Q9XovyrZwN4sEGVz5YVouMtU2jwDbtHv8FVsJ1mVtYdXpH35dGi4sCAMtD314F
l+JhhFa3NzATPIxGpLzrCaDzZqjqF/gN/YMzpOy4S2WBX5ZC60PFdbRSNWdssHpYoInxgNFch84W
G8Vdhp/Aj9NU/VGoafnUDkV3p81ODIQDC4yFbKPQj0a3Kp+QtgILGe2cwsCyYFJW4wxcrMhxuI+U
XqGiS1+nCUTvzUUuO9I/SSsEX1RDqP8JAg+gKPAxxww9P65WM+ytCOOfxVYMgwOs7jCSurPT6Tsc
ssJBF9CZoNELCgce/XZMHRQUvg6annKFYGJuCbV4otNv3bWz2QFIiqsg4v0JMUKZxGEjF9DrXoEq
kir7Ohbi1CTaHGb5ZNLL1eerkuo5s9UCPa0HxxwV7gaCNu2v7WQoMBWa5EIeHSX8tkbUoIv6MDkk
a4jEJVqOyt6d0/Z0Dpc6/hh1+XKNBzSJxPWle6QC86EH8x24eI1PJCj1u5TSO7w2S/fR4emHITag
RhWL84KSIYUDl5pnHDUUODIMNshn5g9RgQCf18BmSC7TlD1vVR1cdevjA2WmroFwzCU35rC01JQq
fa331AATv2yNeK9IrTw2eoWRwIoInl1qPFv5MpzIeIlgw0N/6Rk3g1naFOmrUQtXa4wA/8kRSSeO
JiYEB7qCgS1drtGhqWsqggZhKj0EyW/UmuBbpB1NLBu6ROlUxQF5ULKrsxR5SwFO0XGm+ahkkObS
daCDlWKAFPbAO74s4zGmAxqWxQASSQi2DyrR9gUSsE82QrePWevo90pkDz4Tpn2YXNKXix4HaaRg
2ebjzSDaLxElMmYLtFbLvjGE8yM2VHnWEjXbK6vSPkKJo65tgglNJ9g3KCJRDhSEHGarIzdWMt0k
eHSnYcUqm47DdA83uA6UoRjvNEaOwwrGNCCkMNqtMwHPKYFYQZnYkB5UEgxMBaorZYZkphQiRpIX
ZXrCHN9dazdP8LCIYYNC5v7sRsIXFaky7oBtzUOCt55lZbFsX2OYfsgAQeiNG1PMWo9DSlHdWkk7
sMEq+vT4qRxqfDIKo1z2oONIRixdruGkbfd9SqKtVU6Am1J1OMRTsU0gE8Ie5jsaC6oJQk/jKi2I
tM7nCL1UuuJGhTSQBumoMoe2an5JlmF4VBSg/GaxkmapVdaxX3CdK+bM296saD9bhplOuEpI4d4M
kFHMQVJaw2HNrNH1jCXr3qu2huWljsahrGYBZGIeJhyOTR1/GK28PuaOE+PicLr2Eyj/dS+mtb4z
8nTK96A1dZtkW7Zz+y7ruug6J8jqfTWR+bCPNcsxQ4KjpvXi8CLRMGxWq3+ejbVmH0X8XO8bFOau
TOp5tRPaVqa2jIWSIHCKIdmnhqs1uocQfzGj2mvloCzqZSAR64tcR0OnHXNb2v9v74L+TyWXIRn/
9/sbVoT8V9fJX3c4t9/7xw7H+YOgDE3DpmdrFmljOM/+scMhhsxg9afp7Dr+TC0T5h/0TQRmWZOj
YEJFz/7n1kaof1DGtDX8JXjxLdt0/idbGx0KyV/3NrgcTNfdzswSwkUhx5P9XRqf2EljZjUgDbKB
k9Cd+rfBsO7Y7yDxLOfo5PA5ctFnHMiTd/iUlUc5Q+k1+1gNW10nQL5mUQ5NJwP0hS1mvXejHomu
Ur/nc4UEWhu+z0XEUE2ONFIKApAmOf0Yq63Uy0aD+RqTlSS1jx4ZoCmQqnI5LHY7BLEy3on0VV2q
fQZ322fZ6vhqa2/CWhLse/GjpZSwn015NqYCpv4DjS4QInX3VjQIZKgr2vsF/QLSHS8evspYxLve
MZ6sciaYNEG/QHJ35kcrhBc1WsMC/NU81CzBtpAzWsVKaG2qxjRDLbAqZblPceO6SpTfZYqZPTAD
DySA00NP0E8xwmGX0gr5VWk1l758L577XiQhU87nWKTJnVuN8Z0dsY3qNSY0e46WC8v9CWHcqAIK
K464+KA2l12tw79WlKBz8ZuhpVYJv+iQdCY2J4eTLjBFHDoAp7yEsOqrjqF/ceHmmtl4XRjEwwqN
QREl00Mer0+ORR6EnmbZk6N+mcfqiOtz/N6imVu7iAbRgKLIxUygaBHVf8QvfkPAJoKB/VSRRIIi
oPAzS38pI8fwdW151upyObhdy4GqhuSPxUbJNkY+qWvkWE/zw2rzhtYiXg7VnFXHTbtorkp+YTzC
k8WBhaMIrLLtu4grMAg8eunjO7Na3fOcPBZRfnYio6GwozieygHTojFpEAEbn7D5A3NIK0/Uihsu
bXaKXL09YJtX4A1opyWnlGk7UtL1Sr6OxCGxxuCLGk9/fqH4hCnpnzdvP7097nbfv7p5+0FkpCpo
JGIjt19VcErvipGZok2HTfb+179xO159+8nt27WgktdI6/HX372dhpE6PRkxw6dGkFj96yx+nYrJ
VU23GMvIr/t+Pe7Xn73dd7uJpJ84NhXX+u03fv3gdlOmkq7v7dvfzu/nI5X1xbTw70mZLRDu//nA
3769PfD2Z1bAlNh8yTHSCyLinUq93L50mg7pZnXwgU3MNxNJEQhu6CGPS9afTNdk9yDhdRQXRALZ
b18UzBngrZFZwveqdjI3tto29yEA1PYiOtjN9Pn2O7d7BwdbvAACjBLCOJmAgJjVq6DRdYrAIm26
cBkvscLOa65KemZcSppaKBeSfXFOb98JOFIBGXktXuO5P6M0Pk3utB5pUk0BsUZemVWFp2oh0ERx
YcspLsr2xTUT/UK/VrI+9ilbfoKThXNj+5He67BWCfqLbGU5l4rJS00BZj/Wk3GR0jIut+/ox0b4
xZfHTQHfsbePFC6sFeLaRZbKuIswg8Eu+cd9NjxbMVCSnrdHkHz9tXVjGuWZCFE9Wee6KIllm+j0
aXGGbmx73dc5hn6W1ogrY6Jf3HSPZIYki85E/5Y76uX2qNsXFQn4z5uoFtNDPWWvGKoqBs/8fYqa
4iBIw/IidylPqw2123HNc8cGuCPKJixITuk1SXfeKL/CpwCI1aTFvlS1GpZb9kKUBTkSzVTsO9zw
gNYKHTQZsgGxoluxLXu+LCgdD25BwnW5zJdq+zKnOm4/jY4w3I/5orcP7GPFmdDH4jSZ8V38kEyG
BdcNrqVKrP1xTipw8iWqye3LOKfwfgm3UmcEmzkaY6cTZG7YHHBMWI5aSVZdRfmGszS/sNRXJ9wV
Lb34Pbq/9aIs2npRiRe8dGmRHcmQPsUrd93uB0faeKrhkGmwPSzdrvzbd18acC+uQ3JXfpwUMGns
+RmnNn1r6U5kdmc1QUCGCn27L6ydCsVbI457NxLXdolczkSuShrShMB19UTkpZcxblyWGRz6Ukyh
QcxF7RO5IIISNR8AZ4xVtTBfbhdWK2jSWTFBEcgC82tjVMV17TBNYtNo2Stw01C6br/gOvdGdSmu
AGoqf7IrssEQVFpdJD1wmh/AJzy0Q04sjw1kscrG0csk/HgIw/lxyJABAlvbKINSu7dNfK64Qj4l
9HtCIhDuwadrob7V2Wf8bLQ6zKw6zctanthclaclAk8j22ncr2h5gqYXOK7S7TFTR4H+9t3PO3/d
vv1iqlbxn4/828NvN3Xenj2IqPvbn7b13gaonUD92w796xd+O/TPb0saE12kxwSl/fNMbn/v9ufX
AvwZ5vmo3kkrgaz66yR+e3xbdtpOx6q1kyqxiJ7SUMW9fXG2PtKvm7QoWlyGf7nv9tNhNOKDYdBi
JaxY0fRdGwE4K6V9J4YGyU4+B6gn+cBZX6iyfkF83vgqiSHWar/RjhqvQwpeLCPAgublqwlmbObZ
HPMZIoVpgCXYwFY+SpoD7tMRnmlm+/Vs8Rs6Ss3eyIN5TWj25flyLGrtE5Wco0W9BNo8dCLYdnqs
SfI/68fRKsO4XB57DeAV3nSesxLfK7Tfh8yARykS0jM0MJUjogCgUIElC22HFZLUQG0l6yvHV5ZE
fUjYamdHla9pJzftcHZQTD0i7EDJS3uv6zl8hWjYslHpmlJ/ncqU5nKc2nus0QXa/6utN7iA+u4Z
bzwgs08xYc4e83IfQpHHlmo0MxUN5y7FXJplMYTcQnkr6mLEQYuwT85O2MSZjs1DK3xA2lhDsX9f
BpyBkHiYPVU4zlqljbztR7S2g1eOnUt7fOx2kG6TnVlFxwxIHUsUCqpRMx8x7qPUSGKokQ07aAGu
g4WkOMbmuFBsV+dAazrFgzgHjLvrZ69BTO0n3QTtkxVYtGlEMmF/UHgf2qRLQ6jniVdkUuUz0qHV
jWNehCl/r8fumC3mYZBYWzLxLdnMI4X6ZGmgE9FtXxdFUFIpuleUCFhdImMMkiVDL4S5OsqL9khY
VO4nirJFJmXPtY5la15psPer9cb2UEKNarv9xOXJWsx6WIg9uSCnfStf7IEY0ZWY7EmpOswU8J1u
xPLZ/jLZSH50YikyjJqH2qKK49LLoEM8+fqksKiYAS+TXcSzr98oG8W+e7Wd6aGmlB1EA8GZGplJ
VJpDtLT1Lk/RAjr9J4gb3+PBDVEONr7Njh5HhHV0VxHyiolrW8rZU88asPlrz+XYJ66KvN1l00Ap
k71H5eWkNRmV2n4EqEqOufT66odNYRZa2qCe8cxNU/leAZHyO7UKW4JGaIP3Fze1LhSW4ytBFAfK
m8xu1rzDbAmyBUDoiJLzLJIRqSK6zkYTb/O6LB8s6uVtnLXXZOJaQrFJ/YB4PbPnAnVq9b5Vxqdi
OOHb0bBkWiyfVxOcb4RFzDK2Mdn96MbKEDTk0kFzjgCpi/yQoFYRggeqplN5cVooW6Ke9DM5X7LJ
FrCl3UNs8q9LwIEuP2qN/WKkLR+pSIZjq4pwmPQwHqwE/ixlj9K+yqVsfFc9oarPg0qriH3lHE3k
JKUpgQ4Rc1fIdAgHMYUayEwRscomjNIXajgigXlxzf4j2rT32YIbAv5LUtXRxQGoayMMy1N6hhUT
Hz3lslhCHSH1AZuqHRDn+HHuBHbxjvSTOidXqiVLHkWblfLariUQXH06mKXArUBE3p4egHFOs3uL
fFuviWMHlx7xeTV5qjMGTDZHROi48jVCtXOcuvl1oluCb7O/i5EPXyD2fnZ60nuAtpGvSyarBjE+
tGZXeZ/jNt+XuGYi6PR+sXDeKXaAndkUSVAQfFzAht6bMnsxc7KG9bhKdnodk+Ho8voMyxIsIlVQ
j7c0j9S49hNH6gE5ZtdtiUPZcGeZeX6AvNN7MP3hhiGqq6TcJODLivBQuSLDSiKG/UwZ91pfYced
5CMaRAdp7khshc31qKDqpJQDTF2zK/xsWBFZyZezne3md0eWpQfswQ1NxhDKvCRilqRKEKm2eKWO
YCFq3aOj/iCZKQoTu0AoISVG76zhuQ/pvYbjjE04L62uHcoup7ptI9xWeDdSc5I7kdTfpHlJ+y+O
gN5u4Lr2y2R+Y8dKJwh8N/pFxionRprJ0i4K19pF+xJVXMFivLY2wa20C3zFsDhqp4qrNhQewfEj
KZIrwtNseoxX+zMWA2QQhgO/bhvxuk3z0Dfpq1a2fZBHaHZYP62yybYEwXjjUBQM7ASrwPQJzBas
NFrKb3I4OWsUPaFtIAProSA+mWRr6XiLNH4QxXgT+gwh+jyaIdaJkWqKPfez2BggOWl99HHedKVN
Twt+H3RkDM3N57ZkUjL6/kedYFUveKFxv4y6H2/b0VgHGKKgC13z5JlMI3YWRfEgtqTGRC2+Rhoz
oIvAVmvJ1GpMckEmIO8VgWybfk9CSBbozgzQXyjwBr/aQOREgZW7osO/oJU0xnJSyBxy2RPnkern
VaqPchquKtpMaK0KPhHZknGZM5yoxmep5y/42ylxa6nnzhTQc8I/1pFwaGuioUJcIDvPxiRerzTr
yoesD0cOUhRuGIAoURospfVmFEO/29QeqdZtStGvOsm0/mBMPSbw5BzZTblTO5e4i2rXZAKxiPVA
lttuUEhFaVPHpkiq1fuH2qlobjTWU+moH7Jyi0SO4wm8f/ctL2WI+wS/62x+tSgOPxrKd6cYwwHc
0ePcmIm3shuyCBMUjRbW5vjapiwsHLRNumTlX8j3En/6Tsma0StiyRJ5BQO8xQNiHKuwBiw68UJr
nXyfGuOz1VM3YRCZsSZFGYEUPDyKzvmWPpVLnTeRsB/XQbbGxFj61siwW2/2/cKZd3BAQSOn8Wc7
wWuPG8oTM4UtXZTPcUnRRn6si/VbvNZZkBnLsAfO8bqCAQireMteXe+rivc1lpDH2DYg95nfepRs
NNEWPN3IYWLiGpt+p8nyq1WufpuiaK45qhISQPWGXSLzzX6LPRpJ9ElbZPxpgsgci0aRGTTGjWW9
G6MW9mJWvcF6Rn6aPS4TonIT91vSA6oZl/ZAQ8OkEic/0sIjN3pbcumYsjyjZYLWUnan+bb3XU2X
8DzXOdmNPIC5QGFkXml10eVvQL255rhvLKvZuzLZuxkQYKL5dmRQJUHbrZ/Ix6690WILNGNFIRzR
vV+cBZirKc6jjZiSHh9OcjfymtZdDzMxOKAbItrO8/0y/TBF3+7nQikhAWfG3llp5xI1+2lAWEjl
23gqB/VliVtxcGK28OlwxbojzlKc0I1Px7csWxH2WcRGJy0GL2Bk+jwBwtHxfy9G8+raTKqFaX9X
+uq7JPpxwxO7Xh0nNNK7Kg3iQq+Ih7mriBIlVohSh+JGmF0Ndp+xkxwN52jUjhM6EhdzRO4KsISp
v7Qf0m5V/SQhrip3qhW1gEFAKCG7dkPSX0VUxJn2wMdQqNVbbQVyzcVRmdKHxJCg6YnT2xWop0sX
VRdh7Qb2n83m2PUR6+sopJEu7ydBR6ced13RWk/JYPzQQUF5cyJNFIzA1RiKR9jtandhXVdl2peY
RdMArQAmZmvu08Z2vJxN6Z5wpnm9Dni6Gz79JyS/1B146ks6H6bB/pRFKDsyvRj9AdtzkImLBk21
gI15qtZ2DspiSo5wca6qIj+WVYNof3Var0Vt4dtW8Vkxl6d+pIFszQ1qWrf9TDHcOoIcSsEZZfrX
gcqMb+prcuyF/jItzblFheprrXAIl73PNcjggPGYdYezmw5MiopEx1ETqDriOoHh5RGlZQSibkiJ
RYmbRhUZba6/zJbENbfQA8TL6o3Nw6jHj6prFL6Dqm9Xzv2zKi+WVo4wHgE9dPMaFDo9qEJXTHym
ZC7IAkK2MW8cWbAVlEo/dRFRqj3czMxkh4OE/M7uqATCwLm3CpQpK73iTJoPiJ3OZtFftZjTYVF1
5XUiHii612MAUFbvfFqQYfhz1b3U7vSY1cZLIwZWvL07+qWSPeYacRFxvZhBHmgJILD4Ladvjxcq
H/0sJcYGxQqljcMyT2A9IyeslfiqOo19XofU8j30Dumpc6Aq6HtVdCUuJn3aC0CSntWax0YbCUAb
yru8w6m1jRZ1TbiGFJEIO6r88X4a9VdQAekORUIc1EK/m0sQk2OcCZbS0glcRf9W49A8swkC9E/x
v0aW565mBV/82M4czo7rM+1LB1ILklX8VC8jtetPVtzXp1k4K1JED09I+U3kT0OTwbCX0jn0TvaY
6MQDLS0ZXqhADb+W30kYni6NHGi9DrRW69lXbZJnnNph84WHK0A3XfIulsUeGlY4F0yKRNmyKtpK
WH3oUCcP2PVYu4w1sVGQwNxYpA8PcxVGHcUFi6ED+G62G2Od7N/oXtrGNUudcc+VTHt9np51TJit
0zm7aIHCmrvKs+3KDhw5TfKsO1bIYdx1YHXUH6e0CNHrn50KBD6qhYKpdcsis2xsesZAbm6LOnXS
TZb5lEhxitoHtpVHwtJ+ROqYhwm2VkZy5N4l+AM4VSw+VvfUDCuOK6TTh5G5kPZqNu8aFwPkUPXP
adfppy5m00MEj3YuxhaXPYAlQ0U/JrE7ATvY41R71iwBQKrpH2cbkqUcN3rzYFGLw8XubWAyLHd+
FzG9D/ZpHLpybycLi+AtgyHngtLIOIZ/2JA+YWLnSYwiAKDDFFineBwBRWDwR+LLbNkQ9OPBmfpu
q3qCC1V+TtLQQUbEZGek6I3MN+yAjB9kPmhZhJHTtt8XWec7Jx9YB5O/MqAwd6k37yT+3N2CUkc1
oObwirG1EZa3rFM4ztZzG8G01QZom3VPdK/J0I+Y57PEuHWOSudFRu3Aa1xSrdnSZMTA5lktEVkR
yAt1If5QaysOD4yps0qbeG3eBCVrrXtpc+zlKNeq65ooC2/Ra7bE7GZb5UtLkUJTZ3HptAZmygoy
UO6dorEflRwiKdX3U1/ONWXAJaIMYXx3V/mydESbFTGMID5D0JDEJonuio0l8bI2d2BO5ZWo4+oB
IEWzX1mbB2X7UpI3xnxCIcdW8n1vACTJ4R2TeoM6ukgdv1nV6DBOxbOQ0RDMPctSXS0/dYIa8Aov
cs1WInFQ7upqUNI0qpf8Q8w7Ro07ZZ5/EBNL6F6lBjHPhHW41gejSX9gz70fi/EZt5kd2BYtD60n
JIpPZcqGawzEewc+EgiHhWMaQYC/CqvdGUvynLMzO4Jae4TWeSrt+ZA4+rVVo/RA/4/0ZCxeaYIP
QhR7mpMvVEVBvhj9Y799SKlH+gv7RXT6xmmC9X1GRpZ9ITxmu9QMDHPTQptORO4+wY2XDgrCudhA
m7WGDoI2pMUkyLg9V6ZLS/Wg2tN+So2XyZKEVpsdu7J4/bGibQt6BZVFg2Oo+RrJ8SDi6WmLUxnk
/M1ch/kQw9tqnQYUAZoZTDLw3sUWhxS5P0Dkzfu6Md9WkWsh0yYS+rxbdjRP7rks+qBYsFOg/Ib9
U+A77LbZ0VkUBElgZ9zmC5FlmIjqZwGsYp9EoEUGqFFtl31QVeN5yuctlb4rqNnbnxo9owmJJMIr
tMAmDWeXrF80Ax7d3LTnuHVxxZlsFWVr6B5xD0FuWOkFiT14lpmdzlTdE9Ec8bl2oeZMgJ1qkb+2
QtRBXGsCR6PReZpO1ZYaiwJ42HXDYgANocIIk/ZyFK3N0lpFs2B8Q6Tz3ObDfY4WDjrV/F4ShuRp
i9MElsDA2XdXypM+uJw8VIqnsfuS4rglkEG84fMGOULvVUsGoGVqpx6t+RtrzPTJtug2msMIO6M6
ohyhCli7bMqnYIzTIDNNNm0JghpJFczDM99tXdHv67jl/xkYMmxW5E3XUXkpH0DuuF4MEckHSMep
MWLXIHAhAVVaaKY8/VwV3zKJIAeR+rceinaIvhdmOM4wfxkiGlcsLz2bwdObFcjKOQOar/QKdUlZ
QhCuyFDDSqxaS0tGJOtDfLaH2pEHPkCelk7DCVVMcoRvtHcS6FRZjsc1bZaPSw9ajH49LDnSvPuk
wd02pqRAG/SgKqc5xANnXJmr6Y2lllwM5dpBKmZ5XdwbaXdZSoqHrZ1h8qF0fEJBzOUoPlU4kAIS
eOk/oNVKWL6aUIKMAXdhr0zg1DQ75BND1aDPkIymzJlT2+JF7oGmFcq+SbXNUepiSdfchz5XP1um
Ou408FXjWLkXYX3ME/wmebdtj1IwCKU6+IxPh0It39lZXVf1qK+Kcz817t2Mq8d3Z+Wtr6mFjVQK
DouDqFbk3VWBa7CbQS0Ei0lWdUX4lmeWd2P5LcHX5MFkRajY85wIRhxBnI+u8TWxhsKPqyeRP0zD
ghkeZVRQR7IPagV4q1Ia0a4xF1JOqDIoyqMjQjRQ7EMRNrEILHyKQNTN1QeHaumhJP6TC2piUZ+L
a2JYz3gjD6bTD4d2yVu/HlcbkD72PFCm7KAvW379Dvtp5Yta+1A6y9lMEdvU+GKPST5fdfDgfg0H
l/jeCmtsTTUak1Q3J4FIyg9rpr/Tm9I9m9yYZUZih5VHyxKq0BP8lET90saufGRsJp8kooji0ujf
gqb3ORulgAjrBGn5Q1KAuMCLDygLSNkgyf5UiqO2gkHQxfhA57+ji4N4Ok01Vg24uvZLTqF6bDI+
iyXZYvP4icT7Plj7jBc4G/BH9aTqNH38wkpE+DoXNX7CXdzkyXHtKKkuylsE4jvqjPHVXqyDoo7T
Q9IBCjMs1IaLSkY0YjFYxBAhDpUTk3ZALPyO9sBwYBbf5FPzu82VQEMi7NV45Pro0DsYudxZ+sUE
RefJpfo4bH2imyVk2DwlZkEa00+LyO327Sft5hj59ZjbrzhScTLv9pjb7V+P/nVfQhcb23ei8lHg
CCXC4HVXrKjsFEd/+u0wP//qvzykkxO6pC6d7v980O3ozIZbVvl2wr8dZfMmAY9MWaXBuYijKBwz
R7Lg3Z7ir/P7eZwSNxEpMS5s5u0Z337ctgP5wWoC7/WvR77d/vnA2zPpHPM9xlQa3A4dU3riCP/8
K7/+1O2Fu92MizImyB0C0e3mr1dUNbXykAjtnLTKx4iQJLqN1CqTtH4DBgepSbXIEkQHSfFujL0x
V9i5jMyYs66zk8yYdHWYQsXIppg184c7uJyq78y6e0wFYYUqHHPZUwkDUfIxZ4RLUZMamvzKlh/M
SZU2uGeHiWS9hWG+yIkxon0PM1OJhtSfFxTKVll+dIcmXAR6FhN98YiIGY+tuSI4NYfsTlW3lskC
QXFRbCKy5AXf5Xls0q9bC6NdCJBJh/pai/WdBDgiPxvzMunGwUVLAumTfKM9gXN3osDHmK+EGQkU
ej7ZeOmW0+tNRfSgCgbU1EYhIEjqZn8ExGytbWxNLADde6jd1FzHDWsKeS11T3DliiARRr9LrMNA
L94rMSPMyTruLAsJNaj/89QXX0BzVX5Fi0vUdiBV2Ciu6D72JRhsmdGusbloPZHPRya2UKmdA4U0
sEjW8i6o5S2T8opOR9lJfb4gzdkRC82+1yFYykzaQ40wPohjscf/9hlZDjuHfo8ukcQnwHjG3EVB
MrW0zI36pcitb9UkZn9slm+TXcB9zQwGblGNXiqZA0EiFcG4vsZSf65ylrc1Ixnm/Jo4zE+DShV0
JgybPCO0wckOl6YZTpvzodQgHjotDfQ0WWt0R86hUfGxwkyLokTz24XKgCFgsA49o+mYs90YbE07
9pPheqsyvDYT2Wm2kT1PEesKq053NHs+ryCRKaTZtKPggvhyyL8sTGqQBbeoMFA+WmJN+Ol0PzGg
olHibIhGhHRCVx715x3DGAAjxAtmryjolk1OvnEJC4g+wME26ZFhlpw762UiMRWGqgUUMG/2/bLn
p7SZyIHC9Frd96v7gnvkBELyvZgTsGt0LY0Y+PGMndTUcgMtj0160aZ5smq7835THz78BJj/HqX0
d/o+fVxLh4Vg4I1iqYSu76+CvjhCAJoMFKfIphBeMSruyc7oLCRa/pCrqDsSI3o28YMHSlGSZ97H
0R4kv3UohkrbKeKIBJ8wd7wkEK6Gs1Yo7gdjXrw5tov7jAuhsrsnhgL535z4zUX1G5D9duKWyuVA
yImwqPv/9cTXpGythRrtkUZwdlQsE7kG5TxvhixIVgBZsF3q0NPP43szjQmLFuQE/vsX7+8E9u0c
qH/w/yaFdFjl/fUckiZJrTkuYP8O/XKP8f+YaWl8ZOWn7VwQx2EFHhTgypMDqvWaDOoJVDZExP8G
lv/38KDbeQCCdrHJqUh7rb+lpWTVshhtZks8txGOHJhFx80F3qkMglOXvo4rdswqt541RzZXeAqo
sSm2jDWu5KhTrqPbNxcW9N4NwiwRzDBf5czoGoZqQzJMowjVrhFhzZFhAo6Z0G8rnY6wnX44GRKN
X2IPDSrMV5YzjuEMYSFzK/ty+5Js3/X5+vrvX/5/ce1uFjtDA/G3JSfZfxOjDmrvkLgdy6Ol6UDZ
QW0FqUsaoibtfY1hOzZWCBrNxN4SnoCp10cy1unv5yvL9vlSFpKocXUyQs0sxiO8Ygg6EltHW0fj
ATaYDihqehoiUE23M//fFj5fAcBWXfWj/8/tyF+remlBAfb/9Z9/ufV/SB6NS8FAt/wft2cgv1f/
n/3z+fv83v0ujP7zN/4URrviD/qtjqNuqU2CEYuD/SmMJqjpD0vous0HQEc6p/MZ+Ic+2sLfSRSb
o6m0zVVsof/UR+vmH47A9kUUABfQ5hz9n+ijseH9LbdIQ5dtoGezdYMTIskL5fbv+mgIXcrYVJUK
2LYdQ6sbn5qR6O9+czRWtnW1XBF5elQ/FtSWKP0tLMld8PtmMC48RM/rC3yLamfSkjed/0fYee02
rkTb9osIFGORr8rBkuUcXginZs5kMXz9GVRf7N7ouw/OiyFRMiVbVIW15hyzvjft7AP3GZVJIXcl
doBQqEfGAXQFHuUn233oWQrWBTjHcLLp8rB3zyfridSdYpkIo2GtXH/Mmy4NjllFjPgQGfTE5cKM
9IMeo8dlzNjVbrqRXfMy5YnNHja/SQjZXfiVfYfO9GzXA4TcnDzGjsbggrHsAuygQXg8YfdJNvbQ
Ho2uJQN+Al2tfcWwGjdOYshFjzs9YwtjyNlfwTouTfVsPUnEKiGzcgSGw4Wj1undcwZEc9IhDphe
vtW06LGZV5K9tMiPiEPoBX276FnbbUUwAiOBWuA375Wrk6JqYVKgwz0Y4d6R/D+WZi/VQa8PhZLj
IUqr7Fj0Gm/ACIAWK3p2WTYKOFcwaed71lAZp+stHW7OHnTxiZgl/UxY8cw4ibxtkQQmf4XV3LDi
HY6NZmKCRGYH8MXTbnO7CEDqTcGlAE+WFxgwJjr8a+gVw8qzK3EJJntau0yZv+92hV9daNQkIvKI
Ox/DdYTn7FEqirEFG/QF41F4gk33AvVKuxVeUG66gA6N1Fz/9vqjpiZ0WxrFgzI/6QBJCDayNcDS
OdM5C4rumGfGlpI+xwRQMc3nU44jjXKomc0wiKRhW2oXpNBS9w2PIAGowXB5s9lJZmSJlCx97UWo
DXAr1CBJgS8AT3AeCnkqvAy1jM4gX7EIkXc+0w0Bywtj2LJKv3iO0E5AarqHBtzgdgzQYHcSjWJe
g8HRxVl5+9DS6ycM0vwQ74E5+Q/XOzBB0KMW6iJZUul97DypzF3EuRa9ihSOFR65aQk6Pn6dSkFz
UoCOgG/4SmNkfITE9Uy4uvqMexhIw2RZd8rx9UNR5cM69AUkpk50x5FrWmqB9kMFkgt4oDfECo/d
iUsKrgjyg5d39iOS1rPnxO3ZEf1sGDMe4E+Ar4ElEvRlh0yIridEy/Ct6PmKpx6pMxZCIXdw7sM+
id91X9cWvV64D2Nsl6zPZQixwmE9m6tpn1Kz3VV8zneTT2M/Slz73Z2CfakS/1MZxNhqw60HcOmJ
LB8mrBDEKKLUBlRYga7BMQAPDx1SMvqZg0Z0hzf2wTOtE2sDpdlau4MXPGcJtDFlB2JzfdTrja3e
zRHilnR3yUxmk43+MiZaQTiXGYD6wNpBcAHaPbry39kHsS7+PXFDM+W5OqaZ8s7NkEWLQEc7lA4k
S4S6gWwDD8JjiNHJjnnptNE1nMmTesSj3hwcZTzhTzlZZRp8ZFoEnSqwpkuhk0wTJiEZ9tlAyZMv
G21Ok3B1l4ZFmnpwQbR+eMgN5mGb3Mi+gVEVz8fpa00AmtBaXJ8hm9rb1aqpqJ5nSyWz8S6p5XBn
W21/wqV++HOIzzLZBiI6Rg6x1fR+SkybZraleoh9Yr47joSasP/mXWXBEeEpcm1S7n1CW+4o7iZP
IyB+J+nf8eVPp74K80d2hWR9N3RZ53tD0GPyDNNgl/CdGMYB5AvCIEQn2IbHKBEvmYA0C6XokVZc
d6lpctmCSBxk1fdUatK7FvRyTiWKagntPBGnKHHrIT1pCQIQs4tZgBsIysrBpE1hPFq0Aw4FxZ5N
IX37obScejGSvPATetuuisksrwiMxmJDgm+a5Kccuektnx95AEqFWzn6sF+84jlA7vug5XoGCleI
FX6QciMxMu0A4YGPUtG36+q3biq0r2HT0ZRNZTC+aNB8DwjxxPJ6d1Wo0FrVXWWQy2rJ15SrCpZ/
8gKCwTtKuCbQ0zL3tac/sxRcXnA4S5M2QVC8dmum/PpVEJp9TKOqWupl+0tpfJ8MB4R6n6lnRzO1
jYh0jM4Q4jee18QLK9D8OzzxgG4adlvzfgllZmVd6rHJl0rwFa4wX9KfyNghdjXwGissn4lUJxJW
thEWkvzsUza+7acOcVAggwNvOX6SdkpLNR1fDd9Dem0F0QOkUjCudHIjS5Bj0VuM1b5T7qCggZmO
25ukctXFSvCagF/rXmob8EoEns3RuggBG0EnlsybPdzW6MlAwYYPnb/o+ihlCEmWIuvSaQ9MEcqQ
I+vpYjvdnR5M3fH3sfkuwUDFuszEs19O7cmdf1xv9Tnvp1d2uG5JpD4O0lDH6y3yeQNS/8DGZiGe
RHxMgrwHhic0m+CgI7wfkWGUgHYzKApeVsFP7XcyaX7pQuhbT82dZgvsKeoqpkEnPUS5H2x0wk0W
E/8Erh+XwIWM2KEQarZXvbFl6/dJFOzCVHT7rIg2NECZ2Huoo0Yt/ZvSx32Qt/HZOFDtvWTgJe40
Rlm6KIm+0ZwffWJBRB+yoFaMcyMxmuqoEtp8TiQesPXESz32seSavrOSbu1tKGXuTbN6C7xsi0XX
WAMY7nd2X38yCE+ETGneLQgNmFYF/hkoQydlDR8WomAc5N1S2swPXYK6shwfIpUS5AV9YmG2YEET
+gqSTtPBlF+SbuhE+8tD/wMag+jSerjTbejCTV39oihBF7MWq8oRVEtb/aK11M9NQ32bUGDTesAB
L3UgDxo71sKKYZvH0lraVvM6ETEg4s5mIqVlSues2sB/o5Mfggnxyq+gSdIF39ZnrSVlkG+NZ1Ne
HAMaVpH3bFbGF9vvUyvFWRM+ESPWm1uG215377oCAXGc9j8Svz5oLaC0iN2fgq55TlCNoMd14BwC
/SrHHwrCDjZojYrK8IIR9EsVDtqQKTiy1JBUXlcChms71LO6+A6bHoKJjeiFWuPpei88CKD5dxeB
UUzabunVZQOO31dLUevb1rA2I224pZ3a1Maj4MtIoOeLzL4DaNpW6RcapVcw2aji1DYf6441XwZF
LD1UfTnri/QXQgMefJncF53nbbBFWFL8Ivus78dnfzTXpZHQ/LcRT2lkEbS3/kQvbpSwMQEtsP6b
1AVj4NKt0TEZoXavTO0j6Zs7EYg9xW0SuJ3dKIEVMBIvXGN4dA002oVGmRz8Ur4Iu4ZaD10tJMSJ
Su9zSZc/mtCLuUS84SNa8e0fFkQ3fRGZF25cIrL7Ot5Xhk34I0TjgYrggjrnDfo3pNfVUyHRcXnM
9eT4lNVtFVgKNXBzw/op2TKqUd2nnqIPZyPvIWtaPT0s5J0+sSWe8Gn9ePIW59/CBGiWU6UFesWt
edkdCQaYLHi14cWdU0+9yaw6FhAC8laUW2ArjyjRSWSr+5h/o7nLjOmmLyt/YVd8ET2BD1235TL3
xos+QuYyY3DlretToObjqcPuYUwyuBZYOtHp1cvRpKPn15ivBlqtnesQ2xSIZ1GYBNxTWx08M1pX
dvw2VbjTG+StbYPL3ItigH3GwEJOPTeZ+dbM59F1+y2oUxwNfr8c3YQicPhTWXxHTK36gv46KxCa
eOk8ycx7J5nqM3a/mQEufl3zVssIuQbSj8b95Wbjp0XbwGhxpYg8q5dh1F2SBlM+7j9E7eOHMt3n
Ubd+lNP/jFF1Y5U/TWNhdCyyG1JL93bDR26n4VdoR3ctNBl6beUHFvDiRoboGZyxBDUTwzYp352Y
a5l5ALrjgI4vPLFgftV79RJ09n3jOGe39O5SY7wUhYmyLBvehNudSJkBoqUdWRrhAajD71DHgTRf
gJk1Iq8rmo3q4noxlc5tnTjHbhrXqLccTawDma4Kt7n4M766r4mOSyfQ6SYo1X7u4unxJS6td1tE
l4D519Fy+uDIEDeq6W6CxtpVygzXDZVpEYOgyS5K+eW2o50FWw07S5bdwkxhyMJGXichAFek2VUf
rkr33UpobFfT9NO5CNbqpDo2zlnLUITFvr9k0eDCTnWSndlHt+TQtVtHVxcXkVWR1u++1+0LTVJN
Vnq1TDEbQQcFPq6GddvqOgx8DBVWJQC42OtGKxDcOx15RoNOH1Gzz+z3IS+UNeuNAhqDw/5Yd/kf
4E6F5IgOnmDv8CJr/xHv6C+cSND2iJ6jJI77zHK/gvv4we3MB8fLo8ekMF98n6k9aEhU0nzCWWwk
Fqyymj06NNx9HkEZk5HfWlX7ouMpvulr6us+PolN0q+HelWxldt5Wn9qqlig53iMkCwtDLu0VuQO
gp5Rt+z8rFUwMpoEahhXlRcdLLjUG91xaUaq2N5qgxsydjvPYRuBO3DzW0m0wUZ50B+Fj3iKT+2o
8Zc2bbgfTRgtpUhvNa03VpVNI7V3m10gso0T4+HTrdpblaKdVi5D/xLL17tDz23PPnEPuNqHPQNa
v7YTRDaFcagzdvHkGn0Doq35kmsu3gJ0naWJdsOAcpjqbfWKiHDT1i6d2KF9gA2tFrDoPgzTxKlF
gM3i3dYMbBiU33YtygoGuz5aVCaJskUk70J0LWxrSRKp3XsHmRuyGPNZGA7TZU1ZXqsRfrXuLUhR
0MwM8DIlMajT1DpHtXb0tGPP9OqCQzpQ6GSDXsIXb+hNaQpdce1Fr4jn001t96c+F79CogGYyiKS
mJMswE9jsbEOvE3TWeWhdkisIXlkNhf9c/960PScl8SY5Pp6vM+QnzjN+P8/7/pwLKIDu7Fqe/1V
RA78oRQj/jrl9UHhsyK0Bnyu8ymvh/oKOHAlpwUcIKycZpAfQQw1izhDuGT128a0931dnGPwrG3e
/9CiwD88ilcKHifEvJpoFobW7oumvbXaGtE+XsioVcjenFc7Up9JOf0AUP6p4L/S6UPPAfrX7Puf
KYEGVBThI5PYMQtnWRhmlYy1gm1YYjFZxs84AgJ2w1Vd6qdipE+tvqepkJs0ZRZQtn5TwYOyIoR0
RWeKpWw9NCtuqTNyti2ZCfy4+nivt6YU+LnqK7k0OoyhXU/O04hi6vojbFuCdnr7iRAbba2M6CML
U+cgCGRQvVWxXZUzLAPbkdF6i7jwekyVMMd1KFwHABYD07XbNYfr/ZI9/qHsdkmb3hW2Lrb4MlFb
NUW/8KkmjV4YHhKsy2vTZnU2GdlLak0hbRaQi9Wk54s8jN8nyssLZYJDE4oe5/WH8c8tAgRhmFWE
l5D3mRxdZSR7JG2YJ+KHNMPISeqCJu1vwivRFz+0RvCMhObYoCtoI/3k2fVX2PhPEjQKhWfbGM6Z
s+oTaI2mWBsa/ke926p4Opl6D2neMm4CQrYseD9EBa2iQm0j6u5I/1Nad3gVMNyipebNgusNiCQ0
1pnFVl9Gd6o01WEEaezIdetp75UeMDPIHIa2912OYL8bfzEvEWyb5WyNnsVL7zrdPsq8xktxR4v1
VObVWYuI70LCrgskGj7MTBovSVStbbp8VRe+65M4mRWGxmYKFDU6n2pKDdXHQkGRe9UqvM9JiNuZ
XX/2BmBimsVCKt1MjXVUGxhYIamv5Y0lYugRdUajVWfeN24NXKJ4lirI3ugaMVVsFRvqhRYl/JmS
Kziv0seio3BZpAd79pSkjzRE2Bga/osODAqBMvuL4eAZt5as+41I20/fRbUEUQofTZleDODKAmuw
ZZa/khIAfKod3JHIKBINDnTQsGHlbH4GrziXM0xiYNWCqWpv5LS60lKV+8bO1oOLw73tbqrMf4K9
J7AmJrdIp4tlUd4SKuNua+ttxGWipSFiyiY8FPGls0MSFhu6waEd2qwbCZvs2m2WT6wvmximQvYC
7hq8jWkv0yikwhpGj6UFWlTCUqMxR5Gq5NLHb1HWDxPL/YXrtXiDkKfOXt6n0GbwtlQdrLTqLaTs
4E5rnx3TAkzOl1XIQ4upZx1H8VdcZO6Kwi2VyXE24J2sJH0fIMccoA04uMfIi+vLHRl5hCKVlr8o
/PB7HM0O9DOrRxPcW8I0lrreS5xgPPO77jGOZjlsB1Az719RiKDjTn96p3nRrXEbJ9NX60Fm6jR8
6LYBwcrw+302PSAfgCQiOg05NTQIoT25MvFojRaHcOygPXf2Ea1Dmkb3kK5uAw1pUTveqYAsJL19
taxmp7UvnYwOZghCu6v22NDu43xEaSPhiesoTdMKD4ur7F+1Zp6gWayLKr4tqnHu2Z9SH/T+ZI4m
NZRzk6qfaorIk7+YevVC4ge0upKgXpE75qZ3GNFsm5DcnuA55QdvXVl86cRMmo12M1jdrR88u3wR
TcUqxDUBCrn+ne4NHhywdOPoZOA04sWCOmEP+UNgZKsm7ZmjkyPGz2VTy4csrlGRFh9JhRUJSL2O
kNGD/p50b6HlocubrE8/drIFiU2oVOziMQyTh2wqf4UMFMZU/SoRsAq/vUsFY47Ub+jfS0qYn1M0
fPoMCrqe/XI9/dR2ZH1K+T6i4egm8MV2vWosoq3Lgtq/0pGw9TrDSjJBE0GK+lZbQ7zzpumxcfWH
tEIHba35dj0Vor8DZvSOaSZaNhGu8L5DcCipmrlkxXnjU5e17gYZzwHTHhcLwSmt1m6FAYUXVflT
zRTQ4Rm3vAkqAswMfcw3xQSkhRw60JfBialvQ7XtLtWRTtlfBlMYXOglV/CbqZ87Vm/OmJ8LIuTa
IbiL1XTvWCzKJirFRHK5drVy+uRiFYiZo0i7HdrsAJ0R+5N1ihBjLiJTPlSxEy/rcY/maEXF16U6
rb/1wrsPQ0Iy3chYS9aGIjCmRV8hvJApf26RQlsWCVEBxsgKOsXVzIIHd9/d/C/uspKUBq9cOowI
iRNujDb80tiXrcayYJnDnxC+xZNOTbnJwULreGBi78kY9FPvcCfXJ7K6akbPbCIAOs0uLuSSxh5P
VkT70ra1V/Kp3swIJmQUe+RSJM81uaSL/qmfkxCcLLq9fpHalEu//MXi4ymLZIEyOF3FrWCP5l4q
B29GP3pU2zUC9qTQ2X/U2mIUw4t0+KMMnzW7hmWGihTTZDKdDJ19kZPc0B7jXKhhTK4YZnSI+3S7
kCiKTx+3o57gh+n1z1RiIOq86hLoLd971CZjAT84NfgHgs9fu/N2uxih6EEOuHFKFNZ64p359Pcg
+8mjJHtkoQ0iXAQWZaMZ5Btg6IALmC0d6dQr336yK+d9sGGwSv3JB1m4VP0v1rjPRHcgGi020YhX
A4j/imsrXfgmlATaTswrkash/wsD1pHjwa/JmWLT98vuHRgE9PSTYbwnNpGPtlOkrHWwF3rD+Mxc
p1o0/SFG0X6yu+6pT7GHNII0WgDpu7aJcCiKIxyiaZE6bLQBgGLXGW1KrqxLG4pPwl2ESqfpBnYj
qgow6pDCmdGxBRr626R/ZH38PNKCwebtU2eYR8iqedMG9eGYKLlcyPtOpvQbN2UdSvywseBSqRdD
QdK2LdrV4DO3qiGn7m5YJrsze2T+QboodZB91sbpcJzVNsJklYKFo6QdUGlDZVsiHtpGYXCRWujg
Dm/n0iseIBztmz6V5AlE4VPdmQMjVr2pW+9lEuPW7NuvriJlBg4ZgHM7uJWpd9cYVElb86GthpfS
9M4qoJeBR+yViq0tcDwOYZHvMo0SpRNGzLNMaFE0fkbhuIsmzJxs835NDukJNTLYmD7fchxQxreS
iQAU3pr6urf3o0/K9qQOjRPF9HaZm8ZbM1dTmDa+B4y9Vib54MIEW1+5JCBH3i+cplWb0CieQ4uM
xZY3oEJ8OqqmqjwBiNezIrjRbHcFmFIt9GLubirwClVmbitL2ZtW975Y3jwFE7tcqJCIiybFmmT8
NYTtFyrOTRtJ1q5ehOZad9hA+huRm8VZb7tn3WP/1DW3Q7bm4z3KgHrSWPS3gITJv1A0ghsih9I6
eYLLTzFqxWKps87SqYajEgZV2qDQb8IMkVgc+OEz9G2CR/vAW9Nhw2vSfFiTUy0DhZvcVycQmzhb
XLLZMBJSXms2DM/jyu7Zp9ODOrhwO2bwqEjKkwwY87yCDVoSjnvplR+WQTsJ+UWbDRSx1A9W9S19
lRdEMMYCtPjT0CfjJqoEVfgw3tgO6R+JmPCNj2eiCn5yrUI715gbizq/Xj7rLX1pJ5IU86LoszwO
TaYOLsYVrcSnPhumAH0TffHTNS71f/p6OeVqTZtHgMyiBd2veWvZJqsyiCUqI981B4RQBniGDO/F
GfiP14HC/UlWkt+uPR35WmvCs6Jjv24aeceG9jEkFxFvo1yMeHLN3G23rTDf6kyOW0J4UM0M9Tso
S7qTEfIaYiUSWBbI4Ef91qZRaPuCUBuXkc/UkpMGzlcNIZ48rsmEbsra8JnSWbKXu0Yi3Szxg9BR
xY01NazRbSiHsEs3jvPdW4QPdBIHcGdishO6s4odxJKqib8rWmakzMePMmXbbFAJID8d5r1DEZBX
NugIrBRtLtIam3fbD6PFgPkUdS80TOnOoaDTc6Chyc46QsJ6lyQ0B4HyqhPDF7Yv1JGZcQHPHy/d
4RDQeVlRGOPocN/a3bSWITKDsDgqr9mVtTctfMfFg6rjEc/IiiwNkESU3O/HBkIBzJtgVVZ5uzZc
Mpj7SMyiAhaT9osvTcRi+Nr9iCqhq7srzDZvBcJgr3uG0Qp2FUPjDji1fjTrrZ6TqWsZqLvrRwmB
YqUYYA7ZlJ4ZHjYRbX3n7Kd8k+k8mbtYIrtHVSw2vqnMTTcwyZROPTL/6D8Rmz8ibZhoPRvsc8GQ
vdCgwgHJGG/Cvul3WTqlsx9iP/tNGQ3rPWtpELk0e+I+PGkm3QZU3Pso8ejRwRAIQHLsJpdlCAS/
pTQm5OqNv9U6RLGxGW3yhiWCVQ8bV3UFE0wLscBhQz412mtRy0ME4n9TAogCyygCcoBFQEHFrF0c
5WNsHFSqIA4kE2NR4YHlacdPA/HEKUU9SfcsXYnsPgpIK6w0eYL1NtCk5YsRiHVRxMkNqIoHv+tZ
eOCiozxL1c6yiSLTtR3hJTAz5+pC3d2zj910c3izHtOpVfjhD4qM0ik6NEZ+sXMaC3hYQQC56T16
be/Fbw/UcIrS1r6pzqESJ29HGYSoM81YXnPrG64CC6DIwLDdj1CVjJoK4a/MaMdbZbExVf45kz2K
Bv4moGzGWM1sCdbk3xXEZxvDFVPofSmdvZI5bo8WE8hgFQUAC9abPsBYUqQ6im3yC/1PvkO3O6NP
YhfnZUy3pzHWheHTdKDi09OPDKT+meMzOXaldkugyjGU8skdBT13n0BfbB82gIeSP2kXFEG4Z1ty
1CwSw6eAcgjSiH1SGUDMCWqPRXYZu+nGlDBMae4sRNtcsjqh1WHi6DCkYnaoyPBQbUBziR0Tjhh8
VeGD6RKqUwV5t00JU71z/YBWomY+VV5xr0JMBR2wXkYx8ynysXRZE7lRNB33SgcyW3v9eqLmvxFN
Bvgrny6pBsO5zbdcdycz0c6IClB+DPXZmBR1CfZwiHci0ism7aMK4yf3lYL+MdWeybPdmwXbvT6w
HXxuTD3ix+wViZVN+pwQcTLXgug4dB+CzZdTohBC3nCHv6NceAmf5GQOrFzdzFlbjkZ70OxflOHS
fsvNDQrNCnHLtCP0/U6NxPSEgZevEIaCeikclzqSew49SyFWZLVn5OGJlB151hJ5DGIbEZSZUFrr
3uC14gYpXUycmU+hAv9f+EZ1kJ1IW8+mgGVidDAgWjcnuiFc0/mwzima6h7vZ+MCWcsyY5nRXMan
5GADag0q2Uy3R0WTblk26tMpLG1hW8iITfXK2F7Sn9S/9caF4yTxhWamwFzqYc3dur5aoX3e+Vre
sOdl/Zt0CqAHBJGKZWwXsaWiKF+ZubGiZ5mv2NN5Sy+B/Q1JoF3YHWV1ReEbjDzzs++TiAOIgTk7
O8KiVZukg/6N1GRnSbj/ekyZKyHKpXZXc+iMqxxz7VTkyyKJYR7YyND6HKOeTE/tYOjx2p/l7IQc
PrVF/BBblC1hEB78qX/CbrU0VPs+Rh+t3ZbrFB3KOhRAKRyZb6w8B+syCi511c8fE0GkZobYF/0P
eXMX3/NWpGxu2O5nDwmu1UU5helWFTJYtkXybYR0edD8P/r+sEM28dbRfsczwkDkVc3HFIc7VtJC
TnKXBqRQy6L4RaPqeQLvJdjdEUpJgS7onvGfnRqyEslwo1zXK6Kb8yLD/Zt+ONDnGTmNo2eIb9/J
WdGy9md96z4iSw6V6WyKuL+MY3X2vBazZxTuENbM8Oq8XPaF0WzdpPlO9D5h88kKmICA6q6rrGMk
bW+dtcmmkpp/SHXjoW13iq4KjUKBezf0X2hM1RuKFXw2s4e5MGJsvGW9hMeAL4Hw4GjI3h1Xonue
pyU3HBj3vUPMPL7sUlh5mWrWoPEXYIj6Vek4ZDBlzQ+tuILdB8KrIKeJRJ2OeOf0EOjmAeLMpuhp
dlHRtJaO4oLj1IwMcWNt6yO8KyodlvegwatGfNF8I+1iE5WSXWo4ZIWOpgnosyFtzzY08jpZbOr6
8yS07zoYrMOcT1sDyrx3b9xHfQjzYwP1hPBYh3pn8OCYP04aN5cinu4CUuOXRbQit2I4D/huu3nH
1SQ1ejucq6MzQYaoTv6UqRPYmnrrmiUsBTcgddFp82XVFC+2K8Sr09j3tWl/FnbyCu3L31pkOGwY
1ZS8tymwbk1SWfAiQwpk6083LG/tk0O01yKx3CVlpnolJACRwHb3Q/mSNNOwxy5eHIRdfRI/Wh2y
cqYXdJe2NFsGBpaYxWwtLmutXtcwLYLA3oYtEsmxKYN1VVkL5PlEaGrJXlfjeKvLGA5PS6ZPVOM1
nMQthQOq2aTNgFsiShgfcIippLX0hn1JDyKICj3xAKDTgr5hgd03NwUu++8wo8VGADIWFW+rOT6M
efpLK2Fo664a+hXFESCh/lnTAuYsk8vAxWcPPP5BL3zznsAP4itrazsE+kNEL2o3iDxgaeofCtsB
vEPyj6Kxf9Bd76RJw1+JQX/SqRDalpo2iS+IoSLI52CY7kdcUnYcawsTIT74wAaMBK2MXUs7rXWr
AwiXlbMhnmq2J6JnfWrCle+2H01qAYpipMkdLVtBUoc/GbbbxByaJQ4FNGtJqnDjec0eHYhgKHlP
kVQsM9iIG3rv9bKMaANxC/ZCJC5NRRaX3+vLqUs/lF3pt7iD1n326Qs7eYbZcxeRBWWnzrotM41i
LNii2l8nlbfpwv4+5VJAUdvWK+26+9VWvnS+27p90aqOtC0n3/gyJLWjMOwthryVKOtvsHIsTD2J
W6Qtb0E5MVMqrJMlONAK4bwS7Kby8KWPISolJtK+zPO3w7zj/I4AQZFnH72VBfMyfJ0j9MIcU2Ny
yLiodwTPHATKpL1ZsbYmXhX07lqaLJ/GYHqHEbTB8rfEepKsRUEXI2pfyROJ1l7SvjVG7cOMp2vC
Cvmnr0ty2xrcVqSvN3PoQ8VxFshdPyZrfCCZxvU69V2D6JaEU1HzZo0cOF0UkZuZx7Qh5LFksJEF
qQKqEi+C1f1KKgW7om7Jh6FMbBVRuepw/2cRMWNt45CI5dvmyg67cSEZnFSc+IfRzjHuNuFTDgCF
zEQL7SyOwWUN2ngjQkY+tCTVOjDHj7rNfrXJUCKUkpeiFtbWgeqwSek7LBGuPGNaZL6c8mdMqiCk
zG5apbI4g1anxmsAsnPL/lEoRPoVSPjVSOK4iwyhsZMlLao9NseBP9QKj6SIZHzLCZK63qKegljz
/z5msHsHEvbPE8f5DH9OU7IUWjpV2OZHUDbV8vrE63PKypnJbfMvzggUsuH/eUU/KXnoej8aQx66
/sK/bv45/+9HMJE3hrv/X9/F7zf5+xWZ75pp/e8jgeXDua+sjjiGGjD19TTXV//9Rq6vZhAZlO3+
vHAJ4ijbXZ9aJc5U//7//T759eifs1xvCTnUfB+4SEm5fQ8cqzu4WVPsc6Ic961OVpnuRuXhestH
+/D71p9j7jRFqLr+eU6MyIqq2j/PvN4K5pH6z7FmTrb2Y2t3Pf77DNdHf//yn9f683t/ncbWZlmP
DiNJd6ijr7F766wbgts/b6QyNDoQ13P96ybei1qs/5wthwu4MQb7Kbm6KlUiyF7txC3fwvxw/RHP
Nslw/vHXsT93r7fyVt7IJPc2fx2//v712PUkf+5CBW/Z++Qt5RZe7M8Df17sz7HrU1IKWVTg52f/
da7rsb9Oc72Ly6da6A1xEFRAtn/O9/vPvd6/nirvynha/nWa30/6r9NefyeBNOI1Xbl1Cqc9NDnL
Mt3SFLsv7ko/oo02//jrLsADGBV/PdyLTTwBFvPmiouo/98vXX/z+uOvY6JQM1ULYtOfV/jrZf78
7l8v9V/P00mioAH+z7tFX1gdSNm6Hr7+glX29AD/Oum/Hv/rRa53/35Y87JyN8bd+j//Bf/1vv7z
NNcn/nmv1+dcj4UoyNZAHn86aE8Qg8mUCHVaaIu8b2l96JlZt5eg7SEQXofT3nzW7Cb1p1NolE/X
0aCghHcI4bftLTORITM41YdsbSSJRkmRLZtjavMkBuZR18Gd4TGj+1sfR2RIR3u+RbWutthiO+Va
6YkNs7k8G5BQSA3LHsEli52HwzAZ1GPVRZQcNUqaMgd9MTSo/zon2ODEum304kSsDcqyjjVzk42X
sVTflg9TKURPYMYtew/6sNQAq1muO4LQrFCkGcBNMl184xV+1Esv2YQVoohsKBAXQTMbdT9aA6qa
NkFyyojGWdSRgHQwleGNgwrqBBNlGRZmQxckO2c6WgCa2PbKc3IEAVfmWk1EVtJi+ay6PWhGvMD9
JO4s1zF2uBJBf7JdHeTL/7B33sqWI9mS/ZeWB20gASa0cji9nCuwS8GBCCBAv34Wap7ZPOEpo49S
ZtWdWXnzHJAd292XM5pwtNG5hYWdQccmQ7tL9TKJoYH3JUd9PtMNsGY2NtktxF1vjeZjbCNDo+Wy
jyHUgtF/fnZEcaykvOLSlWvy9O9qUJTUT8WOASrd0i8AL7K7UOrG2jNh7caJvd6AcgLpcWErwRkj
Yw1omBSqx5m1Mh1UgEiLdDcoPjtXO4coSJInehHWs6S42iDvu5EczNtguqXW4K/1+WCCPnxHU0ce
7cNLPFG4mRb8dyhkOFlSQm2xzIvdmwmmp4xzS5O8qv4vixggTZOJYJzdYA+3xzekPmgb+RtYLjlT
j09asE6X7SC2zMYvzJLjrlVmDeWq/fHTuzJGtMcXuMA7WCXvHQMkum3EuFqWslhUtzVtmR9tHybg
/jA2SYMFATjWBhqcNewFyMoAj8bWFvzFgRtMdFLdj2nYHIKWH3qc8XwC2jNOZsUXLXdO4ocEW0lG
BnFgIhtwL2mbk31i/OmohLc3XpcryM48faU74RcJmzG5RR5Q4gOgDDA4u/tWVCmtbW6/NTZAsGsT
Vrkk8eVamDQBRaRrkCmGTUM2RLTtuCmwbzkiN+iNIYztaRAVLGTRcGz9GqVELuGirvCsQSosASEE
/FmkjwmpaBLi3dhPp6Zz8dEZuxKa7/1k6dWsgi9ZgJaJzfhz6o2dDgguDxZzmeVc2Sck56QiyhUm
P/CkC/yBCXvtcX4LFdVTHhlJ49cPCUbbqZMeHcuk2SKjnFtHAeV5xSZK+qcJ4F9ihpcuYPquDTav
ed/Q95B/58rqdrNiMGbxKAEovCTLBO1mZURKqurorq7YhRj1ZeaWXg+a/qnUsm7jke1EiframZ+u
Eow9kw+3oHlsc/WMmb5YA0HYeqF8t3R/g4ZWrgNH7wrdv9SQntaizdiMR2bJkoZM7myN5iqkbAz7
FHJH5icHVxgmc7L14IH6AduiBLE12qdgm5bK3FSZPDmBFW9NqztYDoZLkNevcdh/gtRuUI3rHwDa
s50P2NSSb0oU0O7t50Alzz3pgzOUWGs3nENrZ3p9+KnHLtiwrhonzHhwpvXKi+y/qsBPbXrv2eDe
4Mt87YvwImx+WWkNV6B/5UrPVKH1WFq0pFMZfwirqWmfJ5SVpnOVHKYvD0RnVDzlVfdhdRW6kJ7u
RGZsho7MoMcmkZAEz26BEKaohrWqjgVrM2xirol1U3e447LPng+J9CtGGGIWRzkSwSKmpdaaM2Ji
MrMDxoV0eHboVS7d6B43iqaePMyoGvKfvbHcgB7jQWCwcSiKt4FY/cYKi8UZzzoCKtGrdMEGuTQd
FyP5/5g66o3XmCxkRhQxXPbb1ihevMy+78dlOf3ae6i+iiJtr8UQkdo/tZH/lKn93SqHLUeDy90E
PNz5JYmZjnGtpFU+tTDSBAWqVjLFbxYuhbHE1zlM9aOZqRsFbonmgIvsWHS2LKwgTbfrxN6FLdE7
U9vNdjQ89pqmvEW3WqW1JzaOH3NujccjqfeEb6TKPbnDL7IQALx4nVnHBlXdb33CQ0V9U+Ysthz/
qJT32dLhXo/iLgmKciPM4pBYPhy0SOsNhXv4P4LhpFHWY68SG8VbF2xytoAu+3zjGWg3mPsm/A3V
uIGy9B0oBL6oH/dO6qAMDHiUfA+qX/MkrHnv61Lsa2Hv3Xm45kn1XI3mTlgFRvQEe8ikivfU5TIz
6rfQrOniWscAyQn4P+ABfird4mWadbERTfuUNPN3PXqvdo2vhtVwCbjTi8frHGx8uBFrq8XKShr9
CopsHdQtSmqNKOMJUOMRDhXYFUNKk0KKU+0d1f4jjIsnT3aXEQRaZg4YXIsDUJj3fOSagP+0sztm
A4cWDrq0iomcm9mw1KIF4S416OhouD8B8brFgVM37sMCrS8dPCz29QQ73f2Y9PgRt2iCfoEllMLC
lU5RfMv8e/DTZ0eN772afzNE2j526IxOj50on9BXUeTM+kGSKu1SA3U8t/iHkzyKGUNKPaf9Nrdo
KisJvIow/mwDiIcdsRy2m1s66bF+aP+3hQq50bxhV53GwlDBC+RNy70kBrpOzWoTLRkhXd2DZ+eU
hDFiSyhqD+Lm+F62dJQpZM16RKYnpBavqTeBEpzybjbssyo6zssRhnZBI/3io1Yyqlbk78/a/TYh
j+fm8NbxQx1N+ZrKXIGdKV7Cxjjz5HtMGwq9uo7KSC++sai5q117r7OBoD4Q1kPLChlclMtDAqtE
SuRqNSATfiQTwmDny5s0WNwLut2aVArQ1XbJ6/qx6BzcDHZFSIW7dwii36IYT3VOqX01Nq+4Qi52
qO+6oFj73XAvdfzhlpgJupA1FH1m7z6tvPhDaphHM0stR7Abnrk28n9aFVnGqAa8VK3HbeBQmUG8
UMCpOYJDieryhmwAbhvCQGRmuF26V0+zlqOqZFzRPn1bZCxISPnwaQr8nE4ZP9Em9yuX4EqpCxqL
wu45ZRF/aBJUFQw9PqkFMgb4zqu4P2PdSlZ4GD+IwdD51AHhLNWOqpar04RXXUMuUcBdjSIl84W0
7hj4CohQlznu1CCmXciZXZb8Dh+yz8fo+yQISlxWm872w1VLhp09C8pq+YifGu5KjpkJD/XKbZv0
QfdbHXn6iRcck+R9+AMPpLtYk163unbpctJPhpg4zYXdB57f1TRRbG8N3UfThru4D1A1UhpgQyxz
BUuaBlWkqGswDabBzcMQpvAEqhj5DK0PQ2qZH8q5D47BXLz6DPWSN3jXS3zgzMbTwO1ZgxnNFrBY
ve/j4RYUF5eLSh9o7/E3LeUe+BhyZEJ1iVNQ+W3KetxCLs8dmh+DGwwnX9aIK2VuWkZvQkI0fu6Q
e2HJqrPHsBizZOvD+IYRZJU17tVO8xdm7Rf4G3Ltxhb+aHv8ZiuF2BL0400Q8qrxpk0edJ8xCLDM
9+6NOGM97ims2yCuJci+ht2t25eoTV6Rr8CE+2uvELssTv96IIL67NZWs0J3B/kyDs9uPWwtG3Lm
VBq8W33OwV53RwwVsdfI7xx242iuX6zEqj0y261SMyrmnPR7fLlOi75tBdUzDqIvTspq7eYK26uF
4k+TzNUApm5/pnV+jDzUwTTRZyluSmmKdZgsVYAlg+jsUkfU5gF1vtk6m91r04VPpdH9Iu1QyXZJ
R6g4ctpMJKWhscut7uO7rAcsb1bqfQRB3lXzw+ywnOnlhxILZj/ENEYTybMUWEZHGT0HAwZaBc22
hmEH3DgjAB7g5aAKMcKcgrwyH3qPVt/K/cw66m37YVqL2LN3wpmebJPwUsYdmPAJ5yKNF8vZr4uh
ZFPQo8IZMbE8nCDjxzye0H2eC5+7tCwHtS0tPicxiJt4pIOMKPNySALFM7XXNndfDRgDghgZdtX+
zW7PhrXzzBEZwDUeRS12veA4xkMK7KMZkAOdXoIlu0sZpMxzHmyGc3aS9r1PnC/bo941svtHkw7M
ScObn2Kwj2nDREj7dEakawq3DCZ0PiaAzZjxdYqlr86dPwe5YuWN3S+i9j/PzVWq4IlMtnmf4q6n
m9rf5CHavRFylfiu/ekGwW+KvkRUsD46NnjRyQ5RHqwH5YZYp6wQU7FDdC6v3eU3bNPU1RQvi8MY
5Ajj9rS2MEX6Vh8wB2RybYVYeDB3vGWWOjaRPhsYFFWN6a8t5HNWVFfYWqe+UZu5Zn4edIgGb9lq
5RVL5C/brGgouWEV8CbFz4QlCc54tkGwIifWdvd+Nbz77fCdlvpAA8Xas60P/J3uRjr0ZFYz7c4j
3GeiuAgCXDxSPPa5f98hhq6mrLz2JJYMNMpVnYXvmYv/BP/TU6QfOmEihHJ0p0cyKJD6IupJq2vh
iouwUD5zQHLeDF6+Mf1bKt/OPWAJKkDNO6DZz3ZvPJshfMU4mR5IuPXgAP37pQ+wpz3iyFHrLQgf
AnbtmExKf1WhI6+1zhiwGTA9n1xSZtebaXBP2MZWfdPttZ/gHyL1XDwrEqAnM4sOXJPrhrrb7ZhZ
nMR6DG/kDaqtYUOiDE5tTOjSasn5xekM9orsaeVvB2W+GUVxCpoO4tG4dNVFu7ovCL0ov8NSpb8T
BQbSdY7MF2TCGTDAg7lMlZy+hlszPzJJu6CKcJ70aYhDpvf4Y7wt875B7iN8q5SDBy/IfiY/eUt0
sp0mAslG3znrLLQxXU2vtUiLbWTvCzAkq6qH29eSavEypD3RveV0jEEW5+QfZXxrwMzxwlBIETS0
0oT+gV+WLeYrL38eR97eNNIEO0nR6bqn+DikZGWFCFBhEgpBNv9IiD+rPJE3Ok52Tu6mhF7Hs8zt
L0AQhyihRdllCc4y5DsdpuccF9vOqOGUKu54cM8+Z8OQW2kY2ht6WUOq4qYppfGm1QrlK0YKraN4
raKtKHq5ygjZbYqIXUia/tRRcTF9PE0cwaBrUxy3mtP2kIy1XgXM2aumtn8G+nL5YinRrPYY3z58
3Cz+DJxwCstj7sifGg1o59fFT1YQ9R36Yafs5GaGjrbwy+lFX/R7c74FpXjw70beptyKNySVP1M7
2tlu/weS5YbGwJ7qxPZq+c227P2X0BrPU2Pg5FCc4munue0bga8M9c9HvcpDe28sq/BETpfCNSmi
SKtul2Jg9BCbV1IOL9yjuEEsicllEN62iac9vw+4WEdDCxApqzCfyaAamxT170XYeEcGFd3r5Ccc
X1XgvOKfefIpB15RzQvNTqp1CxJthakDRxJeSmDQDgMv9yaeXXhMqvF2zrvp2eQ/nJex7Aw+0Oah
5sNjKejQIQROWwvnrYf7YcUDTDa8WnwzYXwhQvAUz97BWnxvgg4hRuEVE4DHlcXXYeM5U51Tsocj
9djbd2ES38tfHrxRjJlPOVSV9/eF4KTmNTa+nQF6sDDfkqa1KVuob9xieBrxKeymJL3L/P7ihPjI
aBqm+Tamy8FUl4GY9zg5j9YnVupPn+Rya3Jh5u6Ln3iPNiUh5POvCb0AuSaCUkwnGnQRrYhOB+Oh
dcy3Trtfhr9g9kDQE6rakcZlGZPx/qedyVmZdn9U3U2uvGvLAyAUablutPUeLYfXwIgvc4NXw6ov
uU15j9G331KNi1fgpegUXoYEu9YAUMc0qaAoI64WppiuqsPDbJKmclGQ60h/VaK/l0lHy1Hmcqbp
Hv1CnDFZtGtECmYqrPYBiiU/mGFsYLL/MgBYiDJQDUVWfydlcsjc/NSQLTZz9wfaF3uqppF0gVjx
bkz39iRvcg/Kd6OKo+xH8iSm3Kra/cytluYelFgaCbdZTv420w6o/+q+Sd0tP8K5S259aAjtPFwq
A/pN7mHdSMFfDM5DpGmwiaK/uTKe7CWzRmLnycg/ejwOLvBuIzbh+g023s5SbhxtffudPtph+ggR
Jz7WVf6jo+XDToqPyepf84qoSuWQNG5r/s7pcDPlw7XO0kciFJ+MEJ/mYnP2637nyumjk5S0BpCn
1wb1gutkrsV6tn3szVC62FSO+5FH5saZWM2aqX3Ctc42IfkIiQQtmuqlBG2LC/qhDAbI+qbxPsfD
xYTal4TV1eYRDhRlr+sai8Fg46rR8A3Tt7RoxPpPufLbdYqvSIKo7ez6vjSoMQQnT7aFdExE+MNT
57kathGxV4+NXpFb8uwU5SNmyFVF545d4X6ZKDxhER+9UifPUq+D/DIP/jmdBcVPEjO9Ucd7T1XD
GuzoPFKV66f5bo79c1EDzBXqA+v4bV9GwTblOuUOeSXtAMu224RVDWIOlrDdZGt/6OKtTxWGk803
RgS+tKCUV7nwujtIP7zyjK0LMd3m7sJF2R/cHof54qceAyJ2y19KOrSp+CxvwDRxKmei4yqurk7x
AkFmkxT1XZPotwTWO4BGuZsnRQ8h49Eu9rhQ2OXfEPfbsxF/i3x9w+b2Nmojk1OCPfB0srZuJs+F
KB91Yr+Xoyc46CWMtYPcB+G8TYTmxVilj7gXeA+bLGVYHssDp7FHPZVvUmffnH6fhkDro08exKnm
aANB4M2VFwBu74wH3TFJGFEi4m4UcQqQuMTvMdvnoJjsQ2MI1nrZ5DAyqPhSTsal9qVxw1nzdSzZ
7c6dv2tkWm1wWgD31hhxCNSwGRdFfqiaa1UbCAT8B2BYGd+ce1dT1z+JlGqFcTZuJKfyY1zmLDGD
+NSnA4dGo9k5U2tQRI7pnq6G/dSW1gmSvUXqUMUoET4HtSAx92Vk7acpVEfXCLDjT2GwJgFWPhgT
ffL0+rb7f/71//xvUXnIuC+RbzZ+keZ4gaXNu0pT2eKX9b6g+zOuxrdApFeEn25HReZE2HM61n6Z
kzjwPzz2yBYB6pXvdMaBv89uthhUO6rtm9Iq1xxtXuaiafc9E3oz8A7rGxaQqX6UY/3ZaRBQqcfb
ZzaGo7D6cO9Hf74/AXspkIYUe+O5VUsxHi6ClmyK0U10WzmM9t5g/ZIG5qZhwi6j6MvJKDtgRRRs
oCqJkIh8YmLBajweS4E6kRxZlucGps3g4Ef+dxLahF/EKpt4CEdddHTm9GIKNlY6tF/D/KbDikBG
+KqWPy5dFBjHo1h4SD6GMHgJBESMoKIsc8amPmWX2fQeSnkrMzAMOGseq5iEO0GmYyMFK03/lgzj
qvGDn2Z0qSuKIXm5xX22SAehUbI2HJuzMOOBFITDHRFW07Yz9anr8T2qWAEon7CsYXTjtnaOVQ/h
33Q5vcFPwSeuKB7EQReBXPRly5Xl+Ct7IngHQuq2yfq3sWwZh8aMWKNT/g3p3F51rvcx623T5aTs
xHAuuSjRBxyygYn5lk7+NYz/cEFRaNwsWQQOnDINKh6P2WM5vEQOsZQ+4IyWxNhja6Lfo65xCdc4
M8KMs7OPLQ+GzD5LTesVpiPxCw2kLmfFAg3K3Vsp0HC2L14vbjhjP3lm+dqWQbE1GgIGvQWCIoaj
Wwb2Pl2scBmOTL7EmEO7eRBsDllS4dNk7Unwl+Z6m+/YloY6zYZ3M7p5vscZxO+yzw5a2M4MvM+Z
QGI5sKqMesSVnlKcdbsw3jRw2dpwICxVRbDOPZiy0dw/UfXDoOooksWQflYOCytX/tCLcteE1XAo
qKbFy0RmxBZHXeoO6w7CVDuzfPL9/LNjycfbpjYIm7IxK+rkGGf9MkDb765H/pVtZbznVzd3Zoln
abCxty3SU/Sh2LAQXDKYXfWF4AChQQKVcQFNj2HkPgLzAmSOZWdnGuG+v+mNBUEDRn8bVm7DzI/s
4fVDcOwUG7907gb0Mi6Y0IlzGBzNBvMc8Lsm7+5ViQjUui1fzVCf2ctfYxeuAtz2y1hgRx5YazJL
yWPWE6HhNLVP1MJA71LzqpHdSZTyEPNtn4xNeqV59jaUwtkLs1O7flqKuTMCGjntyDaY9Dnm5UDL
Xnse2LfnAZGGLB9fvIocqKmfUc34/qsZ2BwbWWq4s1NRs1bn3FoSfPXOjbMA6p1mPagqvWgf/VQ1
LO2lMxrnhqsYBhiwQGp+1hwg3kLw65W7zJ+1ds9zf3RznqRFWr9U3uxQLlJTeybq6STaRRNqTGPV
WSW5LT9vmGsLd1V3rNUoTQ3WxiDsM3pjqbnROGZ5LghjYmO+VUXrgKpmG0qES0nPWnCLtpLKTi+6
paGeBfTELewUlM4JIRxcdOpCvvZVe3y2kaU9KHs5Hhpu+005vjQef2Pl8kdSxcAmJvZ4rCHJQEl9
pdrawgpeXgKWkue4vjdZoXBFIXTzrWyTnDo7ByTCNuLPtuS0cxSPUGuZsny0nq0X4ASnN+IgOLiv
TKOkarAT1R6x2Encahdiw0womGs79Wl61GSUdrTts+kVHMNF9n4PNSGjeofwJagdJKIZgACQaX6R
8SdKg0/Ajb+k43UbP+hOtJTMLA5DO2wAWLA29+QPLZB8RFN21y9J3SAKXoqkDw7klPptrKRcaTyo
dJuqQ1edm4or2aUwg0Ue6/tKXsWkedyMlX30bZKdjBUu15yQ1s8Yu5+m/deP809XqftQZlvXVXdz
65mnNiVY3kY0oMBcQurwCHQ/RZClNqPkkVkw8XjG0N8MaMwe+aks6bdtYryHjQiwKlDywvMOS4Ew
/C29499JLtB0kL3WOGOZNWZmkYmJlXPt3qYab13S/7fhtQ2TPJpOHlGcVcrRR1Qdw2xcjzt65/eF
TB+1UZi7JrizhcFgaE4v/QigqjXZCo/Ns+5RRDya8Kj+pRN5oCrKG4uZnz6+Jq1+LzwkMucPzvxd
wGmfQzBvxb4fX4XNcaAjr7ai+4qZ/dDUbnIb16QSalp5FLPK0OLnrft34BF4uqNr3i0t6t0PJbkd
0wYr+D42njRLgdouwlVsVx7LD+e5jzgeZgVwbrwgnwZH9ybxJ8hhqTiWWXZvCAmExoVu48+yXtEy
yIaz58wHNY7lv6x+TWf40r3JxOJR+cmzZ59XNJLWxReJcppIXcIlRsDJ2PabB/5GGVcVuaJGusU+
ociFmrZNTot1acIWaiLnTrVhdqrxJa8dBR+JLOAkwzPXUbW2FFmbRA/DjSSaJRqMLCPorKT7nKb6
ljcsjRiVsyJUksJErfCBSErJ6/ZCsoytf5jJO3OWP1mLF0Qn2aNt0s+WKFavSe1C6FMsTgjQdbfw
utPS+GbXPnwYFOCIDBu7IegQQ2abx+rb9+GD+oKjUdPeqCWZk1nmvI+h2t2myz9ctm+wsP3TP/8T
OZXv3mXzIHN6n4w2eAJcMB5KDOIUM1CcTKRxFxhg4L2mnzZS8RyOpPWUdWnGdWC+tjIZNpZt+xRu
HQKPzJiYw9c4TYDKNOy065bGkybiIFMOM7PQqgHBfFRj+9T7ct7bBJC2tIbfjDm95TzkSFg3hdpz
85AiDogo6YDsr4USxwjHM9bDZc/JC+q707TdTS+Dh6LiA61m8qrSam50SGFinoKk5PdjgDc08oYa
stsmmljys2YkUfg1dBZMUh9ZPuusF8dTtGy3H1JV0T4ZCVjXoMsa/3YpLN4QYcdOjHM+ksauR2K1
CqPdQND+zQhtRV5PNLw+5U1HFUapgIdFdDzF19jjrMKxDB+shBdr0AJcW/ihQykZcsZfHrnA2Pzg
znKae9XlrGE8SBwT+qfgvRQXmpMA2cyov8siUuOp6/Qb0PDxzijAvykr+PPdnuyhfhk1TjPRMG74
tIn4LVF8x5l/BMXQjQOdNfvzPS7QuSy+1QhJw/Q1s5+B67+a4vPgyOcmx0yhubjs9mnM23PY4PAh
p7nFZ/5s5XANfHpLRE/Tl+9YoOVCm+pG27/YsaR/j/6VPqbHGMvPSWbjszUT4Ysl1bxFzQfgix+4
AfuOplmSIsVupGNwM2TFE4QIdFOfJD82cjx4023voB64InpP7nCg8FShlIBOCnozjb65Ah4r9tgy
jlMf3coWgdhnF5FbFAyw06MYbJpey8r9bebxKsAbMKVukig5E0imQMHzDAxB7S4X5LRoDB85rxDe
zBIi3XlLYLN3DsrVRwtiUleOj8Y0W9cOL5AtXV4D6QEuhcvw7vzauQPOGFaEUS99ZXPOy4DPzVbr
UmF6aoLkrNHS2Ll92vSsXvB/8rQPpp2hF/47HOVQJFwt6X0Bmnwd86yvm30rrKO3tHTmAJK3hUVX
hbeU+Y7ElWzjN3a7z1zkXxqiMle/vR8U34tIhzU5qHznzS24WpaQWVZuDYP2ss4hz2fXIEEEKTY2
DCi2Lh9zj2cZ4xNP2FOms2e+/wf/qyEvuYnZF7CmZenfhia5Q45Vbvw7tuNDa/u/stCvwdQ+okJA
Ic1A5xu+RncmXaYijgPCWtw76KgGmWtPgDcykzBYdeWsOPKbqM60MZ2lsr6saACzVOETW9SsSscY
X4oAWFglj/SfnfvmNDnT3ucOqnDvlTy4qUt8c7r0r7FJYsOyHvc1oOYhIj3f/FZ++xrKmG10Vd8q
ylIj3pw802lWCg+l6K8jQAmyswPiyZZSASx1ppC7mEFVSb/YukvMhYfPj2//ImgG22QOryOWtE1l
ie+ijO8JCycnGEKn0Z3/CZRfJYAwBvfy4gEKzCuq+TSdxltscy7TBcTGyttbwxhfWi3VLm7VAzmw
renW3P65ODUcSmOtDILyoAfKUGme8ATJst8E4hqhBX10KoO/NzhFyml2+L3pNM69eGtMAxGIJDyz
2ViPLdV1gZvSnOVXT4ls7pzO2UCTX/NjpJuBHO0mYFu+btj5eQBzVwq5fE0FnrX2nfySeeo+hnW7
skeJYjUiYoxlxrKq2CttACiRVEGYFtTmfkdqArxazlAm20NNVxvZlXiTLuWxeqy2tOVcU/jV6yhR
1daU+hQH2TGKTYzqOI4sAIxb+DWvKYfFYiTv0reMADqGA8fQDwDiJ0bQUxlghTA2qKea7E9Pq1th
6kMZFtNWW8y7hSYdwly91KnVsLaHOx07X1JQl8pTc0wHHznsL8TjUAsXYmUf/vqT/mT5JVTwgoKy
H6sYrSQ/0xYGU5UxYoztWz8bb5MBS/XQ4fawjjKmONpiPeCV3h21L4uVh3FUKvMEVwa0WWO/tiO8
G1oMVy59Ha7uaZGrvJtqdh4jJ3sQPFN2ATVCeTPvQ2mdIt7kIsjWXY1ARpcjnUhsI4nAZUQkbDU6
G2yU/FsQL6R/fDEtPGNTl8eUkqept3a+1kwlLBvDilY7aRQXMTY/Udb/5C1aBbWtlnooVNdx00xE
Yeo3fPc/6ej+dn29jSCdOyZt96YxopdNgAwVp3Yv+WIli2BPgIzlmXHr1PNT4vovmT8eTNs5EspU
G0Pbl3QwFrwsHp2OF6LbkrW9/OGl3lJ8wgujbdZ0W+1cxRvWHL6wrN8V+ZdwFsBBfmSpe08kzOb7
q19n+nEb0AdEnaznsG5wI4XvSUfqHKXzYoBJWGG06zDOjhe3DB7JWrHgLoNns+kv1B7c/oPy//+t
B0+T/P3Pvz7xnVWbtNVN+q3/e4eBbdEs8M9HRW/D/9R6cCXA9ll9/g+/5796DyxT/JtrwPMFJxDb
MYX/f3sPLO/fpmtZvumI0LItkz/pv3oPRPhvk6C2CTovcF3hBVQitJxxk//8S4h/O55waSy2sXd7
nrD+X3oPbMfiB5D/rY3FdD06GVibOY5L9QJ9Cvz/358PtDe2//mX9b/kXLMVi6bk1pvae5b8qCk5
AI9KzeOqNMzjXMGMywrnXHZBti369CNoA3C6o8fjLedYqJJzZ8L3BhZAsKj6C2iZLKR23+1APwi5
rLR7boeJKXpnsUoCNFcdOuW/tC7L+MG9DRMu3rw+BeZTPumvmfR+jX2DLtwEeHDjvCf5+F3Z1d4T
pb5F6zLvlybhis1hDvJ+VQDZAmUzo3GJcdsjhK0GeMlOfgfdEm98+ergsdnXf/FQbwcqsSHwEyDm
wL1LGjoMFGy6dUy+Dzg8u9Rk8bil8VuxZJBTf/oZBVZCPj0UM8GJAp3fFNTMTeEEpvZznM38vtQs
gUJEpnZusgtrmLMBTPvQzRH3czcRjh+whKVh+qO64Fz1PJhDF29rz8mgNfdmQMnLGIYUHHWw31p6
aYt63NtoWYqs38kEKAksFg88SdWNG/A3F4uriGgzwFxvt3iZtrEEAdYN+dam847N+HSXFLuKVslb
RfTeJv3NLiWmSNIhcpqmFXAZ8073yF6dgaeaZDusOvnYcg1sjcWpbYvizWqoglZ28Wl1rEMcGDKU
hLNSTCSHhigIUOLa9zAD/sgbp97S032yw3q4SJUA9BTbzEKHZkEDr8dD0o/5BAra7mFu+h9W0T94
kP7xYC8hYRFPi2Ued/08J+sa2zqg0uacBsVflhsG68qAMvDpmOhQHKae/wZNeC++REhn+xXyaLY/
49odDw5duSOrg2OBi3JjUol3KCA288WON4az7LLnYTOmnIKdynQBlwbAcfwSQdy8lnP4ZcVZt/dy
/6Oayb7WCdbhfsKpZd5QppetmQY/Sy0yHvn4DkDH3iirwe8pZ29HOaxjeycD8MYqbLDQB5DK4CL9
hWYij0nZvZlpAQJqVLQNIOmwlkpREhEIsaKeWUG19XcOT/uUVTZAJkg6e+G408U0fbrZEvuexnXQ
Gk1fPSTJS5SExRmEkLXWqTvw8yTQGpADuhaqFruubEwfCHqaHn2aSny7al+BJ9iYDUUU+AbjZVog
QZ/QVwwEaONyQFjl2A0S4JzHKahfWeHzGqUbjk0x4kFYUSwo/M+yiX40D7C1OVsGhC0IHhwu2wkt
WUy0/1Yj3ueK/3Y20HfP63aZOrjUe/YEfWtVnO7wH1hM0j1nvQOmIEg52PdR9Bty0wDc3+ChjohD
znzXAGYcO0JJDWnPrSiDbZMCI4s4D2znquw2+AD51iCdjn68NxUmNWpoPtJUb2ocwlPgsM/hKAbP
kU+c7Ce9deecoUgTn7YCvlvt9zsU0DX1rcdxEZviA8khBACzts95OnwWuKfqtiMXz6EenyMdrZ4J
Ur1L0WCIuA7HzE7eZJjcmHXAjBCQGe1rLrk0lybiLvNmUM2bsGaLVsB/pxI03pmiGvcyxCQCJXkX
GjDh6uINKwRXWDVCJOqiWySwhIr2/83emS3HybTZ+lb2DdAByXxaIzVotmRZJ4Qtf2ZMZkjg6vsB
/f3L7XDvHX2+D1QBNYtiyHzftZ7VN+10gpxr5uBJDH3oDpSpvnv0lLI8/k6T9K6Qpn2nuUusXYgd
DbTlQ9qT0fCcJHACDMgpaddtx0X6HyFAVW2Jqj3xjoK5bkf8aQAma6vI2db6U2/nzV2ciuzcOQgi
i34AeVAk00AvZVbNOSnt5pz7cXtWwDaOfqRfPu9an4FCUBf1+eM1H48tL/xtXcRUvyFMsI962nBG
TQbGZVkylHlP5+CnmYXHNDaNo8j16sx8k6A126vO6+p6kzWO3NuR9asbZkUBw21HenL+nYFOG7oe
c592tDkWPBXdtXN7cgR1tSFU/raOrevMiXrnxK6gkepqtzHje51mKo5wqleUygqismC0bNbF9aat
GjytbAaSJfGgrjfYs+HOLcbSz/uMbjR2RayIiB1n98HgMqrcqEVLyJkwnZtHMynPlQyHQyTmL6WH
wDUrvVtiZoKY/lowMSvXNdM4rzeVHYkzso0TSDznWDRGdq7tC/tVdo5t596Joq+4WR7akW5wZCCF
LKMbr/P8k+nqAMqaKoIRnAlmBssvZxs1dK/oif4/OYrrfW29/JrNpE6qe5aEDZxJA2dgPgWRTAJH
4KscR+97hySmS02CRJT9i9Aye695TnpMXeplc1ieRwpu5ywSOPndW3xghJubWlEGguWzK9590lwC
dyppMUfzDgIDcgnDp5my3Pia3px72fKF10Wj4/TYRGW3r83JDTQK6XVH6IcLxXMPZ5VSlFVyxo3+
HQXaLWZKM8uys/VAevqTpcvhLAFO0i+lvQnoIsQkFGXOcOLgfNMNvTzIzjklqCmp4hrU8wDfSNUS
s2BhShrCzNh/7AGmTle9swbQS7n3rzjS9ePWmz/uE1GPBFQRSU2DS2JoXbYICvERUxZI4HUrNQks
KZnU/6zb5vNmdgf272V7/XaTAmx2bf1xsHBTrjczisvdlDS0OGeEkEzaIioalJ0qSzljdZTQdbGk
lvzajKnWGzNEI+Ia4rXIRkTT7A6zxuEbwUxlaiJ+iUnQ7gX1r1PdUx7YjR8xlhhtXMzR9bJ7j8su
7yWhPH+uygwNW7A+Mq7u4/Uhufquie7GsOhOGabm9RnrY/TtD9bQUkNuJ9Dl/37joRjkzhEIa9fn
msvhty59vM3HRyzf4POtPj5mXe9lv6hi2U///ZR1aX2bj+d9ftTnc9b7yhAl/6QhvZCp+/bHg//j
6vrAH+/58VV/+1ofd6zb7Ld/47fF9V1Cj5ZSMY7ZeM0brfxtY60P//b0v/4nf3/8r0/925d2pUVg
uNcfrJyBeW228WWkEnYpJ2OMDjX5ISG0ymB9IJyMiujg5TkyoguDBoDFdd2WzxwkHPKx/eS2hGVG
8wiBLvcWT95fF1vgM1utTsW2MEIUvD6qfvPDUby4jjWR02peX+ou6+uNERdD0ITGbjQGowmq3Ot2
VTsCRagvhVr+CWtGxdQK6L1cRvcIkf0aIS4oUU7q54mSQL6xuBDtoqS6c2WNQ5YdevXK4qrFjL2s
jonOnvu5vt6pLXv+uvTHS/CfwJnpGBaVWLPWm4aglY8lkaXjzkoZB6ym3PVNSgkWbbsuDiE8w+36
8XK9d1387V7lma+FzYDEaaf6PGG52Htl/c0xVn0iEos+1fITWnGk7qnna3vqq8/JEH8nY4h50HJ4
rTcrayBlMIw1GpadmPIfxSTOfkoPR5/HS2ZVCLn8PoiXM4YxCvTnPqiwqgPiFlEWYduY3U9JdeO0
viETU/nx1iE0JmQYJydRP2fl39fImzbr/xFmzhOml+xQrCeE9b4PUoGhuyde9/n9xHLFpEldIqH6
r61YSeygdKaBektP2gBBqV1Rvy+5WPivg6ETFzL7eErXp1jLD9wQcF+NBki3Jm9nkA2cA6nk1CSR
u2C0zEcU9gBbjBGIt7OVyEqDceEBiL4u8Mwb5OPkrjBIZocZAeDjtjEz87C+//q9QicZT524m7He
MnozHz6euDx7/T3X1aLv31MTSOFYolqYwLctyDY+pV+uUMOypK32/3U9m5denIHbtcxAZ8Af1feG
dEC92F2hbnrdtYK8z+uzt4x9VNLXZ/aFX1g8iORdft/1l2jXt/736vpA4pn/5APQlomeL4087Kk1
6rEULwGwdexIO4CQ+4pNtv4y625NUBRuLqYXYWl97LLrY+vNCsL4XF3/148dehkC/W11ffLnhvl8
7R9v1RXDyNjjZj3k1n1t/TLrqixzxmCf6+vSx51zkiGTXvIz1g+PtN4JdGw761PWj2WuyZG8Lo7r
ofaxuB7f67dh5PdfB2C2ftDnV44wVWyBP17h1Hyxlus+wk2GE1qIcng9TCiboLOBQvVWNkV19OMh
C8o2jhfZLU//WAyXA4XUaLtnTIHbozyve+q69Hnzed80S1J2DLGvDCC5/z4nrf/TetOh/ptQrnE6
AhT+X9vm49tX80heLoV8rNIDy205oVYYfeQvdQ4KxLF+eOsXsZozkDf9tG5sfznk1qXPbf95n1uC
2IT3qCGQ4CywPrB++ufq52vXpc+f8fOBz/f747VJ8dzTU+UcxqZZT5yAaZoiWNfXI48tnnWXdf3j
y5OERSFFI39gfa/1N/3ct/z5O3BMXPPrhhf6ApddFuO+Zyiz7il/X1zf4uNUNZZTG3gVUMBl8JYu
N+u5ZF1dl9b7PlfX+5xlFPy/et76ZBW+K6MpTuvnr99vWHfQdXG9M/SW3fhjZ17v9UUByPPzBb89
a138c/23d/14r//5pb89rhlNsu2cLyQDpMjT2IbrZWRdWt/xb/d9PmV9VKyjwHXx82b9PT5X16X1
df/ju1bY71GALd9hvVmf+MdH/e2+P971j0+KlhP+qO+bPsbEvg7tqSSY2EyP67H+eTNDQ5u3arme
fN65Ln3eh1CKQ3xdrzuTxY9nrqfb9c0/n/rbI+tiaC00YlNwSl6Oa5S8lPk/D5Tf1j8W1+Pqt3vX
9fX5vx+evrsdE+hT2WxQ0mNwXL/r7d4RunWfz0gZnKg72EXlH7ua4puvnjOgj1u97fEuEPO+8cfK
faAujK507utnIuVPFkEwBL0607fCKgIg49qzMEL/fhDYE0U4PGUpzNyyGX3EuVl8IpVo1B37sRiB
ChsmGM8SBxQBqxTj3ahLT9KS19lNKDdSJ9nGUxvB9Jf1cRGpGnQ5aQYv57g//+GP08lcYNpcJlWz
HMmUUWy09fK6Xlg/b/zPq+1vl9x18W9P/+O+9dK93vfxCX973ccnqMy/Ou1Rh2gsl0vieuOtx+7n
OhEcjDApnVMWW6+by7paduyPO//6+B8vd2w8+K7jVhutW05q68ul5xbp3frMIauxY4/1w/rAtB6C
f19MUAEu+oN3I2kcPE0J9lsMo7lCQ6klyH2h5b67xbXXKn7o8kWRPRokxWsmsWEmbRNQsHPPSqeN
zTzqPHid9dJWyb3ROFcyTOFiDt8TjzACTzP3opX2N7u3H8NRf69EaKOk0N19wtA/IPgCAt+Mmpc4
GrWZi5nQWSyNO5Je213d9jTvSDXfyRT2KAyA8dhp/aV5c6LYPoiIkWGteUCK2/so16MgVF22RyYC
5GHGqa9iwqVQNQR+iADbsLOLwXUWaBX/iSNm8lhcewdR+cXp+28RYa1bOptiZ5tiN1Jno8o3UAWj
EL6pvaUCH07EVLmL4BojFpWC6ZYgc6oUDq6sQpflAXsUYQYULaaKJbtH1hQpFEbtkngJNGtfYNDS
DP/O0iwklqhjnEr7RczJtJeaSPZVzDfP7ZfcwVXtUpirq9K9h2fwPZ6GCJeUiSMBCTAhwz3NaY9u
tAfxd5s7bNWBnA7xw/SL7hah9rz1a/1gp2jamtDZ57L4OXkVynQ8W2U8jgcmyeAksuK+LnX/jnnf
u+vHQFRKF4k23o5ZUL82VG6dMHRUkDKo8xbVocYV085OehBhgXPKy/EUafmeaRuVc9x3NXFfAfaL
M/Rg5yBHvSENBRmwThPBB6ZwMCp6+njsisHTjhk9Z0neFc4TKp5aYT5hxvEu9gSlAKjQrsGI6s+h
uXNdcOiW5z+lY0e6kd4mD6ndv5KyeMzkqH0pfTBZpPl90UrIekTQWxtOUOmlN8KbYm4KopihaWKU
3OJW0i9kGs/7YjBsIH0W3oX6O3TFEjkTnJZqtDzAmLK9ukarABwV33oPKxwECgHTZkNLgkK54T7L
yfjO7JNZJS4ekKFDAKY/5N8FjRAWlJl6DaWmAaRWoSX1rfI85BouXFMdTLfK8OYOG9R0nPWoN6FL
2KLeoSabF9emj45APPpTp1BswSjUaSWDJf9mjdF4yCiw1n0TyDuro+ON4ZRgGqP5NpvtT+nbqCkN
54uF7nhui59uZcQ/JlP/kVbElDRDlp6JvsaeVRo7djnjtpuoldNv2VoNzJM5IZ08N66oRzj9ogMp
VXQdm6INlM11paTDhpMGMUb/T4Tp6D5T2U+P2NGkJUcnbUqac51zCz5oKxz1ROjRjxn00g1niowK
AjJoLkOwI6Dsi4rTf1PXr3lqW3twPu5Wa9Cdt+nJXjK7sj7+DpcaXrGZM/zMU6Ry1mt5QIbaIhFv
3xxFKyGdXiMFonKmCe8o8YZq0SdgOKF+OyA4fZyq96K244dUBy9fVcWI2gTluo3cajCb5kqkDhB0
R30T5GMcemrEU4I3GhvkuxHGzmHQMIM4dk4p0YQPifdva+rulymy0FS2RGaU4ZiDfQAt3XLGEBAj
mhSt6bD0EvMKzVtV+T8lpTY5qmMVTvOVHKEHt84ulGMXnfopI40mM/KvfsLVEKE/HtzNpDXakxfx
GbjLS7G4Zm37CNLrQXhITpvklsufYxObhzzvFPE77qf6qdQb8R7hoR/Kr6qIw52FK4WYh3Db5mxI
zcgvKh3wmPFx6MFesEp+9ZXUDvC39nCK+FGK/l7a8qJGTqSmhtXbqvCueRh7kERw1PYWBgXXtV8G
u9TPdfh1JlDdzt29KdsXi/HORvguOshZXLxGyyiChA8CZlfZhEQg9/Ax1VxdmnwpkusaG6E0brw+
CaymGm+tUQt3iYWQLJm4LsmonnFYN9OV8cymJofHKi2H4MMYnWKyncPKOw4m9NbEgPBkzcWpaxpc
fKovTrXFjNARxEFoBkd5VBokMIhJHTt+1KlWivDdDnUQTeZDRdMm8asmSAgP2WCdp76SDByBvaKf
TWEX2HzK2cUlPKkerW7n+d/I1YCa3dAKgs30S4u692geoBWaD4MCIWOWg+SAEgeSBrC9wS0q7Di6
MWfxbOvIaoopyy69Zp4BcdZEF97mcObzKs5vlIZBCQchUnmXgoqNJWZMrSMxG0cKBaDWJE57chJI
f2jaC8wKe9NT7//K+fHi+DLaRqjzIRFbm97kZCUMhEomyatUl3cdkb5HnS22y0w/hYUQv6UGGXUe
wBNYVkhMGjJ3qeXf4H+7nxeLdsPprQ+dH8yYj5iBJHjTG5riArgEqAHaejRCw+hGOKLakhhyC7s2
gX8/kyQ6GHSrnPHBTmyyjoDLbrHrBGZR+BeQY/SCRw7Hi6495wZbN6JMv/FDh6z75KveKm+fI0yi
q68BnD2MKQPrJOoD6AGD7pD7oT3UhPache084DA90pjLMMLghgjhfonp6isO8dqDFjAt3Zuxf6O7
zQEa8kYlQvkgzA0AXcYzaLvugagbdEalOHqxOvU5W6jg5NL4Y3oxcBtuNJBX1VWNrf8YJZE6Yekv
Ewnt01kCoEdikiTQttBXQUq6QUZHOQflnkb2/eQkA6dxM9txhToLEhC3Kmc8PuBoKwTZfFUnR6Sk
Bqe+OXnqBYCQSTqMpmuNHia4M/Lq22gvNIdBWl0/h8a9C6Y6U2iq3DfTnzMiXAdKW6Lem/E87nUH
jaYd2za9qBRveEISaT0CeYcqeLEHgiKq7GJpr5PK3CNxBRz1uYZAKWm/zQrsc2POX8ZJu0/ams1Q
YJFjJwGJnmvHQmDaU579bUKpMcrqorTc2OcEVmzMUeZBMqgXr40Dwy3qU5dCenLInOIidwrdGoGr
F/cnH3OB7UcMmJPY3YzaPd71DaB9zpPRzsRb/ZiaByrDeaxZ2FX0W7je422I+9jPaD6JlOF+M32n
0haSZRj/rIr5OpouqGHUnpOZGIcYi1y05FYOd7NEo2w+oZIATJXY2m7suKDmTrOJEIHv6mo+c1Wi
E0xeWC4ShGGyfR1QX+wiu/rm2cPJ7xFs6i0pF378S07ZN5Qm0GuoS1ybonsUk+kfYnuwgzHyfsQy
+2JDsyJ0IEUz7Hrdoc1HhkmG/RS7XyXzH9rRXrlr8srZG1VylfaNq725UVxjsmLuMGkXTWHkVUuv
atKcQ1sybok6hmKcTbHjxo/J0F5cIrVOboj9E30isT6clGtR5+R2YI/IFY4TAAhkTAnTTE9K9S+Q
9X41tQM0Xzrm1h/wAsbTDRJxZDY1XiWvm47YY1Q8I1/I+oWccu8Lp95ODtdiTzQEKvQEq6c40KPR
OYnWt69MLpgzSDDS4XnkpwpyD96H9loowUC99MuLIL2lkN6Jq6H1lHB2cL1FQvws4VE5lKnwtt1n
o+4fcqne5976FRYhrn0kQGRKp1tp3XQ5QdpzNYBBGPxDnZY7pwePUto4IVUY3urtIGDanNylVwhm
bz8nvToWaQ1vPEZAGyVEY0lzOQNx8jNbdd+PAE4YBzGqAvfQYuxjQ7LfE88gtYzgmrEfSBDXgzGV
1gM+DUQvNELjwCe9gHjr2xbay21XEL8wxo12l0cGltPi4MQV3vbFsuXpxW2WjOAjl6mJIopg8t6I
MqBBaMI2qhyvZu/3nmOkz8S2ncawekwBp5aGdbQG7HHkMVUUY9t0lzvqmhfzPqItSZSMeJlqlLi4
uHaVnTJZcGGRVbYpt7lMj0wbXusS4zs0GXiEuNO1DM0nSTELuqoO/KI5jgD3oEoQ9DCps5j7Z4Vo
4VyQaaij2yYBO956hfxekB4AAIZUDR8Bqg+aAWOWPVyowzubIToRoYWFTHTzrY9dGlnwu+3Z6rUk
RbBeGE+tmf9MUs3ZhT2OdIa7wWiyf+XWbZPZ4iVv3K8tyh4apMa+i8imn0ldiAucMVrXkva4RF2F
dRQYRfpSdTiO2wUvKHMJuAexU5poz0U6JYdWR5RdTnKve1TRCVn76sRNvdfH/BB7/JaOnbLnLOhM
RJX7cOzjg8N4oCG1bOchTCNF6DyRAT5o5q0yFdAvExloNUF8LLAMaBDrlciNY+TCnXTmdNPnyOUb
p1/kngx0xDjCErF18GpNik8xehBcbw6aq+jD5FxyMzRfuHJ1ypuIVcBvziI6lKRjcDnrws1Yt5gJ
2oEhR+xme0U1FH91em7UFKis6jj0wSRNHcXn3IMXBvE0gYnwFc4hlxda+SWqtK3dNOTxIGGbB/TR
HsLYwExsfdPQFhsbkl6ctB12cCVB5cnmrkt3mJiYfHAmy7P2bLuTfYhlHjJNJGm2mRUJNzEmQMdi
ljx47VEmnDWlnIKpTR+kQ+xc7I8nDupyn5IDBJLAvStCGR68EfWx4+C0qJrhgTRczg2It2LXonPS
oE7TfRt3zNxxwLEHHshjKpD/IL2PfTOGAJ2/6KnJaZ6Llood7eiDaNi0Xhyem/JxVO2LlzzGVveS
dmUB5TMrt5l3GIrUOfFrNFHrgEvdasDHty4ZWQQ9kIni9DUHtGtuzBI0pxf7LzEGiT197wdDRM4R
RRkhLAtM1UizXd/gkzRmSJYG4YS7NGQwYzQCm2oEfjH+RbQCKC5ARMcqyf6BZfeD/v1x+Yqn1Onf
bKpcZCvlz82oqIZNXWB3ERTdVG68EB2x6iGukwvu+tcE7JcNoi6rMUf+gnSTncMFvsEl4lEwBdmY
UVoRlo3jJSQX1J75SSt7ODCvwMPZxrd9Sd6OPZKmRmEYDV7Tcxnon2fRv0ojErclWw+NenOrYxGk
I1ACM7WLdp/1OVbDxnxKgZJtgIlEOwPbi9Smux5e0aE1TNJqa1y5hQlH0yU04uIZ3eb/a4uLLumm
/5e2GM2t8X/TFt8CEY3/z/Y78NvkD4nxx0v/JTF27f+AMoXC2HNsVwjHdv4tMfYQCwvDsXTdsByk
vSY64n9JjE3nP2zPM0w6h7opeBmv+pfE2DT/g6cSOyFMRKiGb5v/G4mxaQjx3yXGqJsthhi+azvC
ozPrmv9dYuyinpf0ZNMgwS5/RKTybHtTeNRTEjMr0T+kphs/RKk6F9LIj3oXId6tdPMRKg9ONbg6
ZxtqcqYK5xFnub+fF3RhQpjBVU0VGTOzZd/j7/Kiarh3elgMUZE+QWxAGpwoeYVtXn01mxvfyLZZ
os9vYU9RqfBVfQvTsbpkM8E84OcIU0wM96H2Z+b/diif3IyjEsESTGfax54AS4Z4UACeS5hmDR0a
xtoJdyImDK/CFAIfoB3fyWm+iT1D45s7yDMLJw/mMZTHwZjUq94Qbtkm47fEYyrOEY9PIu+OqXTK
r9MkKG/G7nAycxRVMuqfxwkcV6xN1U3fzd0zxnwAkGird3TnOTHrBhkPjAKAfx5zOctLO5a300z4
emydBq/+Dg2q2KWY8I2aayEqTg8/yxwfm147KLWvSEm8NZlqQQ2kCuHEu5oImKsvr4OXTZc2FLuQ
jfWik9jBWNU8pT6SNUeae80e0M851j8aczRyyK0TsQftLpvxCYIb4AoKdDCu4qCY1SOOVn/viieF
3C6hZnIodKM9aBaOU7jBKbmIL/olfeCiUNxH/fgaKqkoGubDfpIpw/mmLwP/mKmIrCnVFojyimAc
B+PeGofHgjjBW9nDOnAkADWff0E4QENwjcPS3EPuKLZdo8uAUEBxbt3Ep3zRpC+IxndWMhf3mtdQ
eIYOFMBb4zgir5whH2I1B7OLH4IpKM0vbaaFVH5akqLj9s4TJFK5dkjYQkVxuLEZ6VaiGw94l4jl
INXX0ico677enPKROU9EuZAhMLRlbGd9gDwx3miVHV8Mpf0qW/1HpelcVqPafNA1VOWheTJE4V/t
3q9OI2+6zUOYsaCGo7MpeqBGCeP8wUy0gxamNHEcMJHp4Jv3xBx5VL1kC5Ysf2tMPbtWy407d5cw
G5IgJiPgomc5+3281f3WPDNVKc+u/zgjf7jxklHc4BVYgoxxdSdW+pQlFeV+pBdeSOaqSqezR6TF
fbJc42uPmbeJlwZ1Dqst1eJGNijFK+KoiKIJMZO3Cm3aNN4TkQUzU3Pdszbo/Pyy32pl4u7iGQZO
V04vqFK03cAmJ/p8ro8pIakOdZxNinPnKCRlFnNyyKQGsGBUab/5osaiv4xN/MMMu/zU1FSqbGho
hZfilNMbFPsUTGa3aYJpflRJd6kxs927uiyoyC7//oSBF/RZE4xaDQHW8oiMXHbWKuwS5lmOtWuN
KttPQ+ZdEpV91WOruSdJ88mJsnMSmuaNiBYidlgijIx3bUu08kCk36ssjaPbYMQrOAPfcOx85fqf
cOYy3IORzw/zCBROd0kWaZL0UoS4mUzNjPdxQRygTa3lCIm22qUps+NeH+YNTFjybvOMA83iNNGQ
Ur4jolbcmklS36RMbdKmeLMsqJWlBx0YKEY7Pmt+vgcS398Qd2XAc29IMelTVOtmd469ZJmDzy/F
WKCHskoYCqW+bdU4nPXZB9eH6WAuXGjbtvxmAO2Hphweak8rvyWpCZrMPfS1Wd1EsituHX8cH6vE
YA7iguF3JwaOtRd3GLoMwJ3F4rqHsXLXuY14sDL9TtRdcecp92GeM0TkJa59L3KG29onwMer3R9q
iPegr05Rlb4QFT2D/sE7DtNnSNPT1IaUvIwsOQ2u2+5a6fr7vEkSUm6hByYCW3paaT+An6qnNBR3
ZW6TQmP2N7hh/G2KIWHPdajEmmg+FFP/VWfO/GD8g8xewDYkET7WE/2W6S1pBB5E2GgcFvcCrCwU
nniJBouhaCtQX7rfoyT0X+ALhLdWY5ybjKgDSJ0qQJ7VbVSKRcuhr3OYdNvHg5pSndLH+zn2yrfU
VtadSx910vHXMJ94Lt19K0Lq6ziTduTBDQe963+l+EIOmo6sNGvL+GoXWMg0fcZvm1nTpfYyUqON
pyiBvuGFTGOyPPvSTO8VHuA+Ft4zPLJXoEqXqnKZRmdOfM4EIHsRE8gpbDatlPQTOXk3tyKW5wiD
YTar6W3Wi7fJ4ZmDlPGhb2r/FBEWtY2iqSVPrEsCnz0ecrLfPPjaybTMn1HJwBpYjg06LbrHvEFF
MPPip3TKgIFMGBL0DB9Cw1+RajeScFw5muGOmIfhYrUiDpK6eA1j6CcofVFKZzFiem+Wx3HGjz2E
FRCkJhVHJxZBO9vllx59PeB+OR4do/TvPHMIdIPAJbdxiU0ebP3q10yhSiIZjt7sqL07yvnErEnt
PNorlJGK6FZpJIdnpfOGTwujgiOelVGO5yQ17ueEempj0ci22IcipQ50TYYzQDQ4MLawj1ypqx3V
M3+n6kVMO32XfWa8TMZFHwqfxGf1yMDoO7R3iA9I1PdW1j5HJB0sPsC+vc6gbaqMgE2Q4OdSU69V
e9YM0985NP7wGVfZjbCMy8eFxJ3SU+x5XBVTF41j3ehB03JN7HuCsXLZGTtKORUQrlbe+zlz8Fl8
F7VuP2RKN065DtEPb3ZySGuu1DHiYVqSBS74rmeiaMTlF7LPIGd6XNZ7KtsbWU5NkJug4xtBFamU
EZr6bDrrIcm3HO6YgtW7kz+SPxJeauKAjp2BjaSpMwN3QrRz0RJezBr0sGp8MtqRobvmXQRs9LHr
bkdC3C6WkZyZipenKutoLJXaZRjD+YBfB5dvW7UPZNGCCQ3DK7lqcLsymR3bpnWuQxGfnZrwzxS5
4Ibe5D+guBgVaKRw9QqmDnt2FbXjY6T3T12r2V8api85UnJkp/RFPaZkmlt2V5m+5ThWTtS/fjYY
kPeFT8gw3sttTAP7ZqSatOnapuL7ZFFxhNrTbwYPRhq/M+XvSL4BgvQOQp+3lcJiBdhNv01y9v2y
Qs4UT5Dc+aXRb0bfPKqenBrLvt2bnRad1JwSb+D5u6H0+rvB6Rk8puoaUuKhkx0uBH4b35NXeyCp
RXx17PKfvlkApiOIXUDsm9ayihO18ube1LSvqsQ0ZdVPnauVT+lxHUZkeukQofCYyoI4g7rOdirr
i9eh3vcjpzZtvqct/u5CUThZgoKoVbk3HuPCXRVVpL/P1Btc/1thP2qxpe6s0PpuW3F/lHOgewBZ
Ifu1zKEd2FOdeyG9/FAzg7nqQNytvLigQ/xl2mZ87cKIFlY0c1FwE+qPCQyZtCCzrjNINUtCwszo
CzNaS7t7yVBrtJhsY8a6Z8wqwbyNZH25xBdaSPSDGLn/lihR+g8mtbfcdV6kaFsyrmc9kCUh7MLN
7M046N0lA5g3mCXu4ryMgsmbnq22pw4owi9UDJOAtnNytFN1h7eMAUEzk9XSh9u545jv+EaO0AB6
nEXoNa9uTfoPYZ5DWt9VVrE3I/Xgi6Q+ZfhU+rQMdLJCd3Cb9bMtiHhhhF2nDr4C8hx2DSVCygLD
+CitipxynwanXZ1QvXDtpOidwTunIj7dlDie6fKO92VEgYN69qkdARppaGt8CEQ7U2MQ3qiSFkKb
6UTNFz+LBdgUaiZU82KiTzJBfYk717rtvKHnaufMR2Zd1B/wwDHN0NxD68FZSJcrSpsNX2WTWqd1
MMT33VTl6OGlxA+Y9NUyC0D4GlULa8InH4sSWQ8259iI6skdAcHSuUgPdZw/ZNJKb3j8nDuesXPQ
ElF+FHTn7LnZk6FCeQ76+XYdlCnqY9c0RoeF3Qq2apf6F13Jt7TsEPtqRX6t+7Q+DQuB36Wbe7UV
ICnmRFBup2rvOfW0B2pkBv2YgkAcsn1aR3zUmNtPjenVtLcBRQPXrvY2RFNyD0r1aPqTcduQVL4+
mAxezNeCUCur6ViEiKh9Wz5Gvsaxy+k4dvTuVAJmw78KfB8POUmGdkGEJoV2RpX+SQNCsO0TxtRa
A4I4kYj4JXtlrVl4Nk0RuJ13U/gNsHG68jvsW3vK8MW+7N8wO7LbMQ/YOHARUmv85XqVt2vp5oDj
zt4toXNAmtWwcauKQyWjmVVYFHSj1gQcNDfJ0fcxnHG5X2pRElfWcBLRRKpP21H3qQwc78QjhYGp
CXaBGI1ZHqWvaeYh625BC62nAX66fZu/pE4945QS9q6bvebUUfGd4yhlBqVU4DQYT4WIbn1VFF+w
wr/6DSPgcvCDiAHjToyc68NpjC/WOD5JnVCTstO9Yx6aSGYWx/vIhAVzvRvIPvkytxmBqxm2UNt1
MKD6I6XTp8pp+y0J6JxFMwId3IYODb6h5uhq2nDM4V/5aW3chh1JPXkbqp2/7JYLlhbbGH6fLLup
JjIUYt9h90NG4RVmAh99IkiCtuxgTeUlLUNiJ1r4nGqm/EpAyWvve9Zm8J1kl0HCOwyec2MLrThD
YuNACbE/504ana2RKq6w6pNR2z8Nr8FkSp9iWxL+gT0u1+j9YORLYfTvpgGxC56vdcKdeFNGVJN8
mqaMLT4Yv0rGL+C8cGXG0fA+2QQSAEzbEJPjXTsmn9u4tfjnZO0FvZP4V11xqCVS7zdq0qJDU7v0
szLiZrNs8HZlLBf8iUcQSuMFLWSnwDL8eJe4uhuQwMHAznBuMiMpbzSLVFqX0QqoS/1AcGgUb1r7
PTHHbajX5V6oSBynsGsC5+gbLc3vjMt9x3n7EFr1d8ee3tsZta6ZBHM7+jfVQFpG+Z+Mndlu5Eja
ZF9lXoAA6STdydvYF4UitC83RGYqk/tO5/b0c6j6MV2obvw9N0JmQaqUQgxf7DM7xiz3UgdL60za
HhrYVBtIECP1Ajj4FMmy81S1XMs7FuGK3HQh5uACtOeTmyufQEX8afbgpqheHivhdremvBXxsGcX
764B+9HeQcphSsfrgmi1J01pz/TszEOvcKjyXnRdLM8mfgaCH6NP0H/+7SU4EsZ6TDiKcwlj9HKX
CcN6lqG072K6Ekj8wl1m3o28apGmDZqj7Qri5UyviISG0V56TGspUTw2xf1YCudODCo7xkVASayi
dJYjOqp9O83t1mJIBrU9j4F/JvGexvGRk/pC5HML697s6E3ymc3mUfAaWe1emxUFxomvN5bNaaek
dYqyiDtCrICkq/SeG0G31z6h6ioLza0Xz9W6m7xmLYECrK1lCxwbYd5hbXqRTTfeofmP/ZTCg29u
U95N5xy2+ZwE7TPj+bylSVdFPjNGEw5kV3i3bqSUPaP2NPFfU2I3MPI8edRhAC+ky1lUI6whfpLW
bxQuVVZAzYeOCcpjZN+WLe0GcSN6/GHJKSfpeDRm78HKW+tWep8gSxYrQnmrLFxebYcPZya/YbAd
HGEQrBvtnDFpGIcJ4X+dYw3YpRUilXIMn7dxfJwgCnEdvsTp8J51RvtaezOCQfGzM4z4ycni9yDp
8zPopc/vHSvJoPe1UN4tqy5A0RkvPUIMNtXmKUpZX+zGvqRiJkmru37PIieOLCsc2R/ssMteI9uO
GL9tBpvofdlMDIbDnElHL66D6QxYVoNwX/KQd7vBjMhflJjDadR+nicC2rh8GAjyULNX38NG9+kf
sk1uzU5M2cnQ7e1I1ccYUM/IeS8cLOY5QediCOQ4R/wJrckK/8hZTbcsI8BgG+3jyBFQTI+5q6sP
hlYbr0vQjuwUih/pvTRxyrNbJH8SpzEvDPi3bh7VKweJ95hYtIT5WHj2XWtG97S6+9oDJTatWknm
Lqj3eTQYxzae03M8MmULU1pk6ThWEHFL6kU8/VT6A99/k1KskjcHV9jFvo/8ABGRoauDbe5CAlQw
R03Jdk0jpvrRcX5qRle1c6xcaI9WS9jEQtWkYXy+OvkYHTLGQ1yX1YaCNv9ill/e2O3HsZ7WTdt5
m8gEbmLwannoM0uDBXBKdrcbhN1Hc07jlU369cbJZrjVn54zl7vBpj6hIRxEl2B5B7bTJQ/PlKY1
36K+sz9D4z0I8IjGtnvyLRmQ/lXhOfGyEz/McJWtc0TIbaiv9phXx6zz7OIGLlADMSY3H4yEAq0q
VqAIrf4ISxY11/bSp0LXex8iBqtmxWgv4JktF7HWHtpHN24QMz1i0kkRqe2cCOABDqW0yixe2/Rh
lNOMlCJ/CTsaTr2hiqvjlKiRw3MMPfjqDMcQDf0OfyQU1SE4uPQ5r6n45Wrj0zc4S+gyfT4m29zz
AvRGjYpVQB0uk0yfRjCK63CAHU6nqnGIDc7WdIWGuyKllq0C/rsSS+zcrSgK+1Ys+pmhWw5meG/E
BH5ghnRMLo18VzfMLqu49EFAY6+GxocIFN0Imz6WNrdxBsz3mvH4K9mi+cj+fD84HpC80scBbvlP
lYNCMKJNeM5tkORVLAs8KpJzQjObPBrapCLJC+qnCAKAweHuMoTpW5tx7WW5jNc5OsMD+si6HEuG
ofOYE8unwSoMgUaWk33AjbIxGBAws51AbC2Qghi6lDcI2NEheqGWW02N+hsuaYjIzWvt/qKiGBDu
XHsbiId/ZApBx1rkDy/k5ByN/lFJHJVlVd9LOXCwpQXiIRnLJzl3as/pazxmk3PPUSc8wmvCBoDp
lP4JCIVBRh0fjdUorrWQx96gPkRr6+SGzNA60JWroE+aAyxxcH8F5yP2ikQwi6DB4GdfkUUbKnw5
/WTdxnzBKhrFD8+gqmROw31M+oQdZ+I4zJIsvmMKo5rw1op1mrEfSdJidaiGfRKqe2XW7alv1iNj
/FWbIBun2aMxM/JM/fFkLR/MrxGrMMVa00EsgWPIEU8mEsquC4JPA4fQ1ilZJjUpGw73dOg0KK4G
n2QUiXnydHSYcs9cNwADV21vUi0JYGFY0smqdeq1pzERta1RHlxdb2XH9qVaYHLkugWODp+Tv9RX
HXKqJl2MMxkDh+3E29GGAKDDcDiNC7Kflw3tFpyBaqIb1woswK6xt3Pn3gx9yk0Sed9qme6HuX5w
AsGFNwMgYVBkCreW7zPt5czPiwvWzjooazavv1++KF1eEoe64bGWm6ynXYAjNYsrVRNrK8b6i20u
Wv/qWLSXoF29tPkOe/w+8Jfm9vT9IeS4npbKPE414uAwpO2WGo++6oKd26dvZZN9VWUZsxZBJm8J
rxbALk62m/0hTAWoL4S6jtBMDQ3OoU3U0feVTmo/ENAYXTZrBkc05d0ljf8xB+/fuQ6B6fBQ4jt0
DdWe1PIhTElmULUCsWpJjJsGNEcksP9JsvwVQRNJBwgL1gl0yv7kuGW6D3RPB0ICPG4Uw7aMAIBG
fgOJIH1SnIPWHPfoeJqWuYRDeazprcMiH7g00HdSWRa/6QIT4dQEK0nB0KZl6C+1PKEOljsyXHTt
5vndxPh/z1HXHvExwNBOuWRRgJkOWwi11IwU/s+wzr6oOd93lXqek+w3hsEdbcDA02YGGeySkmfl
OC0pdaobo52IzFdsQ/1JOE25mvrp08ULv6p8wDp9tm8xkLVgXI4T3JXZE9YCNTFOE6S6VRCCQKkn
fhF18WLas7OB6tzi5F0qsscbTy5bYEndw5KilE6S7/Don8tBR2srAcCJPsHDE4avvdOLl3KmYjFK
1cFlETiqWuldWNHENlfTi5/ZgD6WGcncls0ZrD3/1v2dBUruHkdy+uHhuMYNA75RtcapstznyBjF
zjSUfTILnLjDKLdm3MG68VxQxsTSU2Ngzdah8z5JEXF7hJgQ0GmYonKjWMGSqxifcJeR3tqBEMRD
QM285Y75lmIvGyPLalpio9/Z0QmGxY6r5uNfz6UgpD2hM4JHlS9O3F+aST3n/pfbvVJRAa+e5mGy
Pz+Ub9Fw2vgAHQt59XKqpmad/qE2d+P4hFGksYAOfVNCDKIGb/n+27aj5zQNOuY6jn2oCkWrA18c
wZNAcOR3LItOLZsxRs9yMbkI6sYdNMQdNo2N/MUxxZdA0FuIDLHh3JFAeERxhIhNGtZw/B+eqD5N
+u74nmhu4gAsn8b2NofjJ+NolgJVccEZ+nejqN7aX15EDbDEBhzcAewJcfotl2rx0pjtk6MA9gzI
MlP/WHlUBYoRD1LElQgtiEzIxrSgBQPofkkbcJ8Gji0+9aQiazvYSXpwfYrVMW8Nh2E21vl4H9a1
fWS6oU95JHiJKYdEpNNMhDQn3hmFrK73UYGizZB5LbsYs87d0C2QHgvfpzuVD146WmvBJCnfuLhF
N1xYqeGCfTuHIdpdlKK+h4/gNFEjCkuv8za9X4znM1v4FD+FyE8cX0I8Xmw7uDvnTWT3jI5n31wk
DfOkXAzixBu2rR6/vmNoxaGKMDU3DZKBgespoJGpmuz82MzOIWpcfx9yIaIIajjAPlzrKHTwZbH2
fAchzcQ56boaUdEERT6GvQ4F/ZgJqK9+YN+u6pprko0JPgJyKEIaD1a5GLjkI32hD6wNmXCp9P1L
LNU7B+JwMwb11VtSlbrysK6NrnUIm9Cko9huT1kwfTCZ4IqRePHaBfm+sQIzOTNDCUnGmDgb88E5
+fB4d/Nk3vUAYUfOk2h42sTvWkJswU2U1xyrRwVZV47jW275/c72ptdq+bIgbNnwan47rfHACQFS
QhZcsS+tvre77w8LyIhMb1JsE9e7QcA8j4L2bhGUoIycqj7hgHuqXZclNrA5EJcRSfelvKLsa+4q
gnth1p/wMHXLdwslfgS4CEjdLvIrrgVoqQGHvlKH9ybtHIEfnirwMFU3pwCqeKOn5fTDoxU5jJmj
dRj7/tqll+/8+09D9gPaLmzadhTkNox3Bpjl2izy1/HBLigo5oWFvF3vJg6+FccZ5FnQ1aJo8Zo3
62opUsjVI/sVjOKufvTLxNlxKZ1PrqkZAlj0b825uvijBck/6d+Eyn8QsgEcC4d7bWQcf3MhHG7I
9k9/OZ24W8rUrLVdMFTzHH9jcDw9paXlnQLVF8eG7IUjLHuvreHVddkzWM7hm5MCxmxG0qHBGAfH
uHZwwoGKdLME8LMfsHVloHki7KGnzBJ/asc9OrjTV+Ns77/3bQQsfTTaH7ZpPDsxLMvlSfHs4ByG
pAks57HFh7NX0J0xY8OBl6wBkOvwQmHe3ZNbIMvIcLKSBDDq16lPQh7v5j4FAG+jCFEcgZfMbpxH
uyHvkYBu47A73vGbBE3qD89hP1w52T5wW/M2Hl69be6D2yXx9se1WCC4K29806EhgiJHj3dSrSuc
yP10GZzq0L2lphZHjKpqTeUTv7mwL7aO+RtjKaenMsblWVTBPu4R83DEPjVcAYEjtM0VRRSUKleW
1jsEAlqan1XjadDjPstqVsFFmLNVGe7S5zohdlBE0QPrBB3tlIICtT9nsAesymJltML2qBs6+9oU
UjXOZmonyvxW5rDADGx6jV0He+D+2SG0YgXranKoRjJ2OnfNo+m1O6CDyAW59xET7D+a1hIvBWnM
SOTcxB5qAo4bHQ9XeLf0Zza7rNE/qGX9afIrhlZN3Z1r6ZaOW+bPQ19/FnRiGck6s7HOmRXFU2by
s7CwsNDUgVvAo9NkdMHCcmFvqTaV/HQZ4JH+sRTDkRsPhb1Ubvhmv3Nim9IhpjUbPwWjFEyq33By
fvUHZzpY+sukn6y1BB0lFV4YaiEL33JvScKL1ymIr1auklVYJ8+Kge2hnfQh7QOLcOfvoAwMJm3h
0eUuuW4khet++aehJe3dL5BX2hwfdZR++vuawuWlW5pEpFM4u9l2f/sVLXNJS2laR8Mp3spzHEH9
o4fPw6tfHe3Wwnzpm/DEJAKZ4wKd8DDRMgBN1x0lnYACoXUHjnzlIVg7M4JQ1FaC+xHGAICN7jKZ
D/wcrmsWHkT3aPZYd4wGBgU1z+0SA11UZ6rHbQ6syzjll/TpJjX5y0CnxByH0z7rPBbcAGt4atJV
ZlChwnN/9GnfYUJkBbycQ4jS9NQ0SXjEgjWtcTK09zrpb6Fqd/TSwXi3vpDv3ZunVc5V6tLNFg1H
MLLpIkau0y2ie5ZdLS7Ybi4lHTPhngUqOXglNXNcpd9zfawy8yugXZxNb0z2se/jSTLLah/Q+hkg
DLFacUoxsVTPECeiVeDTSq7m6TyOlEI6ZMiMpgHx7+Dash1sY8IpN8SWCqiLEA87V3UHYavf/WXe
jsTdVg0kL2o4oSmXMmFYPm/IXjBA2wWJ8ymaZ1vZzVEPeBRiEjzL/ArnD+4PYmkSUDoiF106SzPH
A+YKb6fSDHc2uZ449w6pY7AdpVvER25Q7gwMuBy5xmuGjh22WWFSKJIWznmkRuQbjoK5PVGUZUmz
fFej3ORS+ytWQVX3DEhiINcpY1w0CxYNYynXbdP8pz80oDSWb8yFR7eqp+lOFIFDmo8eVKCDXx56
cG2eDReGcRilz1lVW+epdMH8G9zv+pRorMEhmW1OYZnBDkatLRbyJGn0pgjrR255bNImnbUVtYyW
Q4l4rKcj1YGULrQUShkQJXMKK+M5fyAwCV457n+qxn2au4biikBvqgpS8lV6Nmk4m7ERuuM68+lM
buAAQ/mFuCG2cjLTQ6cLH6eM2CXBwPTQxbPs2O1uTHntQmt4NJrQJ4wF2z11CbrS6VgH1T5xDGhH
VnF0R5OcqxDpJlRiwpVt/WL0a69lpexNm+QIMWK8UVycb8ZHbjjNyY3h7wQi3mE1/qxjTONlUHeI
XuO7LC+hT9RQVc7PjMrDjTcok6Zq3uc5nQ+Yf+hI6ugOSTJo1YlFGUWTbz2+ZEcb8mNTQCYll40N
afm/DNJ0dnVZIbXhcupKAnekKhLbqB5kXtwog/BPzG/khozyn9KMQGEW8mJ7frHiCkHoLm03tojY
eFMSGiKMrulAXWjQQSrFnpdn/R0NfXAGHZIhBU9rVVfDxjRKBs3MLTbhzP6LkEJVHK0TRvjRiIei
K+aXBYzNE+UMHK0HIaxdnADxbhV7kZvTWzypwYS14N/hG7M3zMTHbT6LVV/I9yKb9Nqj2gm3/1OY
k1Q2aVuAlEYZFn08PA2tYgqfkTWjS7QZunlrmsmzltabx/godzr0FWyinlViHE9eSFXNOywaXNN5
PjCR2e2DHYGbZ0x1GTAermqY8TsfCKQngzcoOMFGdxBuwzE+S9Aoae5Gh0XF7+i03OZ6YaZz/p+p
MZ8tJkZ0KpesD1G6xZd1q6vsGqix3VkWj43nNAHmvtrY1Xl8ypshum+q6SO5J2/xy854u05V8VLR
qrUye/8zdnyxi4BU5VE2YYOj2opl85zNXC2KvuM9gRush/Qc0+FiJ9uqPneL9V+wL/uMwjjPx6+B
KxMOHiJcZyE6p+l2p4H2oZ0Ch7msffB+vil0tal7Wovli6dUdzSXk7taTtffH/76q+LiJCdHbtwY
npIx1VBAa6gW32wLe9Gevj98M+/+9df/j/+WA7ZYdVw8Zz8jBuAh3AYLd6ZPTLU2R+6Zk9TWzmu8
J4D467QMJtxGHfSxFC5k0g2n7z9F/+9P33/9T//t+1P+9RX/6VMcZ+SyQH/4hjqBlJWmJqPXNtE1
8hNvS1v1uDbpKVpPUzBvjBZ5Jprpio+aF2dwvkIdNtc4iakLBBG7Apl+pgoEdUSaxc7BjryWfBa4
QH/V2TE4TjJMVnXyRI8gODF21VTskc1K7njy9iyxpEMnziTaj8brsFQTRrmzoS0Jk7+AZt4ic0AS
Z2/S8Zn+ZGrO8R3jY1nr+YDYFnx+WqnlX5zsD2vmuC5NljndkpGTdbd3HWiAguLNhIDBFLThBr6C
a1gJqyR9BAN3QsR3i3ZL8UH1h0u99Qb46CeAhtsUBooyODQqhtiGHn6KSlrnAK6q1TEElQpdaBog
NEfXxk9sNEMACD2Q1pWQBICXE6UMjFed/zFbP38arI/Omn4jrkab2QxeQpCOiOoTaayuons+JVUz
4quZG+GsG2+fVtrZBQuReRjLr3lKLpxd2AbN9hU/NLr0zFIwedk9xwVQjRgvSeOnACX0Y04TVG88
4iKyN/xQL0Mj99zSYz7DbNZCxL9aBAqq1khnjX6fH0TjPRcGEZNuGGCl6rhbc1++2nP+4enhaaSr
GP4MyOQBzD6eHgexJQzPBBntfTzP7sm2awAY2nPp3vWeM8PSnHm50Y352C1y0bhR4+Ttxqa5z7Q2
TrWvqEDXcmAw/FW7vHFBXobnsrWNU0mv6XF6CFFga9U153K8CmbV9MJsdUNDkIg3cGephi2p1YrG
/GGe9BM1Ei3jddFvmp40iGGN6iRz2ra9Ka+3rQvaNmHcksbIqYOf7VNWQb47tHTyPHu/IXXr++JI
KiY7T5DBujQfDs5yx6N0jTa0nkKLkNaOrV/yWlhhLs6Omt+4KBK6961tSNL2APTiVFU0LM6UJ33/
/FZztaVCQhnNe6blRM0myc07f1NpenNH+5YM+N6iVyfABeSZlYktAWEZUfpRJ5x3YLP9+P4fkTO0
JT8T4KdrSiJo16EZ9FEjD/g2JsC0aLG+ssCGTl5w6gyxz0dyuHXU9wdacfe2a04MrQRT9RKmrwtL
9z4paCvKNf9uj6YPaiNUcm2QYiSlyoPDeRiPK7f/1N9xyPtoIu6CjqJ6zCNaOVUc37IUgG188Vzr
rRtdKjv94EdbWXe04e27TH3MRfY+Nj2exrE8AFP4AIJDbZGV6KfejlYQZ6OTjnJuNYzMHNvB8pzV
SEXBu1Vrc6fsBHE/nj7Sitr4KkWP6hMj3QZJwC/WjMyn0q1/m7miTC5NHjVGhpVZS7gt2X6g3f2x
iBa695y9Kk/5FyPjvM71geS+SajY9SDGpMnBNIKI7mcnuiSd9I9jEZsElVBdBucOKLlx0HHDxLHx
l9oKF493dLW0xXXmhxRZelfMPwr8RVOtHkeknJCJY4WpY9dO0UO23KIGOCIoU/gWPCYPzB2TDQO1
Zy9D56DgTq3bZepAtd/PhPQBbi5arC2PFmCxPH6di1Tvt7zsIVgY8NH6HImK832KumVyIl0HnDP2
QdHeR6FkblUlb0lVUaI4JLQ2Lkr+rCgXZd8GPEsmlfXPkrQahfiAtWTqMI3bjPDKeoawyJXGDVn+
2WWjfvjo/Xg82Xoc/vrgV0T/gLtSbhFTImr1/d5iEuHZmIKy+lhkc3IKOviToVk99JZ77JaBxvcH
XWFQcU3DxDcYvIL7lCtyB3RzubHeEtwGDkEsi8rG15C+jDNHpjJddpC02zgifC5yDookJ0C7Ilif
pDaRnZYPM4iBjdsxWdQLANAS8etc8bn5EoglKarPolguPc2XiFPSqcvX4ADgYrWsaRIihe95hNFj
59VpQOXyaBz82mbmSZmQh7/po6qY4FUYzYpgfGuWCXbp0fNtgvzALhUde68yr32L+11pBzEwNl7x
K+ZzEN8wGQOdNhxqMVXq7IZWtuyaBOKIlBJ59woNNkpH59n4M6HXc5NwzrKN5dXvGGkXs9X8hicC
EcXtaegZLHYV+33QDIpNEzOWO3jxNXXqO/TzbI8jo+Bcpi853z2o8vIR5PfPsbWfQieaP4yyPPtq
GH/ndnzxb4M7Rx9Nzkx7NmhUxg6AO9lL2g1Tu1cRTTDiqfnsExT8icjAHDFE9UUVvwvtf9iD23xN
7ZuKSmgt5i3sAFLE7eBunML+EyjMqEkZGlB5vWRLySV3wwLDlk0WZWNFYYTmHfxOZwcfNYSeaMIG
GNJhepkUFtHGmv0ntVjA6f3wPq3h2FXtrTPdR1nHeuM2YXpsAe97ef2CRsXgKlvSAvmCkZ1+uMnN
GePoGVI0Mnrskt/zNO8MVjZVJz9E1oRnN8BN2XW0yXLKBgYUYipJy/KpxCNXBWaLv7glUirrxwHb
KD2u/S+Q0rDsmfc+w+05ASXmXVQ8ykl3d4E1b+vJgpAYWwFeAYxdU12FJGAsQlH8HqFsV8fQQ4MV
028wLndFmOzp3HX+iDo6eg2Wby7vchcPvFC+BmSuPcs6shTqvYPD4onMF/dcMk2/3fBAcVZ1mDnh
ghCb9TmMXBIz2ro1LlbtsWGsqKS8E7rcT+VQX/oIhDzVBdE+FXS0jshtF0+aDx12aezLbXEJa0CS
TYKY2jemx5qurY9WzPGOGLk6qWVM8f0h5054St+GqKsuBaSzS97EcutVqKt//RUhf9924JpszioT
oNmb10Xv0UTGCzyXzYIqHkla0hzu9/ip6pi6P6NeYiK+AbaCpLPhKta7Md26Y9es00B2x06170rN
6V3oLq95hXLjpJZzV6fGi6uFv0UHKLZd9MdSctkip1fGQT13VAoUewe3tMs4WAeMmziyVqu2SjG5
ZvOpjdyATrxwZ2fDKY6m9OY9DTLFQuQWxdqjwIb6b5g2TWFtW1DWK8IbHImFg5ZUEZopWYwPBi14
Wy8AHfy3nOPtr/KR/0N471bGRUfLiGv+e2DQJc8oiA0KRXiQ2OLfO0l0FGRx1cXJQYqWEM/cikvf
madYdP4DL9dOo02dUgcQK5n8ZiudCQiKyeR/LgilcJTCzJ5NwNRrL3ntW48Dbp6JU5zGxgH7Sp6v
PZnDyq/s/4lC2Vkk1mUDTTSkuUmOcXKaOMIv1bnyucv8luyHts42fZPn0hImQoJJVWiHtwVMxEdW
2MOl9evkKLR9rQLK7f71wcvhJmWhfg6tmrmWwzmpxwFnToou+lm31bYyrUetKDT8319Gx/33l9Gz
LeZdjvJsXsp/VLuQnLaYMXThoRvUV9WH1oemh3id2om3InQjUTj6+H1+r2imJiaVUYtljfYjbke6
obKsPGonsx+Zv7ZX5cw7PAsEWJyc+Ati9xNvXMI4Wj2bEwWbqd+s8JeEtzFNJHzyrN2WUv7K4Kad
MAdHD4IYIpaL6DNrMjxFBPhfrXgsNtB8EE6diOZc2Qb3Ct6VN071GUvorRPk9JwWighzZ85nrUXp
M/Pz//11sond/r0CZ3mBfNvjCCgkMVmllvzq3ypwCpvGpAhfwEGLAAJX3m9l0O6roeTHpUeFo6Sb
gLOpu3NvYmWN+l3CM7AfbB0fkYfvg8I37yImFGrKmsN3gC1xu/rghq6/BW4Qrr/cKg+v3rYe5+kl
H+N7qhjGTZDiZTSC/MNIkv7JGByoH//lGeDf/Y8/nOQHlNiFaT/4xw83kWIt+hnbOwyPI/ZS5FPo
ZHb8SfydCGRY1ryV+EUwvXJ2dt2OFGfFxk+PovegLzkEgyk5gLGGW+cxbGV+ChVh0uZL41M6opoc
qZvHCh5ciXmFie01tFX2tz+lbnSvhN3dTzqhhlCk3S/aukliTcWb7IJm5+0x/4wnUrnW/Vy2xSYM
TfURVDmESKZxxWi+ml3yEdOv+sLpRi+16N7BUVo8ZhjBqQfpMWIOk8Sibryh+kgQZ/Sn0J5Mmwd3
DvgOVLbWzE0OUyaP0t5YxNLOIro1HsilOrS8Jza9E9ZyvR7qLLqrfBndc5llQQAGs26SMTi3dfHW
t7L/3TPsCpzus9TThMcdK6hwH7seH0OqXNCVbuc8VWj5+yofKZLgQr0xLIKkeY2dT+levtdjebWa
2f3N0npA/QzOcuH1yDigKU574XMSOBmNty4UNRNrGFNA8FsI+CkhwyTasW83u9lYGlV37Vy1H8Te
MI63R9675HcHv7sTydKp07MdDU31Xijpr3xMCnixnFMSufmhs5tpD2faOPSJUDirOnubccwA/2x9
/Jd32L+vRK5SlqtsX1BVY/3zHcaAJzZsMrkHH8H0YGJdtpE2L6p/y3pxg1+SYols5BYxUZwzC55D
FKfhAQs9N35v6LbNMnOMTfEzd9F5HWZ3e2UyJzcnsD35NG1mn3gHXUrFhipMcou0c6oOHlQ+oUG2
jbe1Sx/9Pog+MLZh2kAdBbA1X8yOz8y8wT3kzCr/y4+97FN/bW/HL7Y1FhbcFKTepO1Q+mla/1hY
DLeGWyVUdJhVeQVYLa5iisO1zIz4nrLKc16I/FCExXMpfGzyVDE/c6O5GoPmgtm0+tY6ZCx7JZj+
uOHFCDK5iJU2Nhkyy1WP+zvMe5yDixFyHn9YpP9WtkECMEySF95EFQWhKxPI0b20o5Mo3QNydLrL
xoD5tKrdTSZyd1e7+5b512ZmnPVfXgJ+4P/wGkjH9SV5D9RHC87A3xdX1ZsVieA6OgBU6q9TFnoX
3djMy8S7VF33MINkPNVh/Es5eDecuHobYugjCsShVCaCXO5XH1l6BX39lE0pLuZc2M+5Cml4pZfb
YxM5u3UDwy7+CLAp3Pqh/1mPpnkQNWiYxHDMVztRGxwpvNPahLwKjcOdHWDfZ4wdldlrweDtOsfN
GwS3eE0xVHJqjUY/0QEcBEX1rFGENnU+Vgety1tWmcO1YYR8N4bTpwd6CJtpvmurCXe4K1/bKXGv
nXCcK+vle+bEJt0WwF96oBGP+IfsO1gD96LWLlfDnHjIYFw0qaL1HDruNoaMd20Z1Wy6SVy+vSWs
2cc248rfmyNFZ1M9P1au9ehBvz3runm07c67A2aIZ5jLYOXPOI7xSwIcHaiZrsicdEW897RLmmL2
9nr2zx04s9M8mDFLnvfgWjoFktPB4O1CZzsYGFKJKYaVgwNdVd6dcFsD0xL2lxFr2Q7940tNvrkl
TQ2Y2auL9aCz4Jbl1hXFIdsnfdZsKw8ncVuEzTbm+r41rbzejJ7CfAfEahfTqn4zY03juIF9L+Ze
HsyI3a4VpmBnhuSMp5uGYgPR3I28YGvVlthTlMhS8MrhivNfhqJnRASf25+uVaF8zRNWrrn/MJXd
7ucIEwrJSM5+moBjVUBS6BPuDWDp/tSZuOHbvFhYtq5DjjjqkDD1MOasaq5dtyYDICnV0tA1IbjE
k5UyWi/wAircFlNsPpMzLx+yaIzXg+Qro0ByVp+9V5xiK1tx78NhKu9yPTHgqQLj5X9fWSxBOeA/
lxYllCMtz7Ec6Tv/OCJHloEw1CtjzzR1XC8hwmum6PDE0S1WNEd+9VyiH4sqCcCBtdm2Uk5xGiLr
sy9UCD0B4c5I4EqUvj/eWkNER+2zreWR/+z6XnxoQBaApxmsg23Ltw7G0FhN+cUt3fbaTQbWvbqH
9xZl3b0fGGvf9UoueLcxSqPbMu574EBKtsISMH4LXL8Bw3nPFMne67tulXc9Xxcip4yqyNiF7PQi
qSNd9+6gNwNR6YsLno9yb6qUc7/8wdgcpdorLzqKKtz9PI+0Gal7kXX12pZxu4sGWmYni+h2PnVv
+SDUbUjjrU3abMnp7fLolBu6/aWm9hj7uG8t4ybET+SL/mCUTMvLZDdziKAbHDyAaAdwpnAotrOk
iZkFeTvAxsMpKV3mUgEIQxneuiLBcsMVjNHcdIR74W6+c/CuOtsSWS8LqvmQo9gAmxv8/8veeSw5
rmVZ9lfKco5X0KKtqwckqEnXIjwmMI8Id2it8fW97vXI5/Gi0jIt5zmBASQIKqh7zt5rP2GjvaRz
DZ3CvC0WoAvceBN3ZnnYATun3mOfhx4dkvNhYsMmWbwwrtOCW3OESWd0mGtNIdMUmeuxyVDGjFiT
TnYRqltk7ELUJpQQiKvRu1gPCc4bKl9u7pNllK0T0gr2npvWVzF6kAVsxcYMMeOhkkzCJP/upQgD
PMHpbgL9BOVt8eUe+58I0X+F+dFd+59GiF69fWte2/SvGaIfL/oJ+PGsP7hvN03uJyyuoBztfwJ+
ZLyo5Vg2pxTNMVwxUv57hqjxhwrZx1Vtw7N/sn/+niGq/jtAHw7R304+qmtaXMlNqqKqAd7L/G1g
mRk9uJIgGs7FYHbTHNFBpx46gj0PBNFczn1O/v3HQhlwIeHp/3wzQLqUbRmWfWMiC8iTrXyvUkbO
yFdSA0lWgxPTmUPJGGS3QTaiaPLoLTj6uKvdZpV2Y/MQjU9gM/QDcmlnMxgA2qlBvYBtOLCtCtsG
FouiaJ7zI+PHbVLV3cp8pZODjxMzlhXbK8Puhx13lavFGJbd6FUPgUsoYE9+e8OpoFOMxw5Ncd7W
/Y1VuQYID5LAx4ZA+KAYLlkyPAH9PWDZty+eyPPqvMQ6VqNz0I1G2UaBQrhRST5Mg5xInUOqzPmT
49mv44jI1wwm+th4ARB1OhSaR0p6uvKSo9XhZOtph56z8dwbPzS6bvnICI73AQ6rp1t4u8WaxKSL
p4BhRxkgAs4dQuhKMuq6GOcUxKC1OdOLSLQW0ffWSdyeMwqotK4qnvQk3Le21R9MZXgfzcj0w7G4
T6E7ASXA48bpBxIqbTAXZh6JM08hf9TGQfWHct8vjdHdT8WAtHSvEGdqKSRyjsUVGakMWKZpU2Dn
3RXzjyAave3gesCIEzPbLlZ4diz3yeP+kFqlW1O+eyhs+0cXeuoaIlZ34TLNlbHMbpqojuCpbJe8
QMZoeM9Dot0vNnHvplntWocWWuW+DKSKwyghsAfJCnS/fqDL3gClV4b2MKXKxU2Mg1FTljc84/sQ
Yz5GtN+t4A5/BUea+jQrOQHbT+polFsC9uyVqTbdqndA70UOTuuezFAHMjPD3KBRz+gKYRhy47HC
AUdgEXZEzuL4FTe16r0OtsaXryIdHB7qHvwFqL+/l8MA0Ml6VZyo3WZqXvkxAztgg/UZ51HumxyQ
qIoQZ8Gv5d8rq+sKnaEPEofrrxbVG4Tv18tUINpnAOKISPC8Mw6I7qrVMLrlJrTLJyJ/udfVSWXv
h2FE8KkcbPzmoGA3AGaStb5Yd9NMPT6kAq5nFFYJKeUQQIZT1Q2aZmfERoAAnSjvAAWorSYbVUeD
HS6QgrDKanbS48clsFSD9ILm5VtU935pokccTOcu6bI3VaXvEFmHvgCSivO0Oirma4E4EjErcXYU
kxnnWgf8lz+gWQcbo7s1B0NfK9T0pzTDkQizVg+zr6ilufmcvnF3+RJNdbO3iJtcVR0umwqrNCVb
LETGI5VcwYHnv1L02tok3Unxvk1adS/Or9S+TY8/zUQRWly8epxooNtrN9CHFXUbdVcgAD91QYyz
KL/j9LhZPFHl7jGkxEhaFRvBzhihZB03Zm886IwqmrQI9gpi+lToIT4mDkr63HwmJL6HbqnfJI19
m3aQRRJ6b2urXcgk7131aOu0CpX4xkmH3YiKBHqfelqgxKybkK5zyTFBXnvqNwUBp0UPHyh96HKi
qTi6TAWBDGxThhAK/XajZ5Csa+YJComxxM/WQsjB0qG2S+oxI0YrO2UE+PrxMYQoiJ9yhGOZjPM5
wRrDd/mxhIN5MdC9E6nLroGnsa9pbXTTTU03SFTtnL1D12XtpI+zUuGvdCrDJ0X4EjruN6dWx3MD
ONcVrUh6eXSt3LsScMw2ZHC6GmtnY/W0Ci3jWo0Z/xAoAAg1decNrVoOMSSxtxCHi+uA5qRKJJzK
cMTWkxfTG455BRQ1VOgQqznMfkbR68isRlq4gaAfCMLjW5Vbexv4467lXnTDuO1rFUwYXrFDwBNo
DL8yITFVM4rUKLduTMCqGpj6uIH/onNjSIPYyq+MJr7TqB7VBM7igmrEOEP51psuAulKA7NjtrQ7
gzj29YHRZOV6N0XgB4MSHrMSXVUnXGwMgeE8wzegrY9fvXfETe9WXxDmGzDXYb4EW3FoTUsPENay
8dYkP/ScKCfLPDYLuinNLgYOOuWtHgc4ahWPwhCidn0uoxJjEtJaTzs3JDasSEhO/cjMbj016zZh
efaSGSbx+B7r5PYVefMW2dyFdsHIpbJ7n4O5P7Zp9JB0bbUfcGmUWrhsO7t7J40B26Hr+p3rmOfY
otxkaZvUIX+mU+hZ2bbGXk7gGv4L933pciAQBICOKWa6tgPqm2N8YjxDDqDFr5tZ16qj2FcGwShr
kALlJTK1b+Ok3zVIEwk76A/RMBdo+rf0Vkme0LMnrTO1Y5Eaw64rgDUk8XwDZ/OxVgu0vMJ2ZiGX
shaCfBHR0huBnTmPwaVDIUFmAQcy+YOpNW1QNzibIH/z4gLlaK1w70BXSl3Mk5dyLBfu9NKN4IGD
xngN6mBt9mw7dPp3lJMOytL4XHY2Vm6SKeb8ydVDhp/ZDdVzYQPNEOzP9ruVTc6Wwj0FHPQaQQS1
FV3pHZvc1aB11tGoQldTC/ZOPTwj0VPOA11SFZs0NpTI25vphBNShz4DZNSu6/nkdndjxV1G2Tb+
UNHMzjOEKirH04o6A5KxciAOBDEsJq63GsCZZ4JqH+3qS15bMcr94t0bNNhfar3ruKVbL8S6rzxa
B0PbzuC1Blz85PmoDdE8ZkNPKUUzw3gEiHyLMdGtoaHanNjCPD7FYanQPUNPS2cVeCoenxQwo2WC
z5mi2PcK8BhY+IdNG4/7zp1egy6YVm7ZOtvBGN9C6Eels28LZMb4uV/0BDXe1MKv4l7BXnWZWXGx
9zy+jEHW8YSjIUvrbxpA1EPjdvtAsdOzoubIadzrudOxwht4aDAdbhxb0fw+x3dgestuhly2N6Z8
N3dAhFr+LGA+6Cxds/LVOUE4apALzO+XrBO3fut7ThiGUYKqiB3L51yGuR5s8FVtMbgdahK3Cb0F
gOTk5aWD7qRpBfQ2W2UHIo8cZUP+5sxGSpABHtVur47xj4J/EmAhMa5zPh4cvFokNWDjcqdgBv9N
LoFrheDbFZ3DSNGRWSBmGReurFXobJIE4XTG+3owMNeEk9RbVUX93Y4FsnSMEiVq1lulNSqEalG3
bWyt2QGeoC7QQFNRKpFrzQ0D9dQL+wD3INmhJs9+UwPiX1UFZZ42/bEk6re2ce6DiIZghdYWaE3/
tY4WdzMLyVOT0Iebub5vLGt+JKCEvl2RT5cmMB68ZawQBM8gxzUgwMMPE4KNgsYNyN0CVyxj0szw
Ej38iHZcnmjGfKdlZV17Dm15z+h2hOM85Llb3dKEiQPrQGOCdmRBmkvouZe6jEs/0biQg6eBi+NS
qViMsD+3DgXERK0JsHWEYj9WTtlMtx1U+bUF/GtnOTYFgzHCHrFwTx/SN31QJuu6RKRFrjatZsOE
5pPRnS+4rqlYF/H8QqmHDXiVwMLDGo1v1FEi7Yg1e1irlcbBW9a96OZGvmFHSEeJ2OKkHFdnNQFf
STjTm+ql9alNjPok53p9vKY1pR10ZeK20RkNaiIjuU6RhYmqHJ+VOUcCn85nk/ikq8jhwLbibj8n
c38YuWwSoU1DLVEHrLszUtM8NQ6OK27bHYq/jByrvV5GGDTC4DJr/eQnQ0UHCMFUYs7BngvFGWt+
d8JSFe/bAHpoMgT7KQ3QB6rOcXLgQ0BwXUgFde6yocIhEZMPHyS1+pS7SLg0k5Ie5vEURfFGT5zN
jJB1EEi7vpoS0CDuJedEgqX43JaLejOBmje0OTr3hv2C1Ctcqdj49+lUPtTt4p5w99xbXoVKsHD2
en7Xqu5ys4C726APqrdukQcbzysLzNE2Yic1cLaji/Smt5V7NR/JW2RksS2GmEgDFWUWrBXu3FAu
5+PVqBfldTGeQbW0ULe4OS2LmvsEMVnG6Ofkt8fcNPseh9xxBMKCWrkDl0XSkiEyK0KgKh9VK8cn
WGPci3iZoz0F41HNipRY+j+XieuIARGI8YNORjlti3pTFOF7olKJXQPBbI9yAmMNfpMx6Cd4oK8x
Qg3ckiYh7ErdNkfPy8WsSm72x3JXv4aVgWFJGJa1VEHrZIpwUwI3/OZPJ7N8NkaBrgwEaPRoYMHt
NYO1t5J07Uw5bi1p5MuRaBP0LlIPhzwEAqe1z5HIvqTwS5fhz8ko4vDk4qyQwmGiOO7bQAXGXdDg
EMJiuY0PcyAndgYgzu7zoY83aGpc+ENEIIMIRpVbC0QgzErOfj7omTH5Nyj4hj9TTrnXIrxTZvo1
FBIPoXb+JS30l3BMmR5XCxD/HCl0EfAkM/CApN61k72bqB+kwqXt9UHOz6UgbjcGDcoKsdqM+FXG
G3VYdShkLQyAIisw0vjp5UQRv5J9TokW0jfpwh1jQIiB9Fd74q+Sc4gsF20TK3jwCVdvQOcfDeEY
lXOVagEmMifnS88ZHLM6Yfe2hd+qrEB572eXiNHAU/dcF4grJiPwmBaYjz48vXqj1EfuT6hFUuqW
VoSutpqjnDObtN9bSC97kfzeiomcy5rO3HT69DKIVQPV78DS0KHHUyl3PjkXg5xhByUdYK0RHExI
D1855F5H28gvzp8kdkTYy4ljUB4XjnJpmu89iy7JmGe7KNHsXZhCTJETazArvIsVTuQ2OI4qFD35
0EJnzPcYhq7S4tFSIFfSGUSaLo2f0l4qFwuzamAE9D+gWXdbb+5u699TFqWJVU5mHFJ+6uWACoWn
2wtFTLwMyZXLciIXF5i+K6spPDLuoCevCM0lUnfpzwzigq3ccSjuWpsoyMkYsyEMSE+n/ELyu0x3
uHpTwkOSnP+kiAjJkFAFThOopAhp29m446X9ULr2m9hDIOCaCacS/c5C0pat0LJ0R4hnHeMAJikH
ik/SkLYqxL4uJxzTP+ewsfNdPpfl06p8kDCLcePNjJH/fJ2tpqhU5HLX63nz5betLS323lZ9m6qJ
71ab7HcfsyYNMc7ivYC68GAyoNBH7sR5/nPNgaDv4yQmck6uOExch6nezOQPsUvoSb+pLJusPbGk
euw0cs4zmi81fcyNXGpSSm0bNUSTSu8LtLVSQE8o0S8a3M5+vMISc78t2lqx82zOKqPLIHX1uXnD
aBWfUGsEAOK3lT+r5wJNkItyMoonPhd/W4XAQGs/FJzRLXEsUmaqeHP8xRuFJvXeoeDJMNvMr1GN
pFz76pH6WYjRggQHDBV4bX7O1rTwYgfKFT2WciZHxpVpu53On+iJQF0i35iljFv7S801gZ4SfTge
kmrOX2YXxkJHt2EkHUfDDpoGJ0ku4UxRgZs4xZI1OP/6aNiDu6kU9ZlLX3X8/PhyMRZryDk5iaqa
rJ+ebEZxPlIqmzOj9OF/Lge0YugcKjv5zWrx9eRcwflzGvR4T5m48XULNJl8XE5ot6MhoQbljzge
qNBQ+xPnFw6gqNnLWShJ5ZqaNlxrcfLFcs8xIObk4hQ2jEBz4a3ustdIIHik7FVODK76nJtoqhxH
TYFXi6/7rzuhWLTDvj7KfdKi/gYJwLz5Zf+Ws7RjMSCMgBPkYmVE6S7TtNMv68k9W4XgqFmKsf1l
55frfL5HrZFfWuTC/CHeN8YVywh64g42Jnzt4wPKl7R2hYtwsh0MSyqu/ESmk0IZKY6xOMgjMffb
onzCADny0Zr/T0fmX3VkDNVApPDf/+//fp/+T/hW+q/d63+9yciGq9f87X/+dvU2vP74az/m4yU/
+zGaZv6h0vV0bIR1pq16tD/Gt7b7n78pUn719waMTgPGNejNmlyVyDRCdvb3hAWLpyybR13AXNgD
7H+rIWOZzl+7waqNn9exdViXFCN1+kF/FVlEHST8oqmMC0BBKmSNtWHoiKzOK8E/RH22JjGb8n2O
qSiibbEk6y6NrDMUHxy8evMYlFS8B0toLpRgV3R6s0GVVyk47DpbQzfTYOspdTJQcZa8aijgIm6g
N33fauvRRMaoEjA+KAtp9RoQtsl5xBcLRy7hjhBa/03QltYOj3+Thu1loFSMFMXxF8xx62KJEwJp
kKRi09s3SXeP4L6mJGg+uCBpKIkE3VZrYEap48CQVx8OaqeoONKtcstwpn3qwubBMvqnJlPLZ8Mj
V7OYrjw3aGGdj4SKDiOOLsrCYOvr68jRcZtZxERZofbdISNmg8YjWMejg7lJR8GuIlxV3HzlaBEQ
Rr13T71d59Q8s1vFJB0vzRu/0NXnXjSCtOXkWdm+DMLqpSxbyjbzZalAkeFO1whSHI9upCermEya
zaQuUJhfrIDhP7tEy3CGWt4Il9cLB1rI4hXEMsNBt2kH6C6XQa4lYKAjAo+clkZSN+FWRWs3MMS5
sZa4Il8LUK7B+S1GUYPntaxNfuzqXQComlKFlky1Dt5XgZu8CLae+cNmgL5ugTxkkWGfiC0Orsif
w9m1zK0F867LN0V6bdbkQJLNM1EoGd+ddnyZrLzek/KHpRZmv1eMPkGJDoR6/FxNklFjKrL2sATm
1krBb2AYKdaY0KEzlnAZRkxdhP/RqlE7XHMdQanpRodMexx6MqtiJ8T72Kkg3BbEGIOi3VTNmF6M
uUk2buNd7AxDnOKkSNQAQK2H4RjchIkCjS4liEL8NuWSKA80SapMM1ZIEastLjuOA3fudyGRaZXv
6Fl2U2FkDiyYz869qyMxC9uSfkX/bjVDcCEE4lvB4HaHjmzY6gmF/8wF1hZU6nNowrUL3dHk5wlO
i+rBqx7pzCgIkYZhMK6Mtl2PeQj4h1FWuYzGc1q52zgkM7khdJjbhFXmeMYp4W5xjb96QYRIhrUZ
h4+ejaMI2wW7badC281VrmtTu4taPd8E2gSah38RG6i3i2KdlD4lnXybkCqIgSDARksFgdi4N3zq
PTJQjvkxs0gtQEqTpcUzSO/27JZgRlrjAalz/1L3xX0WFo80WQa/HDJrj9Ol9ZfpNIFrOTUIDQ5z
1DCwjjE+zNq4PNkxSGIyz5RXQHwXbWyx/xEfsak0ziFuMOw1BRWwaahXTUwxPVgADEPDFUSQ8pLr
xN1VNK9WjpNYUGEj48rN3XNkIoATpyvBCSGxMqQK86Jm2qVT3f4NAkZ5dtTgvHDftKWAbHEjEUSn
VuU3mPWoxJvclZdYIeML1eKLblXgPOp4ojFHlrjVQnQLXMoX9owtfVEmvLoejFLbiYNDXJnZhUBa
SMaEEGNuIxvL6pQBtWBLCNlQ9pvajghAaWBLKsM0rFTN0nYN8l4/ycdwjdrmqetMvMg5fEiCMNbc
EJlrUl/cY6lyyxS2yw3fs5sNfgmdHgRQSeA6SX6OqN1/TLIkuRRWcGgdIWfjL1dsCFza2HXXnjG9
cStv3adhjKEmoUZPItmpLyZuS7FM1qr9lRokwcVhfuLcT9XbDJq1onm4TIoccpaYYCjmxjdqQSJ8
Lsu5gnvFjFYvZYeP52f8HfxeLMvnPxc/1pQPor5nS/KpX2blUxP9iG07aTdyE3IV+fhvW8Qlygg4
1R/dV93lvrPXGBF7ywKJJhK3oB+zSsmsXJZzciU5+XxN6ggts3zabWNe/vnU52s+H5Ovlk8Aiscz
3lvBenayHkqNeK9//AkU+bnkCh9vJ7fyy+zHy+S7fMwSqXricGcALL7M75uWy3Ib//C7fmzit+8p
XzM1Aa5zp2nWn9v9XK9thnsEoqR5ff6O8mUfX1Cu+PnWn7/J76vLFX/5dvI1v3zSz3f8eOUvm5cb
pdcnDE1/fvOKDodvtZmgUyj80vL1cmLadctw6rdfXj71+UErD6RoZjVwGaaX0Br0jxd8rAWiA8DY
ILrXqW+nKId5k8C6JGWB3yrEHehGVNOJL7vN6SccnZmaVFJlLfffhQBKyUc/n+oYc+wwLKMSY+3P
x+Uc+PCfW/h89mMrbdiwrV+2SKN2lVQMd6aaOu8I11sMfkHgYVqUs0pNne5jeY6Rc0VF7Pq/PFgQ
03NIy+ePVeQT8nVBNGtAiMbrII09zgOKTW0FbRysgHnh1B9BkXa9U50y8GNAzPBHzDViAG/0BtKG
Lkt8PQe2tFyRazTtPg/RSp4KKp08LF3niCTsARUp1w7+M+6BCUZoPbSUw5vTvnEmN4GuzV8zpUK2
jSqpQGfGZBZjWzlBnU2e4j9Y/FxPvox/A2LMgGjFcXo0idVpgnRzMGHkI934Vgg0YdO01Fa8hVq6
aYwvQW7fl7SLkD3QqKlENY3iekltmreUi/VEvABh6Pt5hL5r2Ec3owajeop99JwESOfU91QpMWbK
CZYV7tFKMhxWeT6Ee1PEms/9wMqQuVQxJxdhbmm7wS1B8NvRSU5ItAd0OnM1LwcNgidX4OJExjbe
XPGXyhqmnDgQOPUxcHAiM7yb/pz0sfJeaZbI4QIZSe6xEe/g9N80YxufZoOwmVmZaoouxKRmAdal
KV0pFgnXpuk5yFQUi7gMu0z9YeHWsTOSxq9hZx0dfIRHBV0tSp9EFf59SJYNEH511MgKH+oXrbIv
DXckXM743RL0h0BZDuR1ZfoGkxNA+hrDNwai4KAaG2tetCO5p9oRmYBjohRxNACWHxU3UQOVc6NN
z5v22F6WiyedgO5MU+mZMm45gmXVuWIpP+dwV3CTBXVxoNp6lP8BezbQFIbP9C0zGiny93fEnzB2
kB3r7E7WBFVRWiORk0JhkBl7tW4F+pTPMIuCNP4LyjCyNi2XMwxhAmK+l0U/XVSvLfoR+Z4a7rKO
YyNcd6Jc5uVT/ssknCMX4wS40VEhMcNBmccvL3Zoa6Y0ulb1ma41jU3k6r/ugHJX/O2xueszP5qI
IkZpiv8cajb3jNuWu0BR5KcsKkuGvyzbThRjwIfwWMTi5CKr6R9fR3xRWTqXX9mr8Mrny4hpSexT
8uvJHS5fZg7Nj/9BPOMGBwxWILhEFUl+YTn3OZGPdSkNxtE1vsjKpySPMn4sjoosUrmiXiUfnBrg
iUPX1r486uQuJOc+J/I3kItcTbhdTcy9lLLLyndYc2WUk8/FOVNf4ASC1ZrVmy4eie8guVDgacWs
QddwNQgmpiyEy8J3IvdqMfltkY7mNjfCAIUyFW5Z9P6cSKSoXAx18nfZLY7uaEywKkf9rVNnQtPJ
EjvKSQQoC5MA/xcgpACTaoGknk5/nJobWT+Wv99nS0I+9rnYZcWx1RtNiDMw6Fo23T9cbEDFdH+m
tXuiNqwj90qI+RpJk1iFFmz4mWue/EImh7RValB7VITWRcsgEO6CDgRYmWn6as101BVzm5h0/FX9
2g0cAhoGWJbxjGx/mWkYp5GanSYjOYdx8jCOXbwJ2ypDQWgSzSvKTSQzhcs6ECd0Vwc/LnaPj0NB
Uf2hGOiAL2DpRsGm6B1Sx8KZyHSxIyBXSbdTlD1I3dLHPy2q5587g0NV/GjeFxN+0oZoZZ+YJIT+
2euklcbRawrr5IiJwmCQIMR0LWu8nbyqeWN8JDynCD2PqiExCLEabYeof+orT9mGmIH8OjMINIcA
Ac9Ls86UNick/9gGOrPod05b3WKRbQCeOQrHeYZ9gZhaf6773m9U8l/pCVBFdMpi0y56uo/UeK9V
7cFIdPj1BZItJGR8TVN0vqDTUnQXy1pQWiRjc6n16D+J/tCwNjW3Xnsut81wFYWHjLto7G6MVHsF
50lMsWC4ynJz2Ditd+MmUI3dpnkY7Z3BsHf9sXWz5OEMFiLUPd6HDr+xrtUzfG9Mmg2EoAltT9dx
p2OXft4SrQOivTq2eLvoRQm9RacRA6CSQCQfk88uCSanpu0eop5zzbKEj0GQBdukC8tTa35bTAXI
QhtqJ6IrnZjNTZC1j3E90IlpydPOwdPB0U5wEBFyID8Y3QnyC1L9TK73dUNdYKNiHF0p71HLRqN6
+EJsxLwRlq0gHHUEmwSXTyCOQnGmlBNA66I+rr6ZLXhfF77X0qr3tGIxHfzSCJEtEVmiDzytg8zb
2wdnuHbcKdkkUQTJj6r1phCc+Y8VOHoPqf3qDE2/7RJUagMMQ0w3rpCVwZUW3y2qyIxQpxH4vs11
pBWTIaffNFBk8bOe08y8PBN59RQq3cJgeyGbydH4eez0qYtsuiJpAOfDiWdoGYXrGxXUho6rg/x1
MKIJJ1usk1mvlN46F5JoBptEuos5VyqaPx/0xDNKS1yDokY7+bguDi459zmRq9mfr5XLcqtpXBBp
Ts1arvzLenJW1W2s5Lb9/vFa+Rh5mkRYqOm6sL6nak7kARBIfyy70DdnU/FbK7mHeLxcvEVL7wA9
L/tkvEuwqG8MvdCFaYwSGkGoRmCA5AAtaM3gnMcc7MRM7Ho2un4/CVr0Apt3WaCRTHb1HPbFLne1
DSULHJlRjya6CPUVoImATO7pRMew+R5MiA7Hyvta5oG7KqEigb+snbXZ9sAHTGqSippCrhwW5Q6t
23ct2U2uYX5tDVddIQsLrp0obC6BpmjrIo3nV6eJz8tU2o86ta89JSYCWwdr+JoqJ/k8flBEJ9pI
KkDQBPe11j/aEzY6M2qjdZwHzhWt3/aqaCHti5LLKwLOu0IP1HNIjhTkxhjExzIiRhVPwtvUpj59
bb002/aLXR1AshePTbRcya3yq7Grx5Z58WJ0eBZ1YaizvF3nKi/Yj0EkVY1+tMwg3eQzfAvwJ8tN
qaarePKWlxqkz7YorH5fExD0NFbRQX6JuRuVddnGxrlqayI4CiLOAu7Xb1y74TQ/F+RQq01w6yyx
duqnaKa6xqddqCksnp1+yZVm2TlTp+20rI++QFnz5afq5wgOcmLrJ2JP8IilKBk/fp0QUVTcxcbN
EM7auTDm8GOTM5TyYbL0p7lA3VTCJ6K13o0vOVIo+cqoxBfVtYZBDpyT3iOw/iofVzOAPHkYADqa
cwPOUzfSExd+xqi8csmse6QyWJKA1cD7Vezw1Ro//mCzZneKm9Y+DCPeyThd7uQGxwrl4GC53VUE
p+eqLN3o4w+03OJRV5FO10iEYR/36VGzEpIcxE+iticv0sevsLQ7uvhGsNdVx3pc9Owst7pEmNfk
LkY+Z3Atdzv5QrNWv1ON1u9MdY5PkYtuTX78QuP2EhDWUwxHQ8tVJAh1ZR7Qgnu3SUiB1ZuN4nsB
NsVMIv15cpd6y0A5PIZJM92Sy4awS6yBpuJg2UryRSGOFchYUx8rTki3rWKR5aDm5XcQgSAu4/lL
HxfeJjJQ60SiOqqV9h5nONcssR1UxdvJzKIX7rb0TRIa7lHzgvaGZFxKm2I7VgxNdFSGl4xe/EZx
rJz7hwKbdBPG9HRZI8wFJX8IXlrPqTZpleMxjEhJp0ycr+W7NPDWW/irX8NZ5+8OdC70wEquVZSO
H9uwIVTlneV+XWrH86dKS85FSR06i5bhY42ePJFhWdpXt7UMcEEmGX3I+a+sADKJfJeJc4CXuK9Z
6U5+QT/x3NpRdeWQlvexCW/Y29CXz3IFtYIaC0wrvnQdJCQuEeCsxNchLr5KZufb0Ns513QHgxYs
MXZBDdcX7b/v2c8PVGqRP5mjcTHMsbxkvBcozVH7Rl3z4/PUwPJ7RYmuAqBs5zjuer82zOxbrpzk
O2lLRUwlnearCtDIuQ8i1cfxqL8O5rNcoRVpKo1aE9imzdXZbHPb78JOvSp7/p5hoEytVM0Pbskp
RY6deueEUcW1DRBHvhTD3QLtdjVodv2jxTqR2b35Whs5sLmYbdTsn6eCz0juFIQe0kHuPrbmRfeV
W1pPUDwUcMh2enJwiF+xMyEhx3f56vJnyVVTAwQt4V31nVWaw75MAxCpZWndlTYNDblKUU6gYvXm
1XTGBGCVyBPVzJH8PcA2+lDVzzBAb+SqHD0PPfaIJ0orGBU4JI6w/6NroAsmdz5EYxgEbJjiGxsM
ald2Zyu3GhHZe26eCPW1DZy8ISXpgrv8Hzl7peoNylfsvuAD/ExpQ6Ryk3nqQnfaxIDYn83FvJI/
D2GcT4PaxE9m29VbknuggsdFcz21iopOG1TnYj7LNZcebHg/aNoteVXefpyxn3ZDc5r6ur8fHcTD
crU5zDal6c2giHHbDn1nXVC4ROepV+mRBU70ZenTi/wuXuV9UYfeeHRAVW8XSEzHVFXVa80B/RBT
tvmuDRf5A9WM5FbhsjS3wJXSA23/edeloXUfD2hz5CqBHW5d2lVfA3xHvqt748XRSdQOILturLjt
vmi5dpKrUql7jaOC62SO/8kJsnynoTc82IXn3pKuCBW4Mszvfd6gBmiUF8gUgT92xJsg5Y6uEInF
6Gaz7lvu3s7gnL9PArc0eI5ybeSqju3DBL9ZDj2IqPkitxV16ruCufCB/oKDuL6f9v3CpdsJYS7z
qclkib39NAfaF9i2w2axo+mULEV4nbfkEH9sQ3woudgTyXflquxM9OKJXhMvE6+Xqxnh8T9uRdnh
/te9cY/e8j/rjY//tX/NqzaKm7e//WybC9iBbqjilT9b5I76h61pGP5N1dZptv9sjzv6H0hOMMxY
uk3/XHN/sSticqSNbXmIvTA7WgLS8ne7ov6H7VmOS3MbhoQLxeTf6ZZbxl975USr0GUzbNcU7Xfs
kb85p03FnsKasxosinaXxjbelYiMtY3yWJ+zPaAssPw1zn99U9Z+/9C9mt/Dh+7JhI1f+LO3g006
Lch+n7vq1Ac7zaaxskPlazXxCnhaQsS5zzg/ekw7WjqHKrjLdrmvb4tXOvIMCxlN5IEfPWo/gNz4
zsHzkeL+8p/c/G+AkvY79EV+R48+sWWhorG938ATeHhnTc/dZc/o7KnXtLuoJ77NNeAtcpA3/TtJ
V1z50vjFirW7f/7mpid+wV+xF+LdTf4p6mKqo1rGb+/O7ftUc3ex7N1Hbzyp7+Vdc22Stv612+bv
SMnEsPLduTfvYO+aJwF8vVe27sW7d6HwXZPWad5qzUU7U9p5za+WQ3oLFr694mQ/3vZwhTfxFbEH
Jra3lXXvJLsl8cv99L18is7Gjbqr3LeQYc9G4TY5fUMVZ9+YL9RRCI4hSYDXXOBZLc6KMtwKHftj
/jhAzzcOFiVgZ8MdibGstGpNqRTXRkj155yfxy3BSSj493SvCRZlWE5JwPWb+/qKJCft1O7cI0nW
X8tHjaS578kDX2c7PRfvy44bFWBil2BvE98N9Pg1dPfjub/GEuduk7d5n/u9v8ybOMAHuHrXT9gQ
O4+4T+XAML/9Rm5V76wUP/+GOQoUtHJovgL+yPVN84hMgV6Wrm+QQYUPoob8CLkoS27nm8VZ/3/2
ziy5ce7qslOpCeAP9M0rGoJgT/XUC0LKlND3PUZfi/Jv1+e0w55AvTBSykyJBMF77zln77WjY6Q7
oE2ra/bFlHpGr3ysnjR/fTAxIeKRfwKuUEGaQM58WN7KD30zEVWJ1+obEIhx1DlXS7ss8tC/Ryi4
zc1ExhiRinfEgU0EgL68jQX39HFFyJgziBCvqrhZEMpe2/dpr39Wl/DcVyf5EVU7ltex2oI/AXVm
PSS+cCp20ynajes2uuj7kYhV2tyMqJ36I981pk1sVHytXOU79aIN1rOixcVlE1kEXAEBCsJ3SMVO
+CYzhK4uyVMfH809bHGD6gBduNd75X711U3sqZ1jpXAIbO0m/Q6PtWzrx/Wti2zLLc4oId7jo3xU
Ii5tV7tC6axABzR4FHbqG4cZKWbq47EhfdQuVReTVP7VXmEwE/mX2OpZvMlMjR+iwGjxedo43Spg
grDsnsDrkgqQEb9oHHCKytv0YwhapzjLDxIKsOfoUz8N3b4HZvAaPptXbG7c2oBNe3cAURrop+I8
IXfxCuVgXDvVEwA5bMvPaVOSk7dttkQIuKwnbIMYcsEaWi+MbSr6X7Uze71T8Omw86/xpHI193L6
BHaxObPrn7u7g5ZdGJWdbWS76Y22l3FVOxc/mwy12CUe4AOoIcYJW/Ks2FlpeTrVxrpqOzhr8bGr
HQCo2hQQQk5h+IuB/P0F6pvSMwJg88A2BcyKNOePyzYEIGXYrdOeQK/h3jpmKXMl1kD8O0QYjSPK
emCc7oi6hCr6d/4cexwub+R95D44i+18oVun+wgvtSB97t8Xd7ts42cVV0NNZIkTnY3ejXpbewLA
+i0w0W5tmHFjsLzS1fKwcFjXIQQWZwv+0gZiYs/+HGH5sc2zMjxb1/HY3+LdnZR/Wx7EV9EtsMbZ
4oN0Brv3n9dHtr9/Xh1NSdZUExqtJLHN/anVkvPV1CYdm2QX9W6JDUkujFcz6f4GXPibZu3f7AH/
sgjff41mYd7Ho0/39g/uF4dkGF2hBIVMmp7uv8Ja5mCJ5i+8aZjfih5XW8MW/4+zwL/5nbL8r7ur
Ca9PpBUPSI38FpFt/K+4HyVqVH0GAoYcpHhVliT0IBql2xpNp13qivAuaZ2NOW0T1i9pZGHbNz/w
gJduSK7xiO2P8d/yVIUISu7JLwTjVuuGxGWYwIp4yIb5PDPYchqzhbmu4OdMRCBf5iyblM4SaJC1
gtrXdKd+ZsnIV3JMK3WPTCY9l6vSHNSJfC54QLtMh8HYdS9yPQC1NRIsKyL6pLysaHWZ60NfoAHn
LseSS1QeKcaLWT3j0xseIxBUR4tg8ybFcVRkJNm0alQHVt8dsJAm+MrYyEKxvlljFWBlyqOCDGGN
On5ymnLI8WEB8iabTICYVjX9TiwyyVfENTCGct3o0CXvBie0ICE4Mmb+dL3hzEw5n41yvCQlL4G3
vWc5MO3SopuBYAfNCbkzAJxf5boVXAa4tSu1yTcc9ewkT0j3kkp8zPRQPSZjQ8d/1UcWKuKBK03A
frxsoShd9fzO3V+KDSmBsa1qpcKTNL/lJ4Q3rKnEYiGJI68gyvsKVipSK1lYVV9tCujWENChu+GR
A+t+7DuDrL2VZFdxYuMz1PPSQvvWBfVzIjMUpZOn3g2+4WDk23GUgRr0WhdgJ/TmKb0QjPvLknlm
pbY+afIH9F8ids3id0sQ3lardfazVT6nY3+MBbo9faVrGznRX4ZEWz0VW/sUggvPdQ4JQNvgmtxl
irr+qK3RI0gq+AXSSTTjrbBoF2n+3czaw1oLiq9Gyysty5d6Rnp8HsSYjKy5e5jj8jENoyc56X6n
5twQSVS/rOrA3KJ7vf9ZnTxUeKa3JuRcaoXiRjMRxJoo8BIzGmNsCSURsxqVK0Wm7KJ8GrwiTYnE
TalVa+05kdejIKDZUy3eaZPw+LQSfCFXhW1btV46YllSMojU7TC9lKS9iOY9iqCOzI0wfy3c6qKQ
P821/Ds0lt20lIg4LRxIInCnbFjQFg7Irwf9glYVtDU7Q38aeQeWMOIUsTLrOdJ4IGkj2gA9x+Dg
9Dg8UMm5NSNMsl/9UhzuxDBbDIXNnH+BuNsY6uAoseZOqKTaFSer2WzVi84IvwBqDYvcKStiPzKi
LwpopGTBTDMebzJRWpI+72Yt6V0bBccAQZ5x8Cq1rzT+WOfHdYSUOo/PZjcdLAVQLMEZKtLFu6Sw
W4m05Yg2zom+L4xW3ysIPojILs5LrKUkI4aG7JmEqdh6OygHomDNAd/5aaWZRKx7AKEvJPlKG92l
lJpA1ssFFzK5PVmo4rakj0uzpH0QKsaIKAIiiAJp61QaI3BUXRJOFgsprQJz3Rxl0IroEaWhUxGk
zMRHQXAwJdhaS5VsSPqTicbkQV+Yg+dJy5lNhs3kN715CXvUD8zxOyyM6BnURam9KRZRC6pTtjP0
jzS70x9+vpWYryWzil2VFPn+5zsaiVh/+9Mo/+ITke6ht+JIjPAvFQ0Dp6hV0Jf0OcvnbOXhLh7k
ryaShY0MStG7JE6OMf68PnRYZA2HI0C9hSJ4rK4WZhifUQlHxvAmP69b+ZbWXue2x/w4H6WPHEPN
vssc3XKty4rLsHOy2/LIZ785MKmavwlE8nAEFwd0fje7usaQyW/0M9Vz/NEd1M18HNAsnqrPYs+R
XbQ15FtvvEf6m7nvHiECwxhFK8g6fzZqxnlIdp1CcolGSHHTMpJUXWJ6jJN4YfYicTyFdYDKgwZY
ZKMAMI1AuqKquVsL7fZG+NNiHLCN8t8MDogOzk/t07yYv4lH/krGW7y6WeqqKEcG/uP43SB6eJnA
CDOPJtqQbjOnHgcYd34iFfeleuIgH11Me34hIsEXzwSHtYSCuyFRU1flO39fUx+M7uf6nq624TfA
UGVO2thNOTYTouf2+36L/AKB6LiX510FBWBkAbUcMz3hiGo1H0XulHkRhvVpO5sb0uNwyCrdXlID
jLALn7Z+DzJWPLYjRm1PE23GuF1j1yA+sF+Y9/O54E36RYO4xsu7NqxN+8KDvm1uyICh8wkRTWI4
Cza7QULrROTIvea9X7tk5pgnk2dOcmxQp3b7Jte+IgFmcarFwZ6Sa45AXNBZ3plJwMOR0RCRdwIR
peDhYD670xvXOOPzRddKtFtlSxqyqdMS2+DHxgwNZHUR7J5JgpdcK64Wp8svJHlKu28/odbz9kDC
J0spswkmys+WviMplSpELx+mMZitm3BiCbNOmrbTbwKO8C23RSEEXGIDiEb0aJyAoPWsfh4lGXpJ
OPx2zziPM6P5ZJxKhiPpyST05bfmCdf1JTxTP3VAwanaH/oncJz87uido+9beaiD8Tc1WYmM6kvZ
JCf9SM4dSXpERrxOzwl5d7pjnfjY0CCstuaEY9OpnusNIeSUWvi5b3wClM+CYi11cdoPDW8a5abT
PDeRp7raKXvWOKqurkzHLvWs2gOC+DoaSHm3Nc9/x/MVhyNacj6THKEEj2QJQ7TBiDhNYxuN3zxD
D8Nvw8vkR4/jpZLeqooUUds0wUe7SebhVuIiGhSSp6x1tIPUeMY+3AEJG0zqGt6pDT+jyVzeoNIV
w5che4lWv9AdHW/MsBc+1dJLHiLSHVYyC3wiApuTdV4KpsCMqI9zQLxsZ9+z5DwKTkBFKIz2A0qB
HX3OI1F9d1P978Vy0jfSgPJDWJI8ZOshpFJbLIPqk1E3EPLKJmaaCZvxxn2FaXtO7BG0CWLrrcya
MXymnrqFYNcd4i14e4Op+Vvu97rDYYACbPLmlwRl2ZkEmcIRJjdTsCfBCoROAnbfYfzL4D3SvelA
9gtAHcad3DWUqPQFvPy9FShcnBlWyJWKHDZL9jT6nPKsJ5PMgNeKE87sm44SdI70Jm1kX3/OfZo5
N/wVK9tHkB+TjfJc0lfwjAPAaG99JDEJIIpoN5f8Sj1z6zdpAFBBPWYsYyRtuqjajd9ofqJtcVL5
ueMbyt53XsOVStcst/Fu9IleioB4HwD9rJ4VVJBuzqT2Lq0D9rqsNuIpfOihMjkDVR18B5eyvH/o
zsKt2WuP2Ib7N/NqVfZ7HHT7kEYKx4RrOHsWmgdW7fExXYDx4oQMA2tjfcpe8cIW2l/uKIrDvKlO
0an9hZiNSHL5mCWOdcZ4qnLceq4/QdMf78b8J+WUPGd7lHQyoUU7FavjYhOktRC0nh3qPqjFi35V
j8Zj9QKThQNmQsB4BCYKQdmW+Ua+QeqwbwPpDcveeqakO7HD0AqhRkw+e1IRZBvXRsyH1YCmi63A
KcBehjuuOwCkt2bPyLNmzPwmKZ6Cd/1snrTeadFxCT7O9ljYztKG94nYC15LlV3F+VChukkditSR
jsKwKY+0VSbAAtWBqlL63TWfnCosdP39Qb3GT7h5TZvAoqvsW49MhlDvVDojNAfqsApC1GsHuw1Q
jyuDPR+SbcKJwDo1J6itonpiKA47yfzGuYBVX7Gj1/VXcfpZ5lQv2hXvdFdQdknv2ObvySzecil8
xG3XKNkp0id5fKl5jaZj8k7kwJTv17v7FqLE3mRqnOtHFn+SM6JsH06wS7nThW/wFL5peFV6Yf2x
0KLn1lO2QzXsMUd/BTBERTAd8xsdCOVNOtMAAQ4onfNg3TRXJspwD4pr9M6+xGKgKB8EpYKMOFcP
xKNqv8Budk7xSgqkyfSYCR0XYLJTtjLWR0AK7MO65OXPc/0cgR7XnUzzLfaWasOmIrHa3dL33nCy
s8y59Dq/kV8JCyzjABoo3LEpIuLWHbyVNOd3+JqAxMHS15/Nc/VehQf1pU4e0otZY8XZatv0dj94
ooj5mGGFIfJJXGhq2S49r8p2ZaN4lbb1RvUH587mpCGyFf0+oDwdjglAnNYnkmn4MjW3L5FkuRhT
RKKJbuajuJ7Cx3ILH+Y2fPXQ2DgFPBGZetfxteh2bFJaveLZEJ3wUl1BID3UBzA+2Qc0ueZb2Qzv
hAxE38uu+JCVa4ELh6IOxcNx3E8Tt7SdP7LnJVfLWS6j6GtJ0O8Sb3lXmSQ+s6qDMir5qfTGTtm+
fUS6wi6ibM0XnTYlsZ5nGkofykb84gsJSkgUwISLabHe40uhOXm55IRPWE3LvfZQ0yyJN3F+Lb6I
pjBHr/jSDJIMiP7cZ9KGWWC5UYwTKofxMupByLa4iO/MsCgVPsdVpDgRYTa/rcxNERvZuMqrDuoZ
HSwK20llpZuIqB9Ab3AEapKWQt0zQC91KWl3viTb6pFxdP6GPCw8tsp31/5qcRJdeE2EIBtYnILo
izNMeYahBk6UgGYizjgl7Axw0K0HwrO+YTDmjVPJ2KSw3mlEXnLrP08QZEGuPY0HACa/pncwUVnk
rJ/NF1UjEJyqdcLvTsfQydGamhljmK29RrPNniUSP+4bu/W4uMWh8AtOl+6k29Mp45jRIjhSfdRW
0uiC+xptcJoepA2E2epvMeCImPjgz6K9emy2NPxYXhovOuW3Mkh9tFjd51B7EOXipwY4jZNPNjvF
2fSbk2nuRX/+Gr/ME3elQDzg03qMj+Uv6yk690cEWuqnFSQv7YE5MP3z5mVeNkv5La0XCNgk+VJ6
LWlQVljNNvMvw/RrxhQWpQyeJW50oXPnpFCc0YxktBULtDAZMqo9N1q0YzrpxJoh7qcol0gwvv+F
JPZHMmIEX+wQRaJl7GxszShI7g8//+7nTz//zZigMJVZ1rEok5JgzQlep5+/roy13oXLJY96qABp
fO1EYgQ1gOh3zU4Ss870Tae6ptjKHiQDhaIqmv2i1iU3RTAINNAxtPQcxTMfbEJtnKKWEhf1yDWx
4j2oBJ4bmCJXUAtxg85UA7UtWnZYNqrbZ1jA5TEr6B8hTUIpDXWYCKRIMHqgeqLXGXf8YyvSjLI0
XjKR116f9jcp02OvGbrpUQLKlRRlvmlkOuyixYG7Z7DlNmE6Uwm3jx1zbLcK8bLEQAljoXajRXEN
YlbQNRE3JVtG6015S9NcDouNkszxS5JstEZVIdUZJCVGRH2MChR8QEyY8AGCuFVT9Q8NpyNTiV2C
/kgZndFf5LNKuQbUWR3Y1+tspZFiTvv4bkwMG3hhohQe40656eoKwo31IR0IqS8XOpmqkD5A/9qZ
tYHsknU0bvajIrrSShxt03BCnqrwmifhu6pk3a6XsYNWyGL1lPWvW7UNNMEJdjti5SrIoj319aWv
RdSojNXdRS4yqMgFlcjCoaLo1SCarOe4MAgBxYQRj+auM6JDWBOJmZUych0yPotev4TpRz602I4s
6Uutc8qykXk98QCpL4Z3DIDgp6RQ3FSTYgVjhAW0pRYQPfeowcL5YY2uBaKot2J46wSmxrPY38q7
v5XI+iQNnxrtGy9baytR/jLGOftqkwGFbK3vpjT2EpIiWwCr7oolz6EgDxiclDfJpkDpu74KGBS3
/UyOH+EI32uo0UaiGjIjFN0TsV4hvTzimp4bQzW3Qyp0TiOY9L71iQlDNL2SoDhz5qQ6RdAuW4Qg
zjMmtnYFLg2OScWq5SQpcSJdLG/FmvZ0olj+mkG0ykpUVq28H9ZXAGCvYxmfwKh5o6XQbRyr176n
GPv5v2RmfotmkEk1izXyu45+WmLA2pxz85zreDHbRXzqRfWtnLPt0HhQ6u4qCbFh11lW64VVObYJ
HeAZGL+ksHutNJSSRIO5dckRVan657Ih5KVUFc7ak/XZzuQnhp+qztE4GYe9UXFgrgsmCCo4AvVm
5dJbO9BxzAhW75BwOxm8QMQBmwg8pEO8EierJoEMnee+1BZR8BBrd6TZQkUHMsSvpIRiBkGd3BhX
azFehBQ9yWi0nKdF0tCmz3RmpzHLEL00/aCiD0AigVRBqGelowYA5xmROYYbhSUlJ2rFi3Ehueg5
PehzC4FFcr8ljky3rTLRd6PEBmBET8Osxr6h+CN1adqPUGAE8TqzTXWd1TtC8hTG6YeGuoLuE1mD
Zt8Hcq5kvtKBNcxly3KUkb6FECll0DV09BImiCyRnrI0hJcSYysqzNuioT4TynpNpvZZapZ7m2wx
7aWTsDf2D9bUQW0Tp2eyTXEOyzqVjHG3THeMLcKedLeKcbJoRFtC4bSILLxaqq4Kl5a7Uy63rcqR
VmuhrY3Z8JpWOeeRnFkMa3hxsJoXEoVxGJbpzegtxldpuJzU8h6IZj6NU3pY9c7FB53BWRL9qqKW
nkfwNpogLG56jzComQMKBNhvdCvBH2soMMfXyAZK9wgljZZCbn00OZVrFRfPM1oPwOmcKoF+2MuM
PUwFQl3TZuj7EMKgij97eK2rFBLngudcxxHpISVllq7OwCZ2Zie/xzMH2bq/ifo+kuoTc41tbcAL
NPvuy5oZ3BeEHwI/M4TyWJGFinQ5OjoPlakFRdM8ipZ5mmvIZ5POpK0Xp6Bo2991vrMW8SOKCrbT
cgCPmsAjF7qcZpOR3zJh02VMf1stPuZ3GgmzBA48lDjL7UNfLEL7UCwnXdw4COU5nQnyoR/oirTC
vVY1p4fELDl4pMlVbDGj5kRuKA1j37kaIIdZj1GbFpt8WNhYs3rbdWvQ69ia01bcV62Am1PMH+ax
v4016MKmWDmeyBHFMmeiohyvlSB8zPfgvVg5kwWPbAv39mxFvBsDoYwppSROUlMAg5Z3MTleuAts
vZDbbZjhicFKzeAMVzpqVcOtrOK5mie+VdNWa6dxDwDtWSS3ssO9nXUYX4GB5oxWJ7q/o+x3rGa2
ThAceijlJK3yS46t38c7TQhTDniEWMBVS/YgIoUgFaUrxM17w7l+nub8HrzXP84KHdxwMq4D96lD
7CzBoZavqF3mmkNO3cSsNVIpq0aDfIqw3mSN4oZJvVUUqPc1jT4lJ9UlIbNZyev9aCaPAq//JaF5
nlXZG84TMunymNMiG5lUYhMsrUkM1FGEvIZfS1YKWsgpOuasVZNNXFPYox+kwAwRrSfCUAUkWLvA
R+985DTZwGkez2DKyK3F/qRPsBYi2SK4d5JgDkBZWGgAof6mNNSXD5UEAGeai3tgaBasorQtKjNQ
037wTEGCbT9kyLAr3SXM3Z1QbLgTuXPZKiOfJHPZ0cN1o8TUZRIiFidMhcui9kWg1SqAILLzbHzH
pEEbsN8m+XtqRtq4ORb0pxGorGeCRmuWlNKhG46dDHZxGGNvVfHFmf1jV5j0Nfs2CAdzmxsJPYhW
u04FW269DgGC41PGJYK3ZxxqTJFuHbHZMLTK8+SxWTo+MZ32Ks+ELItZcctC8XlqY+JkdI1BnfVq
EMa1kcd5oykTbAWLjPsx0t9ULFxOlwquJoGNgrNv2NgLN7zd04ZYrTd8JGiidXoC5r1nrcn5wyoI
+7heH9uMCQQLu6Z6mNc4AajTk1mSQR6Z0u+hGNqjijOBPj75TGCmNmPYP0RdQEb2py4TwdFBPI6K
5Ztgvnhj6gQGhVyhSlW9Yaa/JpEKTsuZFDBAaU5Dbh15eb+MBgKopHNLxB14sH7udDfbSEXWOPKI
zbSUpedQHCL4nBQKKuqIKiS6JU+Tx6xIhw0DGkS+5j1SkVF2NiKBWDdJjsR6ZqKxTPQ1ot44IjVG
gSHVR0OcF3uwriG8DIdQx9VPyvE8KhvBxNQv3+Nm17ZUd10xqbufP/3x5ZxX2PgqCtcm+0yYDHnS
PZl2MuO/Pvx8z2wXiyDG6P0Htv7z0Ix8AliwJK8gZQkAlnwTB8w6nV7+0iqx21iZJeM2IsVSbMCj
afFIhy/GahtBCIBDqJTuDIYQURU9zZzK7U5OG6OoClS6TtrdiPkTPPvzQLDiVSjwxq93b2aXLkCr
Za0ydvLdtfnzUJboT/obwRQGTNC/PyTIC9RVa4L0H8SgH4CQBlMKr574UEwmXTFFI2AknGR/HLTs
kDeZ6v9Mu/8/QOe/igQlnbH+P4QB/wagM/2fG4alf9YH/vynv+sDpf8xNUk2kQhIMOpRiv0/jaD1
P4YuohtU0ZD9r3zw70QdsDnIyjRRRDtInpmBsOzvGkHxf1TLUjRLUhAfWAo/8O98n//VLXR/fP3X
AELprlL4JwWbdo9s0hTAm6Sd6H+KJ6RRb0YRJn6wiFF+HgEkP4TAu1MkSROoOJckeGCpKJWHKPzW
dAymP86Xv1y0f6OmkO4xCn8+C9OSRC4T1+JHLflXLcXINrA2JvtbSabZptbCx9Eqjuu4SCcNpO1m
KdpjqxvkIN/LDUnwIg1O81zHfqxxlMEx0/4X7Yr8B2hINTUknTCLDNFQoQ2Zf6pKBEU2apNWvbxg
As1yoXfFAZNUnhu/iz4VL/mMQaXqel9Rok9VA3uP81FH5UFMpiY8hKVhePjrBl/RNARv+d16Zq1s
hOKdpSoKk18rDTYLHEneHcnuVka7FaZuSzpoiKl5fv4vF/mORvrjImuiwd1mckMhXvlDDtoIYjdD
lysD0VrFvWLMkmfGjNvrhGEUBIKtHLYEe2azjEFQ9TPKHCRqetXXBwINnpLKkM+lbL6Gsmh5/+W5
8Sn4l+fGja6od8Y8qso/hJR916ftZBpFgLvpIZyYqiliHlSivviRCJyms+hfLkpDx3OAnaYxmpen
hhA4ek1KmK3nQjhHIuv8f3le/3JjItQVRZ4VWSTAtP6UMKWigMqAkxIk6qDpS8NRROYHmoDWopbK
Q6/BA457y1spM3w5ml6wiVQuVFXSMbRVOhZ0M//zU9L+Re7Ewn7XOSEg5r2UzftT/kuGI8WTuOIg
GrdKKk0bDTr+Xm+ZS1HKo9VJ2sc8POLpia6cY9OnUtK9BRi1s6p6grCQqAeR5sSpVCvqllEAQTTn
6m5RIlpqq4ionWEUJrHjquQIJThVO1qmPunLLB30UdypZNWXUopodT6npqYFs4BRdK3l1U0It17M
WQFCu3wSRTU6pmDNm66qsHgYo93iOtWU6hb3zDVmHCt2nhK6JHQnZSL3o6ra5QRKz1yW7yRtZE+M
9cGdDZRHJDrNdj+QkaFbbYKbawUiVU7MXGXz6T9fXln9yWn7p8+JoUkS3+dzD0oRDP4/X+CysMwo
LfphK3Om0eWiOuGx3jelZSEsVFri5SmWssYcL3NIFkCprvs1K8tLGpcXAd8ZDg6BEzizgL01tl9t
YdDAbLhAy/B7ihmPE/oZ7rNwDfdxaPyqG6DfSbJYXF/a/7o6uboh1LcQpzBZhwi1Zrnzq5CMXthS
l8yUn6wlHoO4M8ST0PLw86fMiqJdrw+X0aJLrsSw9TtBis8/D3lsnaTQrIIJuKNHf3BvdOUDb+Nw
yvt53na9Jj2NQJqucXim9TFcyr6QfNyw0tPaoQfo2vhspRTeYBIFWsPV6nYRaW8ViOYerBV419aR
aMzczc3NBiwgevAyhd+wZsfeqrOjrH0ug8yxaZaiI0kaIgK2IQ/Y4FxRH9INH26o63KLQ3np1AM1
h5seMokxlI7U69Q3OSYvju+FHNEJS18XoRu2bG0drYR12ZftKJ2ovvGMLyfi9C6m1ggQ4lvTleTS
Okxx0wbq/dCVi8hypKqWAjZ2JMEizTyyTau9ZN6lQ3HSHQYsQWm/LjshVmfSSyBsFYOyzbqQBHiE
OnVl7n7eIx3Oo9PEikS92PUbRRFvSFWQzjQAUudJ0w5pXwV4k06cD9GLCrlxB7AGVmMkV6OHAE2T
5hBLWXINhZH6ObVIHBYbQhaqxhcITX4cSgN7XmgS9TCrG0nWo4NW8xobs1yANnC30MWecS8vB9lI
6UtFanO1iNULKqUVfZoJ70kflQd4RXdR/9A5g6E6FhEAu8VgfK8s7PKpEBWeOaoUBXOeHtT7Q7eI
yjac4lO2GvDUpD4G+S2xzJrzQzqV0BI0KTnPYhxt0hEJ1TrQtSn1Nmcur2DnLBPxEtLSSZI0CZpl
+JjbZrkMhTBfxr54IUdmvw49g6p7Eq8qNsI5QbTy85Wiik/lOnORpYqh+1ISY9BZOy1fA9wxxvnn
AUJXElgm3tmfL1erNP/2F5nG6+jHCRXI/Xswcu/sv5pmu1yth59/rFgivXWzVD2rQCRSGLjb66iL
rtDromterGbAh4QOx/3LpWExbZV4Pqqt7v98SwVCQ6SRtOsUwsrousS+DGPtkV6mAQsYtS4LjPDw
8yASbhQDZD+J938RY2Pa5mYf2gpVUKfol58H2tAgZdTl189XRWuuJ14ePjyJtbkbSaxJ4vzx52HG
kmiuRrlZWLTtbujnkIA7UbINJlNtXhS7dW7qi5VPDL5mq3+MEKyxwa4HoQa5OSgWccSiATGFtr9S
ja5URS91WRjgTIxlO2hpz4i3G7x+QBAD+ExAuU2zY1hlNHhhU9/MZkQF8nsiZfq5X7iJ4TY4aq69
oHhF11MVaJJUujKkozBAkOdfeTVYl5b0UUN+N0mtvxABGg7LC82Rvaoj4o7BpeowrpgJjNulx5DA
nMJNB4tIljANZj4XnoDqTBumPKDB1NyjuomQLLTD0IaWncCL8jMVYX5krJOzmCgoyK5Z/ByH9yaa
cG+PyCADsU6+ZZa2DUARlZULMUhO09ltiSljGrZWNH9jaruincMrHIr3Xhnijcriuy0YDJftYJ4q
oP5kGTPfE8fCF+uU+cYiP6c9uXIsXbj+Yhqe4vQUzgLCC9D9CCzicGdJVYnI14q90IyOOcimv11N
BIlCsCJ6kTQZDVKmTnaSvmrD0F/EXqd9TLf7Z31ac1N5gqdht92bKQr1lZ3qBHN72luJxTDPnB8N
HTzioO1Jn8T8kPNdju46SVBzvZum+V3tSLdWk+40yHDdholFQifNRF1p6HY1vlY1XbdEDjdbScFI
zA+4Rfn6qKM5PPwkZZalUvkZIzLQApYnWomwa2j8IulzrFgq9rx/FzNKJtyIxsWoaeVlUOvpQmcC
il1jq+UVcwgJAylHYb8My9JWTaaWvLSF1CoMJzOhGghYSngOgvQpCiUidtSkdQp9aCqHap+OCjOm
pMd1qEj7Pjangxp5ilSuJ2kY92WVCq/ruqVDpboTHXi633m2VZL6tA6MeinIct9oyoR4oBgS/oK/
YnxNKizrRFE8iUrGEEO8s+gWVx1iRp69JLxEQ2TCtql8i5BaFwLZejGba6ul0i7sEsSh9Vzz66He
ib3Jxjque3NusyBe6MjN0K/PYmHCZUJ5mtAAjsj4CrKmIPbMxIhY31vaS11Zh/h+DijQnPYQXXRi
Undrdwc5RGVa/SIVMnNFsre2ylAfSfasTqL1FU+AhcIQMQMy+SDT2q+EYRLOUl0JhN46S4NCTtqy
AnzRC82L8nRCiqTMDwzPpH1pqGzHJloa4CAI/PqZTFAI8YiFdPWDXJH6lhjxC8htbad0JKFMSFPd
Icduq0uKEqhDBHom3LV6W/tmx8zHTMYsEBv91MABqZO7lKyiBdeR/5vpFyktKh8VRl3XVdCQ02zj
iEXknaYpWsawDX6ePK7d7loP1rGKamEnNuSfagtDr35IxKNVZP4aFdKGBM9xbEhdLcYkUHq0U5yW
462WpLcmXoRjT/tf5ZUtQtufMZ4jo1ITfN7xbLr/l70z625VSbPtLyIHQc+rhHpL7u3t/cLY3YGg
b4L219eEnXV88uStvKPe64UhZFuWEBAR37fWXH7ShTTx+23d4XXyzfo+I+zlOLZ0QEBCln3VY/H/
1dhFeR1KbwjmsPmjmqlrDREDeGJX25z4WZHUGLpoFx6zErc/g1qxs/jyYMGSguRERb2JU5dMXvKN
gy4c3/EGm9t44iOkiHiDVCs19DicTctrKACtW7LB6wNn0AmWGXb2OSHzzojUzkRyGQ2pvRshp265
r/gEqBC8WtRwXSvtLutVFswQ+YKudXecJgbEe2qZzi+SeeEzqp0hXTL2lO8dGkC0mTV5567qjE0s
vQVM6uibHilj6/fZSzcEEIPIJK4a0G5D4Jax+dJ0YuOhQsjpdbyH81ARu+a/GB1seTkTyjfU5Za3
Qx/KL8g6d7zktZv0PxpaN5twcpOnpkN/107mtx6CLt4j0KUCruUWhzAiGtVXl0zyf2gg0NPu0FQK
ldyc1mVuSpLeUYsJ+lp3O4gKKNr4xqlvXmLFGNXbtGW6PD+lmr/r68G5ekU8XCrH7jfZ5JCAlKOu
cY00/yLi8EEbkv6X6bYnag9Xr6noXiIh3zZ54VwMz7cvPsyEHQ0AlIqCC4Rn5DA4F89ASVzPFHWT
jGhyzjh+Uq1/1VUXmJl0oJdmcFZI0r66qAo6HXlPkStcYu4UIQVgmWQ1Brta+NMXRrYfhkrfSzv/
2rAgu/SRjO7WR+vGjXsYuzryL5u0oYZ+maVd/ATtptEThbX8RStTGHwoGMbZ/8NVhqRyOd00OzGJ
a3HQYy+bAmAxGKEaoBxadTSAwC3bYpMg3C+ze2+WH3qNKE7Tb4Il3aNVP4yZ4zxohJbQMK+e9Myw
jzUVHFICp+ppfa6zR0AHTe8d2srUmEprCAChqT6VaQwsRtUP6x7lVYJjPIqZ6250tItIYUdXRVA7
udw5nl3tOGXMx9RBLzSlYHrTDNV8POOwa6i2nGoTR9RIUOANIMBdp0f1M+EEW4aNJ1d40bmc6hxu
FW+naQQJgX76Kui43AnlnTxrcANLR+yPVV08qVToT7EjoK3wBkPlW/uS/GYpjWhHaYoovW65fDwS
0ir3yHKjvPO4/6ICtansatq9aH39PM26vsCLkBCu+26FEMilHh94NHISFkgXbfK8rZFn07aliHa2
tOjJ7LzmMJujd6no9J17JnbdMM7ndVNmXpf/ZT+esHV4mCt2BseZIXNyfknRToBcjo5bwxqp7ces
gtvnchFdmJejhUCYnueVH/AXyWVBeBzGtr4Z4YyxUNpfNB3BROYSHs+84UQ4YkLspJftuihHA559
aUrnO4mN0UUjvkH3sYnlubzrSx31zxQ96kNy82d5a5BSO8p4YYZ3TERHIB5vdRIWr53jlAE3c6cY
BbB/aZtkGr/WWYx410jeNVTqYtaJC0rkC9lJVAWImmSO1ofEDAG2k1yC/g97tr65s3scvP5VK7D8
9TOSU2cOnEKiOnohaBqhrEpK4gg1VoAeWrmBdoZoh2NiqUcmJ+/xMsJk1nCYyj0c3Tqo6qMhklOU
gR2LH9LCAZxGq04HDEXTDClZONBPyKaI1OLpNLht0Nb9WW/1b2X3xDw/3IU0hDYzvBb6z644JWZo
bO1+PPYWJOUMlvMxc7imakE0mI72akH7Wprb7R07/TamKDExpLwbpaNORbUhOQe5dJQ5J0pt26nP
0AyLglQFbpfrJidkuYmdo0j8X+3M50y69lCbzkl4St9hLX906F9tFMJoo8RmqRWVt/XwpQ49+t7U
1OhmJVgxHe1JM0HBlDVYcQIwvo8+Kr96Ke/kZAKk3ptugD0KHQ/5RzsibEQsQVwICtySdDM650CC
lo5JmYs/Qg51NYRIibFLBZpgIqDS+lv6YSZV/lAt1qyoHvP9UkEuqln95MZxzx0oRvBkoNzTaHwV
ECWOZl7+MdijRcPPNvZi9O23yDFvfm2fSql8KqAOQXdZbLG+is1Xx6+QWsjsLCuWwBYSk23s08U3
avwZdeU+pqiqELU1X2VRVu98JVctC9+amnQk2dTfnA6NQebU86EdCIKDCEy7LkbPZ3MPWf0llitG
2nEmBTPXjG9a5gdKGs1N0Tfet0p767n9FJJVezIt2RMVw5cXVqRCCBOdXRPGR5VpqFr0J3++dZUs
D61bVY9SUjEkKCLvUlIcHddlUe7QrBETMbdhftdnFSKA7lUXSr/TBxNKnqWQmRU1B9GAJFer5lI1
VhbYWVMvSo3+5Nvqa0HhaDN47bk0xhh8qOD+Zev3Zibch5gCdaE5QNgIlKD3X+nI/+bItS5J5uMA
0ouvNXOpA526R33GIxwaEq0qYkqiU8Um6317nw692mUvA0VlAmuTPqBKjae2ls+ulQbaHHp3fGv9
NrGpJ4VAE3ZeSkk5QbRBqrZzsVKu/pM7pjUqQlyr67gRacarP9nmiYnCHTBSJOst7z6zkkfPGcLX
MoGqX03k/ZoDYmlj2EAmrSlUNyVIqaQIxJA+Cg2TM4Fy5VlAXRcVgEuDBM+2JRa+45xGBFXf92V7
SzUa33HCz9OJOa3Uw5BlUX0c2trYAsMnZFOeBpXiloVjHkTVaGJvohHo5G65D935dWUz0sQln2h9
2AoJ3rYNEXOr6iv9XLy2+ktZ+HstHSx8N62HaQpAPQQ21pQVrMKs/u7N2feEYgQCxBC9Um/Y3nnd
h5iH60PGpxWoWS2U1zUuad1dN5ZYgNH/44/DBUH8+duDi0mSqDeQ78VBVLgwe+fDTUlqa/EgEi8L
SDGfivTY17l/bJZfWDqXM7wqRpNp0/gNeXqxW5/XTZ8g+Jx+xqzBTSRnTNbuwqyTp0zDTe3cAykk
OFf2j0VY3SEC8M5FbmZb4gm/TTkyJ81sPU77TjtjYGxzIpJZ63o7N118B0487KMomZ/COi82bjiD
vBqiR/fQ0IF+lm7/2hA68ZcgrDHyN2ODUmwSc2ACohjc566hreL33rs+5uWLj4XsZXYXozQCs344
QVjG8m16E3gsWQe2izo0LYkJQLjFocmIhYr1Y6QQ+w4t+QccmtNshRoVbZXjoBhJoPdQ2VBctZ5H
blxVlZ79cv7Jl+1yy9bskzUsvhMjUYGspi/GoPzbEM/mIfOdioUiqsCZ0bhpS1aAkxX0pUdZN6Oy
0mVReW8n7XXh1V/g1B98zuRA0wuf34KRYI4xDrB2Z3hz+sXJ8+YSFhQbQtkWQUu/7C7NipsJEvGt
Qh25d5kjnDIV9Y8+PIil/aB+jCkqr1lhp1DWs+vG5YFLoDiGcVy8lUV4KYpE+wb6p9panuhJ1Iuz
G0M0CyW/31VMxr9FFTWeDqM/iKGPPoofnVC6v3ICI3rknAb3mPssNMlHj9DuNPp0rK3W+Z4XuAYs
hbLB1Smkg1t78kcaOoSpSuzzAh1O1KYEAQ5ISHNrPnYh9vC54NYxmZnJ2KLQ61CYLKsBfWQ9Hihx
tOe2aJONwth5i2rU4RQTRKA5nXbnNloUTC0maxb7f5h1e2RB6ZwcyJyYIYv7VPTihWIbGUvow7Lc
ny42K7jJLOPnRoWYVdlDA4FdKVfuTRmmwH00Y0e1Oty7U/ESs0bYJh2r4KhB0J54fXmwyNJ0wikh
cLPUHsfoOiU2VuCGoHRdAxTgtdPJ/lqMSt2wqYhxRJNl68alMjGNuj7+tiEZtX0DqvE6NDmx24W8
Q1SW0R4cL3QnYTD307UXSfdo5M63FMMF4ts8KKn4PiQ6nAIjZpAS40J57J66lsG4jXQvALCGkyPv
j1aI0kyjuIqlKi72jk4Dt2nifdJESIBG2V4RyQ1BMnSsEtB3k77YHLtu+ohjxRR9aJZEIMpSvm0e
aBs5T0KHtWVVeHCIZe2V98WpCJyIq9jE8TnbVDGqfWcgzgsBuSNGn9/kVBdHYxqe+bamBcPEGijt
531hdBgfPVxsvtsZhzTS573gBOMWkWFbRP+aUh1uS34/Npt3X7kZtnmU6JPeXfpMATysbZgVH26X
3xdEMT3GM1qhgmCRq4bfJrcY0pqhHQ/29DH5w80vfHiGKQ5CDu95ksUXAAXDpXecS2Ikzq2Yhveo
0EqE+eGdG0NRMAcHj/hIy4Y023ufdHDSYFG6zVF7D/aQU4uOjTV0cj+XdXxRsnuaSVTbefbP2iTT
3MaCMkQak20CKHetWSwrdUVlUvOYH+e7bjDdg+PYuG4H9UMfpvgya7YM2n4sj4DHGiUPeTl2V3Cj
BqmFVNK0+TrUnn0w8ZgHelUB9FkqB20OQy1US5RthDDSHYpTn6LOk14tjlPK4bAs6yZzz/1oXpFg
5nao7iejb85Tnz5HoyFvyVQZl1QJ4jYsfQfc1UahWpXXUNsKonjOvgE4V1vkYxMLz5iC3tB1+mFu
Wf5TKq7eudszC9cTvEZJ8VXNJ3J0z51pyZuj0WtmkoQ7HUAjJtKImZBL5+khbrkdmo3S7pJG40WN
6GGwKQaMzXz1rBD7XYupTrAIwWZHKKszc/yY2DqXuPS6S1f6yOx8LIFGE8KxKcCNwUXhxsMfVcrG
FNL5PR2VxLiMYfKrNzOHkPcEs333RMZ294X0zi+dYoR1i7k4xIKv2MoscaiaOcbmgE4tpj8/5bTG
ROKYh9LtsZvpeg/qkh4w9vowUdYdkazwjcbyzRJJfAc2od5OheHvsiokzDpvI05CLX30eIlAeuOM
JC8JD7BQuznC3E1yCuv/S6ti/KD+5FxK5oyhonCU9oY6sMKtrzaG+fMITbwAlnyVsfOm51Z35F71
RqtCo3he1u1+XKYWoqHha3gt9SWDs8/wsND70wBIQA3gn3xurzRNUgonIah3ht4zWr4Zr3faHyw5
3QkmFHfmspEGd+Qm6jBYMSOsdGw7oP+g+js0myspXuCZ4j2EwAjY/0IlNb8gCV7ylbU/shC7ZtuF
1Ytpef29lqYH2/vQ7cl+abXGeZkp+hMx/SH1Xl1dOM93dge8dECiL+YkPHNEZup08kVNlX0jW5B+
ngcYOKRwdskzK7/EUeZtiwZZVi3q4jJqBgtE3JlawpQv1i0zIH6kGwMjkr+cpAZWGtvW2dEzD4TF
Wx6VdA5EEm4dN23zjcPATrnV4CHc5fks0wpvKiULTN/cMFYQ9W86td+ST9BHFP3cZLK2hhb1p4S6
UDPUYXOsOoDhYW+POO5Gg2hoxpfZCKHAWqoabrHtiX2S0YjvC/VqmHI4FkOYTHS0aTFlhTlcCZOf
fW7JaeveN3XT3qtls952Mq5gdCjp0R3vaVoyV6+VV9zcpU1tjaK92rBFIzs+egl3+KRA1DNNIr2P
l0eu1H6lJYvuQg3OccgEvVG/D/om47mwuDpl394RqXrwmMZeGme0d9WcZqc4yVkpxDFdVpcVqI/j
s8kYJi2dZAtiVBm5I+c6qDHB+6JfUzLu/LbIL/6AK4O0v/7IfW/emT4IsYl78wHUybfYhUmve7n/
3Al5LVSjf4QmFI14cApctuKha1n453kHf4cDiYesLg5WU2pn3BhfB2HEQTr4l6qwi6Vr7r75BXjm
HGa+bkYvjRIU7MbpEtkdITeJizzR9H7gEGkORFwMOy02LjF9o49RjwJArM6mYUp6ExXhwdaYEAhp
9zuLAsq5Z6on3FJ8J6B8P8uc7gGT0MKj+pd3WkNv06Cyc+hNA7Zr3fovSeEffNhPYDXl3ZhRT+hz
4yxEU9/XenlPiX6XpkaFqFn/ZUcdisOiPIZ+O71UlKcpLbzIypTHQVFcWs+H9cwAs3KwmHLsKoXA
3wDacsoih+s8kpzxbfpqNTW2RMoZh7awmkcEzsEUkwGmmxPOF0pl9KG+9jHOcMG4saEZ39xFiXih
Aa4HGSRwiJlgWqhsseyj3Ym3tn3CVGSd6pJKRTLO6aZvyvGt8O1fWjvzVJbh3psV3ISOWWsxGzMu
B27CRId73OeY09mj+jEgS7nmTasfpr4GTV7Q2WwSQzt0cFevc+u+xWWpXgry565EOLyl9aND///Z
SW354jc46OJCCoJWfWQCvt6craEihhDxBsPXsjGRNf1+NC9M8nU3nixkVlL6jHWKIUEm/slc0yTW
+Mh1UxTDu2jSLBiRYFhLNmTnVnTu9SVS8vdDwm710zBdKTaX53VjL3xvf1l2rY/0bknkKRUFcC55
3IdoQ89Qg6A10AgFkv37MeYLHM+NmdhIFLJTuACxiwFU9rrxV+a1U1+EqvVTa3Y/U5XXu2RNNxiW
YAO1UOzXRyItF+Kb856sERD9kgbx++G4PJRLckLtcjeKWxv7xJIxKxi0iC5hs+5+buwlgKFeAhjk
kny8vsD6gr9f6s/nGnLkZzcqjzkLMPKT02yhHQ1v66+l63PrC6R6CZNifQt/e8G0QpyFmPGtpkZ6
Lp0BXoqWxEt05bK/bKIlk3hAlBEUPSkuZH0T47WkdtC7+2ca5+duGGtMVOFKrU99Pr8e/r8997n7
+XsmbZ4Ugtl/v3IW2Rm1gwK62PIFxp/f4rqvrREwso3OnPw6jUtpnUOrIUSP6BBzq+wcQYafHobB
8ykdPq+/AADIN9rqNLpjBXF5AZ6vr+vOBWfH+hCQKJkcy0/WRyL22p2eqB+fT63P/05TXX639T2i
E7Cmfb7c+hu/X7McKfxZFfq5VSe8qpJX7fD6aN2sP+gkK3BCb6ytrJ6BdE8nADhUcHu470SuNucM
o8mZedHGiMhdW7/meD3dPr9WfHL9clGtV9IoOzJyl02/bCxnwgk8y5gc2WE810syuEF5nqIeu5+b
9bk8nlkZalTNUxVWuHfycrd+kE+99uQ2GIrTZkQu4hWvOJ+QOqEXQDtfbNC5NJtF1xSPRE83e9fB
ozRJyn2+DqA/dw9gOlFseS+aBy2NdvMhyckWC3tnj2nmZy5BVBbFk5lSgh3G3UQrf0PpHKp7JJAd
TAcmaMbFs1niixQIASu8Da3D10wa97mReHtjSn96PusdGuGvTsk/zNXSWXQJwSjKd28yT33RWthZ
4+gAFfxqcbph/kWoF9Woj+zxzajte2Uk0V1kRXt8FhSbZXgX4s88u7zBDdSGqf1OLY5eOY1RsBGn
tAr5ZnhBNBmbtlUTCGqq/1NtUd1UOzKac0QtKZZmx7yGFlEYZncdl95wp/JN6yT3uuuDEWzDLdW6
XtX0SLuJFKvu3cqaBypmhy6E8hiJIJ48uN/vysETXyr/1EbpD+7WYJ0HPk8kD4nmodeqpx9QyTZY
VPm6acx6kw/Zt7JfjcH9puk4bPNkO7rqh6fos0y+qxFpQb8gbNN5m090cGKDxQLDuMTOHtuY3GSH
C0gjkLgjs+MahfJrLQnOGbpMbIQxnkrEFgmdGzLmT04YPkiPfmI0MZUvrHDjVsAhwFwSyLilm0NB
xvOMPTkjJ4LRx0WPMrN0Ewqpg/ecZcCzTI5cy0oMKmp/0qIuoTA0xXvyguif++KjdA6GzzLLzJni
Vw3gtD58lOpW4MbalXkK0qqDKcO8JlCYkFnTZi0510y/aARiyrZMcQgR2+BHrjs6VlQlDUNe/cZ8
npThb0NHdVu0EU+UqK589nZTTRJFsWRd5UqOXuOLTWLPxqZyijeuzj+ECtRMnTRpaXAzwT9ZESeX
EMYxnMEcEjZ6mHu5mCH17ywgWi5Zgyhjzu0kYH5IWiEFrnEfqup9UpjPq1JiqBgmwA96gEIy3M22
i/0+F0+Ta/8ECB/gmqxS6JENcKlN14BYDw3AyoTghYdmtI4WIi+yjcJkr2s1zOtYja9G1hn7EW8d
wITaOBQgmoOmLkkXikbihWJlvYxYWvJBh2XpQ8T28tx+mQvRPtJVh+HIsmF9KkoxGHaDeNKLSWMU
sv1dW88fBvj1K25Z9+QmKSY/i3LBHBkuWLrRfdG6uKaDHup7+ooIOu3wZURdfPJZJG6IhOUCNSVU
AMfG4F4CLQv5BC35XI+WU8zPMRD0soEpqU0hMx6d08ZH44euBb2SSRuNykTbv4zjlNxwsb0yUPQv
60aN53Fs9Wf4GjLklZLa/Ame1meNBbPCtRqq/SS+asn8K5Oyg889yAdpat5mwERdhQb3qsw/ukuy
VthqIGli9xxb5l1JY9br7f5SzzY9Agx5QHaeTGW6T6OQ+ymb+we9M57rovkR67nPjyZq1dDx7x1L
AZjVxXDyBDmjKmwQ25QCr2uO7z/3m0NptXjdWNn1ZaEuCL+/Md9J9wllROp+I7DMwhru3OQtrxIw
KsXQ7EIQRqExvCD0AODU47gVns/UqWJamOnXGkzx1TYmC4ASckVyHpK9o00OV3ICiKRyMsr+7lZG
sbizhPVY95BfSUAYISBwXpfaO4g0CMbKuxvRXR0J3JBBnkPpwylRBQ0UetTq8I3Rh/+aMuMZZUX8
rCjPx6HKX53hMs2t/2zHDveV9D0X03AX+lN1TTTxtKpu6oaqJOTAczQ3x97h3/9nZbH4N1Sxh+rK
NW3cHMLR/41TOfdG4kvXrI6p8NIjka3VTuWQg9AMvnqIFp/HvG2CZp729iLuGB0l/z9vwfg3t4fn
edxQdfI7CWTWzb+lJ/thrLoEQf8x15A7hZ1x7+JZCrQB1xwD2UdmMD9HEFDtge/HNwuTpW/kAvYo
5sgWyD7KuCi+LGJTvRf5PZCFF0Vz+cRyVb8tKtC1GvWfD5yxCK7/RZDNu3Z1HfcEOnwL1fu/CrJx
M2RmUo4cOF85u8wW3inqw5swZ2TvZWYdsNIDCOrFqXdg97FsSj8goAgLZxh27LC1/G8j8a1ejENO
fysp5lD8sX8hULGh3jdMganGPJDSJqHEyvk3Yv1/5JMa/2Zu4P37Bi4Cz3f4GKvg/F8U+wmeGeGU
3OoKpu6WVgZStXwIu6HJNuknVBnFFskTnPzM/dI7ktuDRewOtLPSKK0d2v67wftug+Y7zo73xV8q
IDA5P7jyHpKxqg4APoZtm8f2QSXWjQDE7v8y1H8nob9MFUno35jlFYFsVSN/qH9xc1n2f7aA3Te/
ELP/P/7kzwx15x+Ws7hHHM+hVL7YCf7MULf+gU+UG4IuHIeLksvxvw1gzj8Mh5/5pokFyaYy8mkA
E//wfd9yXXxh1prK/r8ygP2+fP5yeem2tdyTbINhyyS/3fib0yltKScNnS8fivCrp9ftuajn9uxk
MyPgMB0n2Jdh2b3FZh2eZ98DHdikr94of0bky2w9aYEiWFYwn5vfy5XEvBsZT4NsNB/WZcO6acz0
ouoyO/xes9ozeaOjqlwUANo1W8IT103pMvWaF8mWwqKEj6I+OUKUOxWbTHVQJh1IqqGOzXCIe70n
WbLNYT6Y/SUkSCHJtPChJtFrr5A7E+VFKJi9rZ3QfQDk2EQDQvS6lo+pl59CZSF5ghxH4e9qd2lz
Yvn5XTLxroh2vkTW4GxqQuX3tYCzyesQHdcsq/H1UbeEKjrG+FYNPVltpXNv9kV1QKN8S3vwllqc
kB7Rtj/hZf7QF78nsIppRwwmaUe5M5wtbxSboYeqBzUBa82AnGzZ+D29aDP7tgZt10usXGOhuon4
NFryu/TwuXpdKxHr4paFzMuYqnSJqCjOlOU0QO6UGpdgO7LNVDDjRt3gNg3WwsP6GXxuvMdptjZq
TclbP5zOf9toDSF6/RqnVyIEIF8viQnaI5ukC6YSoxt2DffsUVVlcmvcSxL6iFTZp9Sfz2IJ79OX
GL+8XRL9ekTiG+yG4Ok1QfUZwopUzikiwYmKNvXEjVAlQMbOYTY6uDQ7Z+IDaV2nfMkssfIIdarL
Pd70/3ro//ZNfH47KFesnUYAgEmaoV5N4ZKECWrMGyuAkkV3XjfjaLFMKe1fuksMF+Kr9hw5SXPo
yFqhUMzFsD763Ixa3JI/WUJLney9yb8/r5v1A/1tV5pkNjYExW8BNrNk0yoHSFZHYO3vh/NoPAzU
UnD2Gx9r+WkeSblbH33uiuW52W2so4fDfv2mEXz8s/q07q6b9WRYH80TlEuk+DBqlstyvRj/UnJY
n1zPjiGxv5i5NHftchKvh+5z8/mcGROomSa/q0/RUhPK1rqUueYEriF+S4UqW+I5Pfq1v+s/6VKH
Wjdr9WC9zvM15bNd6k1r5QkFI7TKNR90LVH9ZZ/qgjMpOO3tMJNZQbUstjqkcE32DXl2d1Z9CTlV
88ZNnqr5bHpiPlNYn8/r7rox/IS2FwJiKoAfiSAKVYSHqkf8gOTBDLxxSRGguY5Ae0oV+XxQfeFj
sHakZXtphvDdK8ddVxp64Eo0DJ6J/N5DpjD8jgld3pS1U5T/zkBCONDLE2I55OvG/PPRuuu3pTj4
OHLEnxHCRtgahzyRVwYIVCKFOKVLYKGTC9bQuhbtNJOORIyW8KyzcDrjaKDTaI1fZN74Z6nF8dma
XzmyFCUii/zY0GTTx35HV6/mrh3bX6pWkXLvWi9ego92fYv18m3HOZ6IEXdbMC43tPUHlHPy+gtU
qRrHfu3Q+h2Sl2lSM1e0jnBifmz9Ot+USMB3Xd/eknn8rhrN2poa0329xyJAJWYZ6UABhT+lL6Dq
1ZXY17kKMJc+Zx7hk1HavelWfUSzAB+68L8BurKDecgf/X2H/OQsc/1uyGW2L2p+o5Zk5aKzRF6c
+Jt2yq6VBwnCG8ePcZgDMaYfsDOo7Y6JGUB7mAkanSFWLafCON6bTYo1oqO3MFEhKkVubMeuu0kD
dGeZeCkV0c5BKyJbIk99iJLRAlScnGgJs7xP4+Iuq5hmchHJO+AxG9I0cjvKrx1ABt2o5ou0NZjJ
ljyxfL+Kenz24lZsBxvqsp67PnjDzthNHeOb7Y3H2h4u89JtrzwgubTpqAum09vYxFg1Eq0JvLj4
mZqWuaE5+UPTI+gHlXB3pgcAfQSdgmrlMfS0mPCi/hXoTnog1eteSzzAftPQ7+VYiE2VTXBZtfje
NBMTq5+dk6DnUa+HwJjNMWrk3NnZIcHENkKUxLAU0c/lRWtAFeJd7bf22NYHOq/51mxDGuaSHko0
3JdRAh8HPRo5tSmlCIzD9DKTbW8zuerMjgiuxAMFjoJq21imiSGuM7denv5CsqMfIn96YemA0t4Z
XjLLBFVmantVmosqUcHzm+bN5Oh9gCoa92UCCaWueFHCoh4UwGcMAsV4MYpUu40TiA8z+hlPmXPz
Mi0DVFZ11GUB8VRq3KVuAm+xtL6WCbrfYabha85o8R0VPUwwVFhHYkCEVqNpDf4mBx1ghJQO+QdM
pVVKPiRw922LgliUExDmdeLqVXYV5MR+Moro9ffMwZkzC96XNMFjGTEYQM8z3wdvG3eX0terzQwB
rIz7QNflzzSKwQXmZG0QK3ntaOiLqZ62PeP5UY1cQJCvPtq8rwJ9RrDcV7U4acVSh8n8nZHScOXN
/KS9naAfwwIvTAoU809wLw9uHtLuca9pxjF19PKr8lsEnsMmHH3cC9ymXK7blJIcYXnRbTBj72hk
7tFaLtU45eqM49jd2GF31+aCIEAX7PlUhlAqIg3JRvWagtzrbI20CYiijoVtOKMgZSQJkZoxMJDO
it9Kx/+RGQnDyVIy9HRbu81qB7uFbJEJ7W4mYETGg57tbJpLejd1D/5saDu0hhTe+uFHVFD1o7WQ
wBhYCIcnVNrvA9rdoNKsj9GhAeL6AADGVxr2czBq1h9p49qPRfPSTPFd5VMtcCOVnprUmWCcFKje
F3oT5KcjVVeYUjbijMo7NpoxPhip/8wbfZASmmGrDfU1wfMk4QqTR/crmcwvcwVC0CGc1tRDb2fp
PWJ31Jkytm5w6dS+dwzUt/QA0ajr2jUPBzBEmSSDof4DiyjRnz1pvmUGxCUR6I5MM2ZKa9SUNNzv
ox3eJxr6uVGvrzKckx0rbjJEUwFcabyZE8zMDkql4aZPgPtSWiHqBUCm2cb3mZLNJSaVpHGpJEZ2
OZ6GtAf9KVrE4qm0FyqTHXDrByXn1WJXV1At+7F9H+hnBdW9LNNpC36Gkr81oSZvs4OZdtrVs81v
tv11SbO4NGENmCYeGIq46hWOKYba9GFwmcroVqToie4RZBEoSAqoO2vf5qLdx13xJY4kM/HZokpE
lr1wkWJ7BMjRTWT9YIVBFQ/dsav0izambuDTk9ulWv2zmH114kCQWJzcVxjr/UprHmYaGmgyYjex
ySJEtztXDEcatTotxWQ/lONEeTfyzxDyEVUAhDUYsZEIDjtuT92NsTTaVt1D46GBFKHU6IgZHFhY
y4ODzzDXZXmksMoyR+93II/24dKVwlRFN9le5ifr/voIx0H9e3cAIt5OGlOyZfnyGdf+ucuQWOyH
tngbrYrpd14klKgLgmgGNKzJMolaN7iG//noc7fsRvsUjecC7wBG7lYE9Tw9m7h5MTGiHEPTJC9u
53pBRS0c5SpzDyBRdG6I3aau3zWH2IpexyKjD6tj6aCzTJOPLmUtqmbfZfGPSJjtWS6bWSPOed0k
VC/hyTMNOlI6D/KlA+RadhIYLQVocgX/GRZOHLU6C7tPDzKWd83SuSum/lsaUdo1jfwkh74/rE83
gihN1+iPSPdB4NYTjjZM1SRxT2ep006xUdVzetGypSz/k5Jlu8OTC70Zka19gjbQiQF32Z8btczK
jSVjhGXd9VP1uupm86rwtr6DbClaYtfNpZ2r/ou981qSVNmy7a/cH2AbWryGFqllZb1gmVlVaBzt
wNf3wGPfnXXqnj5t971fMIjIDAEEuK8155i2A/1SbZMKMO2ywrv1Hb9ilBgBzVOr1tLsTZdRudpE
D1Kcwp29jOxl1iWQjpdVrl0xLWcGhr3c56OYb6ZWP9MGNB5hGryEeTYcuItAE0ZPcB0N9fVsF/aT
HYXr1PLvtEJwci/26dRLfvQxKL1aCu88tb3Y+ZUO87VLxxt/WVCk+znnFERz/LgnDUXF1miYH81x
H8hNPhjaPg51ZO4Mnwz3M4mmCokisqQi8Zy1s5wicYJ9fJKFe2sMhBKVjBfK2H3vhe1c1UN4wn0a
3ZRBxdS0WOStRBwybpOY3xrzfWTKhZ1dPFxxa6getcXVpTWveLGiJxcgBIj5BGeCYWhAqkrnGesG
yFgk7Pg/fk15KK47A8IDtvlomy3zRd0y7a3tgKgnKqi5jbEM3koXfcyok+DUpPhVpxy9AHmyCJ0N
rLCFmN1NsgjjMGmO12Yw3Y95e00R+oYDERxE7qR3tvHTapvsxoaPROIN2RGVu7HKlNo2t3jaj26x
K1p03G0A5rWukuk2nREdU3lfD5lB0JoYx3uM/dAXx/p6kAXzf04Ysp60bl3VNHh6Dy6/Phdn/PHN
EYEtuQd2cxNMi4VWYBasyKhcxWOSXhPK6u902fxE6HWOAuI0vHVXzx3xMOTDjZN91ya+OBPEXBB4
xkymaPnoDhoYO+ASHAXIuBnfr6tWnxGCEQI8+PrT5IG3cXLTPLqi/QFEIt+lZibgxIQ7bYhBEdeU
bqdk4FduTHcy8L5BIrqL+9E4TvhUNBgE9+kYQwIj97cJou9aOVl33VQPIEDwpXmldg1vJMTYav9I
ujmn9o9HZ2KOdW/p0P6Bh1BnD+c9w4ebwSjzc+kMjOcQXumdwCrhlvh9AOoZBNpwZfOrdW8Z9S02
HddLbruku3Km3r5B73HW+2w62GPx2RFbuJ0CKKixDzzb9PNoDVZuvM9q5IsoI6mmFFtmzdOVN5on
PDh0+MquXc+NYRyb/Nvkp0xPcH3RAh5pr/U2wjTQcpu4TVv0f8QVkN+Olpzgov1C0UCZw6dJGMGX
XGb25KpYAN0IPZ2aQGwz5qr0KFEU1Okr4oRwg/j0imxvLQvv7Uh/qKnSHHjZcltHcJvRJnBmNt6+
FMQMcNy2RjYC9U4AAydheOWHYFCmwj55Rnuf4ZW+akpPXqk1pijgonHsk3DflHs6wUC+GaYy7wH7
LKeArFnicdC2bab8YUjJEjBCPT0PATUgTaQgNgbbwPE20KlK+usgpR1puJ7cpRDoUzls9ZpYBNMN
TnZRu49ZhvraQBD/WmfAyDvxmZM0vUfRCkw4Sm/74JauoX6tG8NzPIY6fbU3gl3TOyHiXT0U1PVd
QVRBiVKzbD6gz2D2d5tuh5wWo6OJG1ai7afn0zMmW6zOLTFQt34VZzc5LWu4Uuuxg5sSd4BHqzk6
aXlNGknDS+Sp+CENrKtYJSL6IOui6YZdHjU4m21nnwKAWsVNTQuq696RCFpXQY+0L+ibJR4F+nmR
h9WWWkd/cIT2o69ArfRL508v3ZcMc+TBsdPHvguaGyN2xLG3jSd1oW3n9iFCB0yL15E3mJKZ3k/Z
fly0kF2Jc0sU0wmnOCdCT2RK5xt3diKja/jKO+RFxV1sETXsNG9taDSn0h/vPfhW14ngDERPvuor
h9QQImi3oD7JMfIybTXlY7XzPBSrRZEfjcmEXiFpqzf59RQF46ZzIViGeeftaafg6k3hT22ENE+m
H8MP91u6o4v/0uQayRnzLQMyyBCzu05a07hNssDYp9lgbagaEyBVaLDNESNvglg2m8psbsdZ9g9L
NXVEkJ96n50r913rbvlNtYfEhewvRbKcw2IflR82Ild+DsMhQmR4Go0PhhjykJWTONCJX4G4xiqB
Y2xTInfclYACRy0Z92UtDkHu/UwZtj/bjO77mllkrGnutQEHoyrqw1RO76lHsEro8lNyh2nEignj
tKvM8Dm7LgKS7xI3vxky4dwzvB6gGGeEGsouXGuosdfk//5qZyR6pYvDufFjspJcx4P+j6EnFAyw
e6N8gtoB9HdauANkPTpLblpXuPZ2TKDItDiqUT0wmneX4UAtG2snG/NGjcL0DoNs6YDG7UX70uW+
CyxfGCdE8M8112marUgORU8Tv4rkqkZKu+FWdqWcu44cz1kyUYxhsN511K0dwDugL1G6mY5xMmFM
Zslc7KM+/xxBE26KaXjAtfuSu2Z3tjQbdy+Mq5heHPTnhmygvMJJCeK519GyxvLdlnN8ljlM32oy
Bi5jCZ24JQSNlDnc8SRQ2KbPmDMm2MXI5hMqjxI74rXRksgtPAa+4bBz/GF6jNCfZy1AAEpRBLYE
3gDbPsRlkOTxTe4w9vYA+OygpfyoE8JtDBIZ+qr41ejEHa/8QL47TfWAULbYOnU2rBI3xNIIRmGe
MouypobsBvfgdeB5FByQ3/cYxbe6p8XHmeHPGnkes1bzkZnUL1D745UHRJm7f9qu8Rf8CjqMgfRU
jnJGEjohMo6QI3LPIGjE6ih09MT2bSs7Gc+YjHZB04BKNRAINbo+3vZWSKv7vUtTBC09qlYx50jV
/fbTz/JFOBt0N7A8qESVjnMu22ln6fZwX+NiWWtO6XOFscO9g1lpY1cN5c/WeCi50UVYp66iIX6d
gNWdJDTzlUS1j4VJ1LBQYhJYbEIduM/o10yOuB8Cq9zGZgz3uc+1q8jRh1UatM2hMIi8McCpl8sJ
azXmJrOxDbgVqJmg1QBtVN/02m+uhEzjM6z11agtnDm3AE5J2eyQz+F7EVUVkv4EX7fPRdYJxget
lnsi3qLHFLOPbB3OsZL+h5GSeTO3vkCHTfxC0PUbCV9zkzO13RZ65Kw7bjTbeNEDDC1EaxyA1kEG
5XCOG+LVuM1rmAws8zpZ3qWlcks8xcyNVDCYh+CxggU6UF13jCeLTv7GHcnb8mnWMH2o+1OSPgj8
H9uSN137Q2se4oQRalaLGz+6GfPGOTcZKipYT/kR1yU+v0TuAskB8ALE/FgpmAJBDlnTbSPNYNIA
uJr2Oo7i/JrCxF7agYazzWzP5CxCHW8HQjHiMaUVhF23c8Wn6SzmXWTke0xe4Y2Lx2id10Z0YFS0
s2TEHiE1cpvMPqVjWA1HR/jM10SDYEbMkMikZiHm0dAXLbvAwNZsGQZm+xpIsBXqZ4gXzF7OHqBr
Qs+TnZ3W/qEjHgzbVHNv6ITjVRWXW4n+y/2u2QFQZV886WRHHJzI0k5ERa4GoN3XopBvQz4bXGXR
g4fjkuNW9EQ2M1amQNpm3+x6RGBbzMS+FQUZRVPx0RUZ6Ukoqw4BLEfqkSWdE6u8SlwGF3ghmg0e
+fQspIC8UKG0GulYHjOv0o8AIs+BSG+5J0dnvwvza7eAj6Rl4qbTYVvxzfbViOiCIIWHkNrmdYkr
PJHfkgV14GfkhLihVW9tv3NPuRcwSRPag5Om3lkt/GYg/0RrUrKk7OLWwUq3s2XB5TxiCFkXOOMT
6XnXZuKWxOwe/T7RUKS5b47TB+B72eq89G3kfDgzqceOOnItkJb7WkDDvql7XdyklvlQRWNzThME
eKifO8yGtP6xHz2gO5EPBHZuc7wfwcBMtRzT5ra2Xyov6M+wwcgLSRvzSvM6pEM1WLssT+vzjEXg
KAJcUmVu3JmxNpKPEnOuT6QxJ+Ns7Q0biXLOgVvHLTYQrU99MkBsOJY0LIcZqCKqNIJ5uXYhCgzT
U1bMt2PL71eI8cMeoGubHNSbMqrXWjGhBot6H0mUgRE37T/l6Nj3KachGgv9cUAiGeeQ3yJh3DDn
Pc66x6QOo5I9zAzO86MtnPY2MHzSNytys8q2v6VACMYjSibq23Z2dkuGjYAzScULeugXm1qzuBkw
NUVciPwWhfqxKrgIF2Avr4ORGQsVpzu/4ySyhiZjmAl3qayvPUqHiSPNTV5ZGIWxtjW1v9fSKDlG
/iJtqzuaJ3WQ3WbTcIuCeDjllAPbjBQqQLnJsShK6jQD5gcbf3lKf7U1JtIFO0ReExdPwglo8SCM
TLbgk8iqw6LA9SPgdz24v5K0+amnbr3HWvsRTwDy2qG4ER1RvjIFW1eHNda+Zr5pMPqtZyzFa0SF
YlXRH95P49jt7Zxbfcq0aScL4oz7sq52iQbJpvZQPZpR/1I4zVWvuVAKPPrN8+RV+6kwgLaj/D07
4FIx+QPXFtD6RjhV58rvn6ow8K8o4D5FBveSPCQkPUkMohB61Gka+XF1dXQXEzRzbk6Ontnb5PT7
wqG2a8w1AT3mYquv/Xu0VuIgHagOmqYRP9Gi+ip7Kkq10f60olGQ3ugRJeyQN52WWwsa26rt29fS
FW/6JLp1OMn3vmdk64/pVn2P3q+xj83eq4xLTuAkyg/S6J9jH8Q6kE2NttvtHL5Am4t2g1bPXAJd
CsQBnVuPxtNJdPZTlZ0h2o7fbIf7jmzsYqc5/enSy18qWn/0/S4y8aUhGIX9U0z0B+qmpdhbLLUk
yHj9qW/Ftg8pwggM/7M/kIy1VMq0AEagjxTA1gZyh4xSL9a5t2gQ1HbathBuiFWgeAiTI5AUWd0u
xCQeM3y3ERwjosm3iZ0MaDKj+6jHTdhBhANDQxNMieoZQ8mDQSIPSn6kCXrxXlh+T1lWOwTNLVrf
fB/ROj7JpVKm54FHPE8FLss15Ckyy2JTWyGSzLSTJ7WI8/Qm7HDuaZRqTqD+sZGMnNwFXaxzmDXM
lB3znh8Lca1u/eLMkhQmOwHnwVwGvFVOjhVN/2IDVo4yhotZ4zzxC/HibDrmVj9ShJ6B5ptpA/gD
rXYwc+c1gWKuqIM+Gylm5ogEGfwu3P5I/qXRvpCrmYKQZrt8E7X4knl/PQbzNt1lk3j+ow8dQmc/
ZMxGHJgVJ/XN1ZpYdN1fm2rNqzDENoQgoL72GAU3mTypNf+fNbUZLzuMVN6nuatv4prEnqKClcWF
PQdYCi9NKmgaFIRVbmnOZrCb/qQWDnev44wG2/dod84+870VErHhVOV0PtVCbeK5ouWVYvJCj3w1
+Nl0bqNZZxzAzlg+27zUNKnnLzKMTIkUMq7OVNVpGtOtYMAL7pN5H3S/ttK/GZOlbeOlaKrpLDJV
L2UM0p4CfA19kAJhoLN8Kkz8T2otW9biMnd28G0vjHAaieMx9l665euIJP170VUL5WfISY5ffj9K
KRO5/qkQU0n1rQrIEqs/Bp+iGQZXMCvdhFDmn8VgiaseVe9+iDNUIw7MC1dVhGkOEmpupdlBG1zK
iFQyk9G+syE17JRK738Z4f+TQMxyF8Hif2CEY9ON/8/mPRPd+7/IxC7/+LdMLHCRguFDQBuKHMsB
N/wlE9Ptv5R4EDD0AsjWf5OJBX/puo64jE6dqTvQY75kYs5fgWXoFvHYpm+ZumX8f8nEPOtfgdg2
Me625bmWySd0gJlbfyCawUpXrYsR4ook7KVkrhZ0oqx53Vnw+3XPRBpP0R2ZC8ERmYno6mtbPdjp
UHYGrXQvrh0szCXpmjjsChsaK3R88lYbGB6IIq0VvVeqpDlUJMrRi5aiyZJxN8barbp2q4WUvl4c
EmvAhjKtlSAlalr85uoHpLYdMzxbY43TlqgUiHNyhanwoSTMeD3HxUsu/O/xZD1QpdIPJQiECuFA
JoBSTYZzDJEAaFhFypSJuFtXz1xAngpivq+kLI6aNAkV4TKB26XapTGtby8C1BrZ/r1M0rMd0vFF
uC0I+BPnOpi6DXEH/XYM7UOHKIQELWrrouDmFJf1pyUY/piud1dZ7rfazx7aGvio3r3Cu/Q2plNX
fEPaSD6WYY829F5LaMy4TnhVl8S3w2L75VKrbUjpG4mG5gGfOlHFAK5PyaSW1wAZNAzkzmtdTLdO
Vt4bVvLdQXoNBLNYGshoHsL8AL/G1TXaEv13WrPMqG1TbkYKHcWYzvvlBbu4fYVpiWs4I+mGLqJT
cL/JsFuuWpr8uyKpCA92sDkj8GeMXj4ITRDJJ2i4LfdylIFxV36vUFqvRi8q1pmLUNsyZhyZzVvl
+0/hVD8aNUPO1nsGLPnS+lgQIpkegsK9DlByBFlqrrz63gSJprVETtjDeh4rWHUkkMVR/aPuyHAS
VvmDyLtRkLjAXHmbu+Wxk/JTSooAlppQkeiYYS0st3MLDqR1Tn2U4FOoKAYkRMCHQAw899iQ0cPQ
lIDSoXTQkdj1L5MKK0mBRFfEPR7h6D6Aj553xk+HmBkzr56KQRIpWi4lzNj5VVAGdVJQA11Eqdrr
xpUrK/QkfGnC3DYASdiXXs+J18TfE1lzw0eStmtMhBEe0UJ1TuGGSKrKIZ2mkc1tWX6TukUaYkXk
oMH5gDRRPBqvmcmuQuTFNNJ2d/oQXlljsFvOp0oXB6ETqGmAscr1luLtnN8l+bGUGu5ipP2Fe9I8
99YcJgLYZ8h5dqLtpcA40GbTjxn+EQQlQse5m/W+ru+7jJZ57/CfRnHfkB8Fni57aYzw1SphNvcu
5SI8WFECUUUWPf0IMtvtTr/T+pPXEclcZ8a8rvz04FgmMxh49JwQxI1S0nCk+4P6G3mTC4llALga
N+RG6hBMEUIfgxlxj0+FitFAvcFGfdIGaDa1663IJ7+DmkwLKA9vHHA/RZS91gExYn12aCyMWPrE
rA3bTeN3TzKjPJgHxdYuOZOpwVH7c/OXqov8FTMgF1EOcxa57uBuNo9yIGqs87wVXYGtnJxrZ67R
viDPwMYVMV63ztgdzjG4PnaqXppYcvH6Mq+afvEGb0Vi32kxiYlZk3wwLjliZsA70TyGbvrBerJq
sWb7mgbrJuXzHukwZTuLCVdSRw9kXA79Xg4QRsTyfZgOcKBMzFQIckYQhtC3HMeipMhwMivT29bw
B4I9f6WdRouJll/zhNH6IYgq9BUGv2lSge56cp8aBlFJ3t67VvIibSYkbRhgLe+PUkP/qgt5Z6Ka
9/o9uh2P0yv9Plgwg4rW/dViyoeXQ4BwpI1nN9cfg5STmdJcvfE6+VN3bnBaHMbIpzOQ/AwNBK9V
Lh/oCRDCUnZPhiA81p7MbBPMZUyAmbv1Z24pIDgeh3j4bC3xoFfD97HiQ2IRv7FNaK0dqC2++cb3
6HcFJSwVCWG7L961kbAxwDKDaT8LZhSoZPw1bZraIDRyyPWHkJuAN0y/AIM/SVmDPEh/jVF5xuG8
08wKzUrE3aTrbGw9YuUlwcbLe8JxrWyV1tXWFJR7CAQzHTwRffms8/Km76VbPSStMLOI/0VehZp3
T1Rh8Al44JfZx3fQ8j/nifreGPu8SMI038+nLSzEYj3PQIS6GULHYJ+jvDxkqf0aJvpPLzRPQtiM
O2eb6ZntXYXmsAtGefbQs9G9ne9QOZxHvYEHN9R8pmqtF5TvzPydVifJHg96iMK06K6AtY5ZcWcX
oWCfadwHK4f0XoSEAoRBZ+zzvLzPh/xnlFrXZKM1OyTI77416otU8m4AjkOMHDXvud5ZGqU/I45/
QhlCIEzPNFy8hyn1JXqvG0v77rYpwextcKgpNRLqMGxAo/aUfrwbwuw+B2gbYBGRa5TzR2dGL+OI
tcmf1mJgAN71tUVHAid26+nfyrDziVciJVDzp+NYW2LtecMRNdPVqGV3U8xwguwlx+MiX2oEwdLX
0J35wSh6UJ0pHJWwXgMz4HUz+1ovob+mHVbd1D1U5FnVjvc6IsBbL2d7YFbGvvVDaxMBw4SL8hbJ
hFzh1voorOZ+IB0hStJ9UHwrAUd50/gzGLutRjEsl9YzQsbHEr49ZJ3+LfXCbg9g5tRSIe17alxC
ax/qCJAll4ZjFxyM1gdqORJpJ8wHm5q+H5BuTO4aumGK7g203AVrYvJHfvkU1MGurTKq/0RWukn6
Us2ciDqavsoFHQIdZOM5Fdc7OFWaICYdqgDa6VmX9DI4b2BKITGnLNbPM1zJvP7myKJeUTqg6axz
5pbhFF4xpFhLoXN34wyxgCVEZX5wq4WaYZ8GUPzrKpmfKQmdG2SgHPG3xIC+m87uD+gte9erwRhK
7QMDg7+uHABXcYA4ybrucqxXbZ1/7zCx7kWV7v0WaEKGWk7XM5iF+Onw4Jcmikpz0/eE0FRJ+eRW
/MTdon63bMIsaPuumqb+iTqK2L762cqIIkkrUh3LPCdym/FQKDR+DtazGPi5wmB78XA0Vf5zMsBK
sLzwNVsyT524eaPrfDu5aM4jkT64RfizLBt4FtSWRi+dN8306nb+CYkHoEA94XoDBMEqxg+rqnKo
C/pNZX1gHl3ZMn8ygspaeW8FHihEXpExALbMuSIWdvvk2zaVtkJ/1TSd69fAmRDq1FZgpnJh9V/x
7iCPMbwVHJRqxRWTysVI76mXkGvcYg0w/dHwq08nuLMC/bt0/B8tyVdrpNFk0PtkhNvp9RTj9Rfi
OQxiwgBi/Q70IPNXkA2+FYOppdmH9sjeaAuSZPSjWzM+9HZ+7HViHMcseiPd8YNki/c6m29iK32g
5kZkhH6NdC9AMKqfLVIbO5AyDZF+OzqOJBjG48tU0muGhPw4+9Z3aGBn4dCWNfKcEHb3CiolgfQj
ocWJtitSeSdF9IpcbdqWGdWz2uK6C1edy99GK+0nzYS3rdGja5Bub8pk/Oak5KgVXXUXMrDmqwCV
nOg9b2TKTSiOboWD83Us9oEJWjz7URpGtwLdgkSIm5Y/fabukmhHza3xyLb1F4Fp65wZkeNR9oEe
iN3yO69l+JS0XgezFtFmGCfXOiVYBDeOtfaGe2FRPklbLnBTnD/QOOC9u4g3IPtvlQ3he2THKGPw
5GoluB9nAkNlt+KV9Ipo59afWL8fUq2mRpzH76Mvv8H0/THhUzRRuTDS/gDfDlRTZ19B2nvoNTte
5T0uk2DYD0RjHoywfzDMYj858spowrNrOuF6iprvfQRgT2IjgzWZCbQjaXpIE++bmRZn6Du/4o5b
7GSASzEp3hh0IkYG9LOZ3Ruw+9Z+43/GHb0qvZTXhp5RNR48Ck3uR5cTxFd6gGuy5YY3rrmPi173
15FsWtp8xdF3NXM/6TW3//7RFv4HFrqYca+/54ILOw1nt0f3T7cZ//ettyIZ5pMLzoMVA7UO72WF
CCKS67JLt6GIsy21kGyxe9xT9iNdNABqRS4GQ+bn0S6fpiji9r8OCygN9GyW1hSJiPES0Kal9pkB
wa7paUvXznhM/NlGkWrezrF3K8FNmXRcNlPdHruaxhotb7BYxW4w+yvAJo9mI+O1Nggki+bG14NP
O5oeWit3Dk1f303SeNEr/y2s0istxZsCMRBKKO5Qt+xWOUSrGen6WmpE/Sb8prrM/UGj8D7ToGyP
SNmyObmKS65QdfBCsBOqc/zgWyshQl737NuGqjPQrZfMi7eu7+zrcAEDyeKQepDKw6dU2gQF5suo
1kY+7BKGUCcSDnFy3RPKskussV9bYjxYE9eoICAWPHwLpdEde0Kl4amV2/hJ00mZLj0a2u3kh8At
ryyJcDQsvGfLjl/8cFgL6d2gzcCt3687kf/sTZwKNVw/85U+2M8kDn9Es/xGpeujBz0V2Yy3A//E
/PvOrrxfdVYhS/dHSsSYEcHzrltGSHGASt5wPlOzPBrGeNUkt6PB/TIKxd4XgLnycG9Y/aHGe8qv
GBFaLyexpQEEtk9UT9TJT13qOmQEM6kNdCJ1Zy9/L+rFGwZHmxlf/BY3tza5nesIOuk60OKrLske
CNgGIDjFP1Pf3vXRk8N9D/zlJ77x4jTaiXco0f7Ei9ZPLTJVZlCraRdGiOGMZKs2i6LexxXn+jgv
hIISZGYUThALFwsYgB98b9FtnNTy2JVDvQ2q6of6v3wE+EQ7JNrQxaaEoR4Uy9uXIfRSx6VX/fXY
WJk9EIUR3tjQV5fP5C9FjwG537RGH4cQzWzew+UxtZD80ujBtMMGiLNA3iTdtT8DfqHtBUREW8wo
EX5j3pnow0FW+jZoY3g0yKGLXZe1j8Pi2nEz/1b25FfOl2KMTLKjI7MVAZX4fLypo1yeQFn559uC
XYVp5ZD+gwykOHXLHlBr+Gt5M7UaFGNBZqIZEtADd2kRqAaKiKO0qmpbaFEJ/X5fG2Rtljm65LX6
Wnmr2fP2t1X116QGJ0BcFyjLZXXOh61busmiReGAtu24DttlWPeKqeqk9txlL9HMWQknn0BAsUPU
XskWn1nbGVRdlsfUMVH/odbUY5fTQW2rBRJ88LJ9fKgB4XTIaNSBT0jwoWG17Jqvs0E904yS2Sdp
Dxu1K9SHNAdUQAyFhclom3LH5NQf5GxuCU2IL/vXLr1hxh9s7YogdDjrKIGU+DqseFcuDpjOnB64
wJYne1kUqeuRg0C8SVRzWHXmQBhlWtwslHbE//PGv30GtYqnuoSgEZuXv7wcvSRGiYr90dyMy8mB
U14g+dcECnFrMz7keZZcdu5IuS8jfHYpzqk95pteCCvvjx/UZefV8Y1I9r42t8S8IhjYpn78XevR
tX7tYX4iJ9PzS+5xHFC114Q+3BUNnhb1WQbYw7k760DonGFevM5XnTQRfSznmnod9Z9q7b99DDYH
ck1uNxt1JgxpTi0BL5/63OboYokIzdXX6bP8Acho/oBIIVlF00GdwWPvSGRMznoGTYywLz2ECuD0
374vCd3HkLTWdVCiSlLvrd5Sfdo5vfYZujE0FG5zvJxJy95XZ5La/HpMePZ2uSI55uxtQ6+Wu9jL
77xI4ziov1eLr1/rb6foZVU9P1MGPQRLHWTZ2Zd/6WJnr710bbm7HNWyjloS7Zrj1y9cfT31L+ox
tRktZ6E+DHQ4MnaTl+zUc7Y62dVffP3/n6eg2lZHTa1d/kdtX1b/eF5t/vHY5bStatf9+9IjCkZR
Tm4fo6rtSSo/GFih1zqQz8v+MQOnJ8u4XZmTuUux8vhOy2xouaxK1/S2rndbzt09DBHKlXiCiWee
dbGCU3hf+ohhmv6svADUGsnfOYt27FdGYHbUiDK9OViajipf6w/aROtHLUQgaAcZjatDD+FBLydD
gtEe6GtPeB2jsdBY+yUdz8yteUb9/b9fLcGN76QP3AJTGuGHT4gLUYItizCR3AXUdmi6wiVmmkd7
EzV/gulQWqOMdhhtorN6Ioq4Ubi0OdF49EBXuC2pRbDcNr42vx4brZFdrJ6+rKqnfHXaf/39f3j+
65WT0RMHuzHT8cqB87n7+vffXu6y6i0f57dHL2/92wNfH/DrVf7dY1/vrp7Fl/69DBs/2luts/3j
ya//v7yduZwcf7w8acQR4u/u+fJyXzvnj7/77aN+vQzUTZwr2M03X28FZexg5Pob3UKEmBeT8Neq
ImuB2AkAJeMh+af9orzBaqEeU2uqL6M22zHb9aGu7S+MOsWsq//h2E0KXBdl+KLaMYq2FM25jSgq
mUKe/baNDcBdU6hiEKqu+3+C6xSoK2gwlwjLuFedGaeQMM5Ug13nBrd1WiY1tB+5rMH2ZCzmWdRp
GTv4sk5PiPWW9YvDvsuGiLxNf8t8mY4QyM1Y3146osv9SMdvJZLSPXiL9yYHP8n+WrQFaltfeHdq
ExLg94LewfbLWqzWGEnsIXQ3VCoTUMT6nOwipjb5qikRvqMXx/q5ABD8xf1d/bP2x2NNo3vMQhHz
t4sppVs8KmohF2f75bFUH/cZAid9sdYvfzCQBLyPoR+p46ns4WpN9WW/HkukyTlAut5qmtLy2DYt
o19n0amOc8CqOsJq223Ml1CgzlbtNdVtS+iM4PRZDvNX922qyIhgdk3FeBnX1ctCrakj/cdjuANb
CoP1Z6pu75cO3GVdHeihpKbWEUypDqc6xOroqYWrbkWXbTW+nBl6lV19UM04UjHgA6rVqaAjwjV5
UYsk9c8hAbaqjuBF2fF1RNWDKeGkEPZJ+NN09gDoWCLQucorhKCtbFrD4thS29GUpniO82enneoT
uUiCHCCRdsfJfSOnAMWEkk38s/h3j1GBIfSghTq5NPxVl18tOhhuVCXJ//l6bFoiwmG7YCfXQxu8
xELUTz6sKKiO1CCdLbKkb47i+KvjFKlDpFZ7LiGhSVC70S48wq8joQ7M19GJkd6uNW+a1uoQfC1U
Z/Rr80KTROm4zabspzoM6gD9u0PVL8dHCrM6QOHHRMeYsnKDnV0V7h5TgjhdDpH65fnp4KwBZNMS
iT0gf0tFffKmQxaWuX7Roiyj86OD4tdiFEozIas+QzoJW6WbURoThNQoUtT2ZTWIPOTLMfNntQv1
ZT9e9veypjbxFDF3TGiAURRFQWr62zbzX9UFUv1iggmW1FqtXn5Lwk0wy1A/q3xa0y76MdKNRYrV
nCtDrBkmZDIPLBRxjIexlFv6lxSa1bMKkRkSKbN15+pFnUtfeMqvTbWmkJXEAdF4YAChzrR4keRo
C2bzf6UVZZd00/8krViCt/+TtOI2o4shin+VVVz+6f/KKuy/IOoZHiJxA5aOE/xG39EtxBMu5BvP
1FFd+Dz1N33H8pZnPMNzfcNHP+SiuPg7ft2y/nINh4srqg9uUg6Kiz/i1v9T/Lpp6Og6fodb8QAS
DTMIjEX6gTj9j1TuZsj8cnSNmrmpd87FZOJeg2HsZcEmD+MXCW61GmdtXVG43fTaY+Zj/BY9tDbc
eSuVKwYD112Xmo3PZgFZ1NAd9dS2j0GoEZ5nI1Cy7ROY7Mba9uYxlmVy7q098yjEywN0Etl0H2Ot
UxhsBV1+ZtrEnWwWY3AQB4h0XQo9s1UEp9ZHdpvGI4Y54XpcLZyXyoF52LTc6xsyD5hLjN5JrX0t
AETAl4e4v2Sueii01VNmZBCVpFYXJySa2IiEIi17CXKkTdUU/b2I2spERRbCMncYM6jNDAPNGhuX
uf76Y/WEWiTLf6g19SpqbSpbBHFOuTUoOKOR+BXDFVlrPoLWWc+Ls1roRk9bYw7dg4Pj2Z1MoPet
Zp4ua53YFFTp1tOcDevI8Do0yfM6nRHd+kXAHCEItHvyLbydCK+w5hiboWXW4Vt0Fr8WKd0SnNeZ
v56yRWsWJgPatoDmlumY1RlK8BUlwHnb3hSuQz+7NdN9iR5llTbFnSn9T/IWuG3Ws8Ton5NgUOSb
OCGJZolXCybvPgRcsNFj1xcrNMPnVpSQrSNv4/va23+xdx7LjUNZtv0iVMBfYEqAXpQ3KU0QkjIF
by/81/cC9KpUldHxonveg2SQIJMSKeCac/Zeu3OAvKIK3PW1kkL1H+cDDYYrw1ksDE1HStpY65ew
1bXLOOAMR4cb8LWFtkpgRHJQoyk9KkQgCiKzxk3VadGVMn3Bey8uvZulPr/NBc8z8ZLmuUmM7iqY
um3S6h/hMBMZO5IuWKiqfqkVHmoEb/iGVRqXqrFmOvxMLnHWP0xUZ8bUna7ssXO3jSUV+spWdKF+
wtmJQ3E3ZK48DKZxkMTWXpuR22yivOn36PdRm2gpRlOrIfzVrInEM1uSexZZrJ4PV6gCTMD2BNwO
oyShs7Su1Cy298KZn9fnyIXl21PUbR6QzLO+wE5sh8QwZa/x0S8TMFecTPzWrYyee2UpPMdM38tz
83JjY8aZdEv4kTo/2SEsoZaSM4bKYr5qBj7WYMd8H1ZGz0L5JJwl3M1TrZ0GmPeEBHQX/Ntc89Jk
Ak4SA4+9Lf/j2NC8NljrCHVeQMwR3lTdVQ9kXO50YvVoGrDdlPxwFrTL3fXgzw0mO9qVFnAS1W49
a9FraSY/OWmn8/pIX3BDKWxNGr1YzG09JLwzDrZ1czdb4dMYUyTm3NDP8EtIYGpO+C/1bW3YtxnU
BwOsAwldmbJLw/7aSN3x1Fnknrktjj29jtnfIvxF3D/epqv6MnF0FE3521oOGejrH0rX9r5Lpt+1
nLV6WgnWVZCvD4TXZ7P3iYWxPyEQG076cjNk76bFX85xjXZTLKpLhAl8Fz2VyzQbD+sht6lpWrOg
IA9Xa7YMCdSbF3VDvIovbfq2akkOdlOnLdXmRTiLiA0Wsp18pmPfb6NlCYLFoCY8BMjxem89Njo9
1rvM2ktNYUMQOPBsNPuQtxQoq96dt2Yla/xB7rvRuNlOLgvE9Vea8/BdixuNTM/lm+yIaCgd6tqs
z3EVkvhFeZ9KkytQuFizRk8FXBXeQFQynNhA3SNWM5TrPWMpK4pVE42ytToZy2KnVWsbKO5uDXeQ
aqFSTDdyonARBljhIS7qfda50S5H873rk/bJmCf7VFPG3+klrdeALz3u0arkyiA91A0DFQwssEyV
/Bmx4PtDbNNbnAwAKXJGXUzMeF9HOytWfheLKA8ShdYV1kGxlO/yi71uC9eK01rU+imekmoCcTZW
QCsr5GL8d6U0WZb3rdpVu7W0u1aDbQteo7fWiINumbywnyPawnKZC6jv8SIyVhbhsQlXgI1HM/ph
a0wnvdc/dSHULZET5s6Y5R0C4gAfoDQOXUeT8NWSf8Jl6V/nIViEeZH5Cg8RHpl0rkDrr8G2iBw8
CE7SbNdXZiWBE2Pllt+vRtM2+UFQyk2QdFuRJ9XBGfQYpVO7a6YjoCnnGOcDkhaGQ1DJk0Kmmvmi
Z/dDPfbHv0qa68P+u+o6kzQkcZuvX4NM6GyowXxYH603a43SGu2rTJ8+hkLrvDmxjZPJDmlrVXqy
QWqpnnRwARu8w16mzieZLidoapX+PIE4anQil4Ma7znRrO5pvh6FQREYS6lcxPoOyQGDVZJ5qCsE
CZAZv0X+rPnBUsyPbRO4GhqImI1CsqDgVIq2oxWjz2cVoPbRg0pO3q7L4QO4yUCKyig6Cvm9T8YH
X/hygwCdAaxcduTConzgLolA1TFCB792JvIE20YaB4fMZi6ooOiuDIgfJMR6bz0m5+5ODTEbr8Pb
erOyIX4eqsuQl8cKhcFQNH5UhsytHbjR5eoPVY3RYL273pD36np5ICwEqu0VNkiHWp6GImORxq83
rUZMow7sZB2D8pkhPULXURQulRagUmz85i3ZGW/rz13H2/V3+evhvFRuiGzerQ5V4UIvaZ1jkFbU
4foak8zsZC/SMomTw759Wm+kkpm+zPlGStBRV5qo673eIj5k/YXuSInOuqn4c1GNB7RPCuAGld4+
Z2ZEhHap91xL67X53SnC5Z3TEo/b7zrxENTKsbI2SR9pO/LDX7OaFFz+IyFDw04KnYG5hu6IaA+/
ybK5XJsV+QqL++lbrM/8PA2XTXYdQdLL/vPn8HovCczqKPq3FdFBmd06DAFj3VL+WlkdK7Xj5+H3
PcNOj9j/SJ+3wbevx8gZpLy+fo/V4iA6JzXpXQUZ6QafuNBxMZB6ol4lJOMSQuMe+4r2bSjyaRs3
xR/ypbWTphjaqa4oQ2iuezctdYtsqTqt95LlXrHS7da768Gf1/x3x4Qc4SYpYQreivf6uckLOAS0
XjH7/PP4X/9/fcJeql/rvW6sFThWhvl96VVVHg8361VYNzZZPM6oLwv2Fb1u+h2ImzpQs8NolAyL
/5pCfx6u9/rZjIgSWJ5eH6/T7M/DHG1f3sNxaaGAYQJVx+065ejL5NP0Ezvq9fGwXEeW6SAtlQNI
98V+st44KlRsTq7OwbA5eINRdVfrzYjs1Z+YkT1wP9KvNMxOAZ0hZuTF4zFN5N0GcxngoezpOEyh
xGJ+MMl0OcHjGmdvvUsuJcvkTNFwa//11L+9Ku6SgairnLlyfVUBZb6sjjNRevN2LaWsFMSfcic9
KwhL6+MqtakhrnfZtdR0hpci+spP1CK7hFC99FamtTL88y66tFBQibHPzvjqU79cOxfa2i35fvN/
P/LzlmteyPqO67FR6s6xE2QBUh//61UR/d/p+5nvu+tP//5F1peuj+Na8Kr18fdP/HkrNSlqT3ft
tjgLMTFA/OuD/fVbfP/aP0//vPv/4FiZnxNRq02/YyN0nIMJYU4K/xstou3XW8RR8wEO/+NYmCPJ
n3gMR62+NhOVPuhA6kM/F89JjLq1dKvntDKA1rmztUPCZe41OK8yHatfbIW/WKK/twL8O3afBJSS
QsCozsuhw4Verlu5F8voabTg0XdJijoCI5WJpHuTByhppbSnbYZXGjdr+2iUMTONQ2dpZkbBY9M/
zgMCta5WX+zSnCnzaiiGxDksEtCvcQNcDzULnSFgHSO7gKGTu0xh4rOxxw5Tuq1Zn4LHSBquhZYO
tiwirwe7uq+K9k9ggzZwRsSNkdq/6pgBt7b9y0laRDpVQgmS8pnZNLtp1N4MqBqbftcTF8dC24mh
GyjGUXT2CXhLeUhlSvGL7y2T5pm0nY6hL36NnLa4jqLfw/SRucE+MYoARbDS74BxvLQ9zWBhREez
ZkNalOMpNIy90VY3WgU9IQ5rBbl/99sOMr9SXWuvB1QkUFztQmSl265pXxCT/4aP2NhLASOfmFv5
rxsoMPfpGOyMdGc1U7mRFW5HM7OJrDA+0iC7cylNPPf5h9r1244l183UofpoWOvWpMOgnbmtKT7S
BTB04gBFAzalYMdhYsQM7TcYxapvFq48lmnW0y0xQ6KaRwy4UbsfG5T1iLoxX9ABazKTqCanfVdn
GfljEz7L0U3OqQI0ksJJ61dsH7eF1u8VM7WRqFjbkSDeXVzBayQU9j3hTD8lzNQe8tt5p0bx4zxq
T4HQ4ZzpCjpaFqCYXE+FZWv7scXWpqL1iiqSTIZQe3AwT+6NrDxGeW3ex6bz4FTZNdomdu9hSgNF
C2mNJHuUS4M/g9NwKWf4ZDBk+9h291Drqm2Yd1dFnAS/FdK7+IfYNYW5IQcic6OYAU6aGuSciGEy
Zm2FJwNDO04OyyRCc1ZvXBqExzRsm5MqErju03TjElZ3zJXsuqpRB0rOV9ippWdW9r6vgcuWmdya
w8TJ2c3GbtSRzsGmutUT0zNDE8l1236s3QdHFbDpqhfFdBhW+9LLDGKpEtPxrDw0WRO11sWZCVjM
+gj1MoVxtFy9sSep+r7wjGRSd0oGtrWw0l+1YX1Y0ro3cR7ANS1fKoYoQlhhNwJ3U71hnJu9Pg/9
RVVhopiTJ0ba4qZOEvfU0zXAXRfANrgugffYHflcqXZnl528nYov2kAP5STtMyPrRh0jxr5HcVWr
LvQ9csTrcDQpYCl4ILTnIg52WRQd3MrFMJCAjcxDu92nmKHY58PtK3p4z1Fm+YHpPhCeIQ/1uUuk
uTdNmLO1XSOh60ZEako2oMcJuNys00xVC1SHQ8EcKGeOb0NmiGCHoPvDIhfXzEgiMjGpoF16uW2z
BOOwUL1cuqfcicZdaSXXdaC1WztM32hGMwcAlcHW2KAPY+QTNYvQlrqPXhVw56PgJQ/6BGE0rW4r
O0SD+lAJBTYY8OhIkKrR1uY5VfHYKCM80oTg5R05eb8H4JL7gDEKF0XebeOWPa45sotu5XWBxDPs
DXvX2dhGnMehS6lKoZTzHV39Hdv62ZoM9C9D/D4P2eL3UL2l/YG1RgsACvWXQG+ejcYiHUadih2M
I7a4z32ffVWxjCGONOJQkl9nKZy+1TtlCj5Tr/LtaOmrG4zg8ctHLRJw8MoU+4gIvXKOgI0vitrI
NPKH3HZ28NV9R9O620xcERph72WZ3cMaKvzQRH06hG22BXJW7tzJ8KsER0CkzdU2Ht+7cHgbHXRm
8/DUEkFL/Qq5sMwIUeqflAlNTK6n21FG50kZbwrd/uiLXZsx1MQiObm9bWxr3OClGAhpVb9Alqn+
oPVfjobmP+pVinKiR+3D6RdXYkMpc77Wli+ocKIUMFIObAzBrZOa9Pzw+OAQqQoSXApkPKyP/LGL
P6ph62Ql/KCu3w8pxoWO9EA0D/HBYarKSCbuLpmhOlvDBSxRxWYNLkn7PRXkvSfxL9PE0GLhOcCn
3n90CKVIWqu4LjChxwQcLd49X3/rxRKhXaUC0ZG3xkPYUL5C4BmBGtLznEgZnYRnt0BW3Rw8waxE
ryYQnDzAZIdSMII2tDeD7tU00lPJbnjXgD3vYJFfa0V0adSyIKcZK0oKGoF6s7NLclxTYejit6E8
vImn6q7OoFf2i+6uNXfwC4ytnswvZZQgv0oIi+htnURBFo0bTDPVJkbGYceQHSQ1diMa303dVEnB
ofMms+cmAg6SKfofvbwNLcpQZjnhfDMnhsJnO9XP8r2KkicCat9bNybvKuhwXs19emS7ej0Fhc6y
AOhur12ANxR7q7rJC+3WmREsF2C6sNOPWyiXBBS1IXw2k8E4CkjQ7o0noltBZEbMyxQQ7k3FeBIB
A2QaV+pdFRZg8orEoMyj3JslCqq8w97VV+ES5QSupzSJEU/GDXHAJLK28paorI0u4uWEmK9iNb8l
7YZiNX+yXIjjFNJIDMg5pTcuzkoRRseyrCxEGRn4S8+FZnjDyq+F3iieqrQ5d0V0K+JanrHzfZjY
pABJEtoWxx5dHh1DI7XAKHEAHOTpJtBUDJht8KlF42M38z0qSV2DQcCyzTyGDMBF+uDCAAOCe69Z
xskKk+sZEIOuGO1WjZAdo2QGe5ZEPu2/j2zBlVh1A70hQTPqQjYnyOA9SPqYIipLQMOVN+oE4nSs
yFyCaUQ88za0yvAPew6q+Ca+/5dGKe7dCu+0RsQpJeHqVo1PQ1Huh0JkJwgTLJ9U7ASpbuyqbrhn
l8tEzVXXaAojnIXQGvn3ZsT45QGme2zi7KHUZXo1xNp2yMAW4RRlNHcv0bINmfN7i12nn8Iz1px0
vkxGdYenXDsrbb+pCuUsYRNstAbBLdZZHFRzXd25fUOt2dG2cwisglRZknnq8kxJPEKdwepWsOdT
fimCCpxk7+WlhIB6ZersqDYVt2HsipsJ/2Jbum8MR8Q2sZjfVS3wiQwm4DXwjjNwpJPrMoPHUOGY
aQsg51lMB2bYigVKUSIzrJaEaWGoBKwohEVRAweOEVcmzQCE2aZNg10D0RxS+iryEoxl+iWsOUYf
QhdB7YrPMgEnqLDWygRkJpAsVI0zdbwZxmGbDo8FS8K9Xlb21s66YzWokVeiDDwYDA0MiK56N7Qj
/MkaFbdjHW2SBZyMhEqWSYoHe7SB7cHcZ8nr1CRGtuBtN2VPgdIV1QJPlzHh1LGfEElwHLQm2Rt2
k3ltBsNGjL6dGabX6rG9K+ncMHd8gFSqCF9hVI51iVReBlcJzAYWWtFXLC9Joe1y5leWkcHByqt7
w34QrgZMrtHAEgHOdB2SxozUt+r6VfYUzjuIXqbO4t4Vxl0eWi+VIX0KeHeaY5PgjbBzO2ozyc/S
DXy1nO9LnUyeMTeI6uYbnyIYlMjF8XBUBKiPZ2AoHdR8lWLyeN/ZA2qycsh9MZ5EFyWemeu3LY1O
r1XR2RfORFYuNElCt3hhAPlBbeZn3OXsCwJ9C9023mBPXshVEhcBnTmy51sfzwhLGPpiGGmwa0IK
n5hthjZ7nHKgUPA/fhsFZJQcfwX7MUf6WowEv6x1ynZ/9ChvsVMFoOxSaE+olcrGtvxG0B1Mo7LC
x0B0G1i7apshgWaXg96mW/Kic9i+/OSstJBISgy8g3Gjdkxao5luMRwlINNgVyVx99Yx9nsGHLF9
lNqvTZt0DHgOHgJTcDF17/bYPqade2eCPR7rmRoDbA8vmLeNRFBjTOP7VGAozXX3pYe9v1FB5MwV
LLVuJtA1iaacM5t42Mw8C6wzXKk5JX0KQLmDybxRlk+pw1xOboJqL3qkdTC7T+W5j+MPK8Z20jcY
JC39GXHQVzMzKxFRtrPD/o85zdd5uvwB7erI34xtG9EpWd5Mu8Etn5ya+WPK3Zd0Jn5a9H+6fHwC
GnYsQ3PPsv49SKPpCCeUNDjXvldlcYFF9JgmkKfA9JxaCDJFaU3kbSFqVfON5XBBlojd/d4YL2UI
biNAIj+Kd32GzVMNobudKx0NVEijOVwt3GGpXXWqTuSuXY9nklFoDYXA6wALR3P+BDGT72lx7Bi5
AZ5yumHvQiXIUs4ta1JGYZdyjdp2z3NhlNfsUvQ06DcS6jWsugAnWmPupoh8y2z6irp5eYrCY6hz
atvmE6PEb9J0CZrO8ef2Yc2FEemb1mXUDizHZ34Or3qlZxINMfHRWceKTGvBJarXVepnO1T7nZ8o
oXPP1TNYVcouJWjwntDQy+LfcJvmjSANopzAN+MSKVIJgTr+EI1F0Y9zUgpiAUfa1UQCCOojM7nW
GsVE2ZRfEbR9L4omqGXTh1a0ulf3yTEIll9A7YuDFjUdIjKspsqvLlx0oUJcs0Z4MVrjodH7W6NQ
7hwtvnET/kp5ElJKzYdPg5TcumV+YiNfdwbI1Th6CkWASRajlRGmzimaCLOE588OOQpvXb1ElpRH
rPuIFfS6rNNgqOdg6FuTCjOj2oTIZYSGjGx9QuPN6r0bC76QgCnSVHFPwWvzxpDeTTRhS1KnstvE
MB+uUioMBBqAYRDDu1EDke8UL5/tkR4ZKpdsSJ4n7T3StdcwTxLsYBZZMhOzc0uSaA9fUHPIdVdo
lIz2RTcEWTYxs7LZgZI3dWiV6pnqE0Z3tPGHTKoQZTPoj133BGc2uDTDCWEQ87Cuf4CUx9Xf9d1O
YRvPveF+WlKCWjKn+zT9chv600qtngKBFJOUQxSMAowskKeJT4QWLG81KomT8DOlLHeddT+WylM3
fLkRVW9bexoskOCZ47wp1hN8QmY5o89Z84lDkLFbpE+0ER0jgAj5+U2WxB7Nr2NUiWurUmtvLkPt
CvI1L2KlWicmK4c09sayij1NMoKAkfRyR94Cv8w3dWoyPCS3LkmCYad+aGHQQGi2CJHUGPn4nSPD
Kbc1PXON5Wjjqpdlj7oJaKtpgVZzQfKRRnV86RDkbwD37xJF1z2yHll+2zUuUOc2biGyKUPmgzkC
izq7T6lsvtq8/Fo0JVYe3/QFhkV2KsEiNqvj52hwHV+PUXPFGatz5ZcRRy7CTGu6iPjTzPJb+HLW
sZ4bc5Oz7uxX1lBtXFSpPMlJo0tsF4XfB2S2P+dB52Fm7BmMMfRpbfSpgMTc1eis2N17bV49Mmle
jGq+EyGnZ741lr+TliauB2mQz4i/wOtryEhzyNmiLm5AEevbEDd7r7r3xqC9lknm7lzkL4Z9rBI7
8SJDPEQUoDeOeUktJAbwtkhBjm6px2GUGtJbYdE+RWZRy+HRnpJHmM33+I3v4KEd47a6bmW+a5pr
K9VfSz5C0MPXqD8rfF7hoNxKa+b0Uq7GGFxDMQtiKordDEWMC5cFbajdGGn4rgfG06x3Gv70bt9h
+U4i0YBPQCuXL/Zl5cnBA19ZCxLS1TYwzzB3Bnxcq7bfzLm/A+D0ZATgSVkORuaDM8+PtUmguvYa
L4pJFojsSj2R9Jh3gNYDKSpA51mN387uNlabt1mIN4yylBA0WL75VyfdN6PrPoriY5CBwGSjXuUq
ga5Be1crNWSD4kvnl83m6iuM0ofMKh+xfsxLJksOaUsQXpzGsNq614IF9maOGZKSeiI1uS3fs6Q5
No14KGJaRGZGoWA8mlNB8Er1YFnJmbTvF6HJh0Hku2ikVVw6wR1hIVSW++YrddI7N3wezO5Glwow
ENIl1OyzUukqNUI5Z0pHaEcvPDWMzF3T17lnSbfyda1+UeLbao5f01b+ycNrCOBImapK4+txLqUO
86OLbgIIITDtLqK3viwtlyBZlmKVblz3vV569NCoIrHSjohgFPEpaF8MUx6i8FczEniRt9OdErAV
FCoKtPh+jvf/J+j7Hwn6LFv//wr6bvFYE+HTvxfxf4r6vv/j/xP1CfMftquzk2JKok7x76I+R/2H
pbHw5mnwK5ahQSn6Z6SeTqSea1Mc/KcW8EfU5/5DAF2zhYZ4joA8pID/C1Gfpqv/yUqinyVM0zCE
puqm0DSiTf8zsTLLDZY8lQr0IqseWAjiaMuTB5OQHS+g/yOR2YaKdsMlOe90FWu2o5tylzuqJ6GF
HVxsfPcVi1S5LLXawdy7c9ts7Zhma27jTBYjI4Cd9eNVKeTd4OpymystuqloZKMEQS+6yjHrb5DN
5Szk+Weg8A+N8X4c6P+52ksRoIML4pkqD5cG75WCiDeUaz2L2pN5XWdWcFt+JA3e/ial4oZ+fzMP
bnSAJWdvKdZjVynMxJc4P30z7RxCyVnNyjR8cQ2ymbMFCNi5bIsbTKtnykhPSXQPsBF8IrZmrnjI
0rp4jaih7DXomJMMvwZJKc5Ykrwn6gVT5V5R7MBErI/KRskyIsbwR4qFmZjD8fBq2yCxAEUS/uUA
PFBMskeWmOom6LTJn9kfeCoZI0ehNx9EmnxFZKH4paE82YKK0ZyA4e2mmEJK5hzzPkLsYusXEeDN
cxMnOcamvAAuGEbaLSk9hCJCugfXZgBcPY8+nHEHogZ0BvCh9XHWVSJHwEFdTxG8nMR1SbnvLzS0
2rNmf8iISoHRmxfQGYLAL7K5RxCVbIKqdN/gf/RU3D9+PwpoL1Jnj4ApV0xELU1VpqKfolTbq6az
MZfap5HEL6ZukSk3Tq1HLBOyiyqSfjnnVA2EfES/fO6bYaZG7RyifpM6UOZVpf0MtPK9QYyBussG
/S4AsZos94XNOgmEBFgV2V7mLFOOWRneWCWrIRGTyu3qRFKV5it68/YGAOIVQpfqrPQUcgh1OEDE
Izt9dvZGqUyPQceELeHXJNi0Cd7FMD+Qq5iFDi1LMsVhuOaeXQpBayLKtxOF+V3RFsz2aTRsdBt1
oBPWJI7ZZn/IHX08dFnJbCcGDNLR7yYrfcJdoCvkst9rzDBWofxhhSW9dMSFjwAf2mJo3DPxRoMi
oFP0Pn4j2iQyRI4zwGFX7Uy74r9Qym05T1jxDeinICLbZnjb9eG8HUa9O85VT7uiF28tlaCDOlYU
NCo73Mq6RTnaqr9GFHTQVnTHQzt5oVr+e8BY5CejfHDt0vFDGbwhn2LmLR7mCM9pV8QX06G0tziw
C2AU+HpV1dd64xfhZw9yJmkNzR15Z5IZNiArtskquS8n+1K+x7M9bfpxLDaT/jBR1zuExXDnKiRP
aPWhs3Xdl1Me7rM4eGTt8seBLLBJx4E6kDUdtUTfizp9mGy6oXmrStaexVfeUHta4AfRHBicLyzl
VLFztLC5smgPbpwGwXEB/cBDMXfmlzXu+JY/4oT9ZBFrHjzCbpvp4qMW5Z56Sn1juO4jhrcr2SCI
QkOd+HCW23ObPrkpwiEStM0KkVFrz/ld+qaN/e+UVuhmHmm4TTbpWbEKTalq6QKThbOUCGaqY3Py
K6g1fN6W49HYKuZq1wHeZ7MQ0NAzz4EDrIcKsQbOAljvVJsfBiGmJw1BWjH29X4QLCiCoMXzqbuP
BfJZdmgxLeOUJCMVvD8pZPQma66lWqMZHJMLhc94B936rjGQM1ZjlB90i8FIM8V+mOODJHohnPbU
Wt3iKdOleyzzmgruOe1wjVODVVTGB8vdm46uHxp99mNEv9vcAb7iDERhZsbCaaEnpxovZcYqpsWW
RUF4ig6DAbzD0ixCKUa6oXEf+IOM2ezTZNn28jjVhaBzbMnnGVCROrSPrWVPXjI44YGidEIFMjpD
7Qk821gkqead6PXdUA6TV4X0Fspkeqoy0lQXY+j9rzkzAPYgad7OznHqQTrlpMmMKlCGkWXqZKgp
RdOTsehkChfxk3EahpS67dRSEyD+8pLase231ifeI3bEneG7Uw7SKRefimuhNyIcXsHDRoGEwHi5
RMfXS4g88E2FTPlZWL/NnFT3JWweDKeybSg02fYMw6eMP+YWu3IXFy8tiYuANhJR+KR3JT5STr8N
kOgGB8G+Su2Jum+NaI+WDvUIjOWwhADnBt1RAWy+ASjCCNP6Rmh81XbxnFoMGGSAsHBvqI1pLYVN
h4VuZ6kU593sEszQBMqJU6HVXS9ojAdDjy+WSQVlqmuMngXXMQuRfa/aKHCK0K+kkfjErO4sjKcT
mdllDdelQidflpOBHvq67YO7ukGYSRgYqAtOIhqrpau91nTr6B5N0S6MYBwoen9sEUGc2HGTwoea
HNf/g1pqLWV8MuitdqlWqP1xJj+JtHjBVJyZ7GDI4aQcGZPjtAntcl/DdPXsILxrtPlY6NHWjCoC
deYjsSPaBlxJ5kVB/NZjrr2EiJ+TLuWjWF1Bg3zRJ4JOCl3jOsdhrkic+oamGZvZBasCb2LYuBD1
nL6ml+jsSe17DyegfZOLnrOmPmzliP7YKaX19AkVI/RbIwSOOw97zTX9Nkw/wS8fKcDaXm29xJPz
aUW55nfNs3SAz6XtrWYOLyFiIz+pJVGHVwwKgUeu2Lm1qcLxC7ZFQgO+uyjmElprG5c6TO1jnDHJ
ir7dFowFXodvi7ltIu6+rhB4MkhWwTHuj1ZTuyjM0QE7k/xgG5nH0JaBBJ0oxF9pVc1yBBRypyfh
Vd4aN2XfP6dTTtjB6KCV5+RqDeNSBlG4TxCreKSlHcOyfEFPzz6e0c3D5ruPNfnkusDtjSn9TdyQ
A2PQuKmK/mkGMUx3lQxP16I0A2HzHLbTnpN760ShQnBRxd8dEksCWqnKsvuC+lBR17T7bQKtoFO6
AYYtMlE2mfNouhYd11zsA7h7dkQaK+CsamOmMGLGTcXaqjKahgxLpCCdjVOQLspJJTIhdNTBODCz
U49bBD/rzdBa+abLcuxkWAEqqsXUSSniHoNwGE/Ngv/9uVmPrQrI9RgnAEtOuweatoRrZf+6WaV7
jcolq4S7VcG2pm7EwqK9sj7m4syO1O+hWhBCFixGvbm3EZlW+BeCuJyOSfWQp53p9THFkFVKvYqq
15t0kX7/aKytarD99YMoq5R8lciuiuFVcz61OCxNaJrr8dUIvt5bb9ZXyK7+xBAiv6kU66Gf9/h+
z5+306qAWbKa0uqY1B+r7rbsH8JYdY82XZ49iULXEe1+cMeQpU7rC8Q8qSDig6P4gWQ4c0HVfH3f
Vc4bdAnFFeYsL10oGM3i4GxygWN3vbse/Ln569j6Dn8dCxDX5dJoDn8d/3noBHHhJQlxP2XJQB5F
yrypTOLemuVmDcOr7EHM3vrYFNYzkEMXs+O/ZIuLiXDVLmar73P9M2fjYm9Y/8z2ODzn5D1ui/WY
KsLyIAFs/JwT672/3rBZ4oNtEcXfisNVZrjeqIv2cBUgrg9jaQGrEtmEkuafOs10PcfWN/y+Gwb2
C3la9nbVm66S9PVeuopWszZfJpPu97coltAQcmoHrla7oDi8kgoWskOoycTaiAQn9fef7ZvI8X1/
/e4Tm9GcoiudnmLkLF81zKs6eb23ipXXm6G9pFWuHvXZpOj4rQhe764ZdhmGdQvrDh+rfVkvo/VG
iIS/QrVcUaTWTL5DrAodWhc+hculYxRcRBN2aNLbebjeIyKiQRCe1Kq3Pnb7JGUn2m6BPtkH/JKv
0H0IMY37EBoa6eAUEm85TFBm1TxaiOCBfG71dnqTdbAnCoEsDHllTk1678TW3mqCX01Alq9Qhnhb
s5TepW3d7CoREOTT0nY1q8eiNKxd6kCeNWhkW0jm9lE5MV12BtmCGu4uFKBEpc/LykOnYGmCPt0g
YwLl6GTJQc72p65pyaHvyH1D8gQ7X9BMTkhm6jKNur7heBKU2FEbWUWEqXJEuRd7GGrS87BUdrU+
yK912Bv72gbF1Qq21sB3U2rKFDatsLpRLbqFlqqfu7F/7fUl0KPKoOFDGd4mmW748PwIvxuKL67w
R5OJ/tggEIfWH8NXU9Vsl9Ow8rNhMUHL21YSDxPYdniclImsHicA2bTYl8I+vtYNVoQk/VENXgWk
qd7Wm5mQZVYUmONXVgBxbohKV7noevfn4F+vWZ9dwQY/ryslDbOGgDbw7Jf1OTKE/kl1mHtoECWJ
5EEJvnl2FmPQcrM+/L5hW4LhLmWe78jFJEsPdms24zGJ1L1djVQo3c71a5vLENfA7ajO/W59I6Ro
RJgv79akaLfTZh6P9ki2J0fW5wIw736vpAOido7VyxZfnRBjLf+xW25+3uLnYUGZGvdJnPskVDKV
pWiuDv/F3pl1t22la/qv1KrrRhrzcFbXueAsUqQpSpbl3GDRioV5nvHr+9lbjuk4Oanq+85KEAAi
QRLD3t/wDgIQDGIELnMqCOZy9bZI3bjZDvZwF6eQaLAvhLEhHgVudp6RFLF5UlDtfd/tD3JNLuza
A1KA+EO57XIHvDrvlQsUQ696E4Mm/r6rbEpzqRHnwZTjfMnzEpdOtAXWTl9ECOiANroHpOxupNCF
vCT2TVIjyApvWspLLMUjVMP6pBl0iGBN6oJlqe+nrjD2Ol0hQKNwsnvP8Vddxk+rLQiUQ1zqWJRO
K+kLLzUB5JpUgvhpn6lj6acPupeuCuw/A4HUzsX06w3yJ4MCqRw7Qq1tfkCyOrpTZvyn8OG9G6aj
LuhG0r1drvVZNm1TZdgFgixFu3PaWr2+I3EN1jWPxuJde0J+g1kOiBRukSUQC2QldUH8CFFh4NNH
fDI2RWmcDCjse3w7mju3/3WKsdAeuonKr6pvpZk9rmj1xnTdByMqv4kb1DGoxoPcHoVl5xJN23gd
jwFCt+AP0VoUTqQmpKA7N/kqefJyAS7DzHaSHq/ifNkc0Agstp6a7gdJmRcL5G6QonQ43Zq42eT7
5F87Kxb9Mzl/xHLZJTUaCBn31g+vEse4feI7Ff9v97lSvOt2BLkm33fbd9u8Hfr29W774oqH1Q+o
mTVO/Ozfjixf7EiO1vt3v70nTN1wN2s4AQsRD7l4f4miO1RNpFsaKOz9LAD6iGjYGzQnPkipimJy
onXH1EuKz6MM/wVtCssLUYER/EO5s5jHj0Pbhhgmocs6D7RgBMGhCIpoZcLXW/ylhom8Y0bHPdV+
pG/qOUblbHiIDXg7rmALRCjsLoYZRsGcZ7Sa8gJ9glbMwyUOdOT/4vvIL6HW/eOgg112XaFXDU3O
VhwoX0IV3XXp/LiYvqBptkDtv90bWRXdhWYdO0ucOOM7afkQTdoZW2gvQlZbCH5AxZbHYBaHyzTM
VruttZRxKey3EcB0bAOqxf9vLPxHjQUo+n9rwnAJi9++/uOuSa/5b38wYXh/4++NBe0Xivm6Zhs0
CnRXOi0MX5v2X/9UHO0X1zNN1SOvtF3H+rGtwDuQD7BdzTZVpDe/txVMDmdaqib7ENb/S0vBdtQ/
ygQwcGEdr5oG34HvZTg/uS9UddDVmefh/OpAWwUR+itVAVt9mtxW36p+cabh1q4no+5xlEcAYPBG
0E15TDiiaXg+OyfUxIPs7Fb9k1vMh0i3XjDegg4e3buNgABraLwn18xPjk6BHK9i4qB6DDOMaIuT
YUUPlJtOAyQ81IvHbY+Sv+dBtK4K193imnmB3e3utfKBbsUGr+QEv7QhoXUd7IIsPaVo265aF1kO
3SArR2R2QOJUfe7mo1O7VN5HANyVYu4TA7kuJYaNqKJt32vWW1uph1wB0Uw/Ng1VZDnsk5ej0o65
7oKqMU1JEAVFT5Eq1+O3eAIKhm3AqUxJPfVROydpumtN57eeEnfticS9GfB1b8ydB/BIh8qQ6Caa
1cO2qrun1uSzUZ+lNP51mKaLQg1jDoOvk7Vy8BwEh1ItIOpCb1QeHbyGICf1x8QvDgEOwDRmlFWe
9w+43B+jNj0Wubnr8oK3UJqpsBsdpnNUOyclUg9IDx0KTz17vvocKtbOyKczhlUoQ23qTHuulQYc
T71umgmsPwZ3bfSmAW7zlOiT30yXCKMpPbReuoSm0L7xm7VTuCfHGLfZmBztJL5q1nyYBn5mkh8B
GV9C1b/TgzsvwRov6jag047MGGczng4xmtlenewHL9rXMWRdROki2lGIEB1LDXIG2G+gGFDZVxEt
AT0dtlab4IrtnQYQZoWDY8XUbBxlOquzfWynT2pK+dIzwzc8vokM7eKAY8Sdb2sI05q7IQ/WE8ZN
6PCqqCq72q7jk/GexMRo1FZ05cEPGC9Jn14DK70PhrXnaucytHZlG+5jKqagovdqnRzFFdb84blr
8LGeky/kTW9WEL5V7XgRp7FU5mfMD44YWT5p1ZYA9HVSkRHWUJBQx+0k5BEw7kjz5K5KuiWwy4uX
oyReF8NhtksKaDrwdMPDAnU40zQhLoj2mbFINOtUzNZJDzmD5XjQQnMXBNMhCtM3N0BqVaWTH40G
leXkaFiA77gn58raqSi/mrBhfWt8dUv96LrrMRmf7HC6DKX5gjX4fh40NGuSY13FV/kZU5csRnyb
G0Cq1PXTZVcFb37j2os0H7fBmF4dFel9s1mbXBXg7ys0KuCPH4t2OveixqtGL1YXv9VJwyDRbjLQ
6OqUUjFL9uj4H3Gd2/kFfLR6ehZN+gyBW9w+ztGcHJMBVF/MvarUjwmGdvG4rav+YqbdU61kx14M
B+6XMZyfvbm7DAYeTuNF55LUdnpt+s/4nuzbYX52qvlZXEEcIQ5KmoCRzq7ixIj7ESuCixMN+BvP
z83U4SdBnXjA3YSf5BvdarTqheGYO0vn0mBKdh4a9dzqwxaFZX3M0MisOV698vg9ieegMBkvhsF6
aRDYhBa2g1nzBcHgOWRMwJj1sVNC9JCjY5KMB/Hd0oCxbOjbp0gb0fTQt3GcH+OIoQD734NtdasZ
hftFl3VYiqdvo2muo+hlgIihReMT1dmNuJnQDNigcfDstyDks2fM3LdG77yMJfAcgH/PqnnXKN4j
0oSb2or3SiwE08i68vns1OM5tEbMZaxVm6/LbDwr3fTsxMPWzYFP+UV0dQPlEy7QD/fNaJ3MWn0N
IWFEfoDTQUBnUrVPhjO+epb/MYdAQSHwDfeRA6CUJTrHWJhH63YiogJfvw5K5ewPxb1R9CsbEfxJ
b3fVnAj4FabksNoq9QzaFyI6qxac9flgfIEp8qAW8b6tDSR70yM6vCJjFLLY3BKcaZumbP0rRaUP
XTcfvLJ9apoZWC08c388UMc4iv+wrdkU6N0Y3F4jPDgr0A6V1b02/ngeBTne7J4qnUcsNsutH4Lc
dICmM1hF0IowTOlyUDfpHjG3JzFgm7S8UXD/4DGztfH8jJnzta2qj7r/DILyCXM2eAvm+KqHX5vI
uwtG+yQeSTEmqJ5zCmOuHQ9Ro/OMaRqQ9j5wX7qurMDAMNN45kvVWTvmxBAMUnuxTZ55BqpF0p/p
Yl9bPiPNGd1gVYSUShaDYfOoZdfYG3g+wvs6PInPynTnJJ84TFQ0HVKEr5i/tooC2cEXKOvwA7VM
UH4x+SWGRICJaNIGsPX3owISDZEFUMCBv1QtSj9xdQWYi7t1rL3GAeWEyqMARYX23hAIQn2w9zFD
7D2IUdzvpkldA+EzEsfeM919TKN52sU99b+waoAIJy/ZOJ69AoO0CVpmqzWwCS1zYfhuS+FXYdLL
hylnnm2VZW6NGKrpNBJS9Wkcwn6viWRM8o3lmtw3zdG0HTJUqB37IQpjfSMrnbeap9xUzPpbCRQ0
BV+bPr5IOEUuLtNozwk+9SDRAbC298Cc/b2KphHYgtRfkk5ExtKrZ3yZxWIQIipZbLYbH4cjDdcJ
MhF/77t4DRbppxBc9zpo4ei7kABo9ycAJ/tqM6nRs+Zo4d2EV7cbzgwhnbqrWps2kLKe837Vz8k6
x4ED6uaCOQB5ihe3ebNriu/oHggV2BhjJxwZEemYHPa0WIiW4bDOGmrsVaeIcnDRvi86fQQO4Fbz
ji79yaFFuCEoIieBeBkC3E+V8JwXZgEJzHx2F15qXWfL24XMAusqdK91rrmABHt3H+Xdr3Qgljlq
ZGso6RgrYd/Z2SOzcWo+26MDe7EchHucDYfBAqBH4oNEBzf2HOuvqZLs8TI6uWYJMwrmUVK7u6Kc
XrqSytjMYx7XDB48AvnUXTJvvgT1RJMb4RSfQAc+xOdUBQuAYTB2KhAWUTJm+Bt1nHCnxHlxFPtk
ZcOTXk9PiVlgHES/z3e3sxVdI3OnDPXBpNL2g/zXGaXWoMj/kXfZGYHHtvnXP7U/h8meDkfOpp9K
Y9nREO4qX68X2m7i1f8rihGfiAd0Ymi+IEoO9j99QqD3yXfHEzDwWZkOFXHU6FTrf/PJ2p8CdE/3
yB4My1RNMPzim/3wyZ45dDkgipwWinaG60GLPrXvUrwrGF8IdCLsVEegJYpnn0So9G8+XiCK3s/H
3W//+qdFfiDkzVyHb6Di063+9PGD44wI8JfFTm8J4hlr8rDdKFVJ2eKSaMPFNqJrU9y140NkIXJl
MqoR2Ibx9A5tex3/K/ha/NUVEHplf/oiqD3bBG2e+P8fz0MAQAb9SHynxcW3xv5iEZmkysEFTDeV
BAZYpjrw89zKWnZavc7T7kKDDpIts09KwOqZKNOY69L59PenSORof/5mHtVaB7CX5pg/Ka2V2A3M
8eTmO68jhVLzgxEaD0oDgHEchLWHBa4p6b7I27tsiM/T6ZVI7CloznArr6o3vhohA4AMD11rPgdb
3VY+oUf03DJ1QVZd2hNhCLGdTf3LqcatCEFsb9gmSFeEPAAiSldByrvpeMnCeO9m6nk2cBrgWgxA
2gHTgzDvL3FXrzXzBaPnTcXk57tA+6l21W5zqaZhl7ZI4tPb1YBXhT3ESbveqNQ9K4PucRY8KwGt
1ln9ZI/mCQrj0sHG0tW6i491e+V1HD6+1lBQmMOWINiAMHPXLFIVcY2U/C8rKA/hPvKE633+XqH4
H++Pv7o9THBxlmZrqqXrP92nOlT6rNDNfBfqzcYs1DMYsX2WfpGR9fistfXd3192zfir6w5QUGTt
Lt6KPyvseYPmkpvyZAY2DqBp/Ij+vR0bz3ExXBomvo1rJtdpZFCbBU+m659Id/eVme0N4vq0t+60
+TFs8ru8gL3YXzyPTpyefwD/x82gEpCm/XQ2Bp9EQv/QYGDTuvPCzoG0dEwdQ34/Mx52hGLiuIOL
tZyysHp7ZxKAiqwg5U7wwmyv6eMBj+fl5MzPPVkV1sMI5IC7ybBT0pZKN2zJ77dIlRzzqN9EzRc3
BNqjJd3Ks+n9j1qy0p1yF01YHYwDvKlYg31vliioAYjSSzj5KUxC1z/6ro/ss5+8am0H3Kd/0iGS
Z13wIU/G58HBDiXqlj0pGBG48aKjoUpCtE4t43NNOlqk0VUErW05bGMrPWVTQ7t7esVS48nMI1L2
8FLVd1FEphzcUfaFThkf4aQcQ9d80Qt0XPp9Zk74N8XoM5QQyayVG3QbsG5XLfX3jg5K4AybbxdO
Ftpm06Fv3Re7x3+bdI+I5TCtFR5Xy3nPkwp7p3czw264r/KHUWfS4nfQ0z95dnAacIzSKFI6Wn8Y
XPXVd82To1Em+Ps77SclRzkEg/kD7qa6jm65P93as6MUFcTNnOqlthQp3chl154xovskfnJul7v8
34y2fzXqWyohp+s6jmcJI9IfJ52a5oeTArveWQkJWUNiWvz7KfUvHlnHhiWCDqamw6f86UOiUOih
qXA6TbfPcZtpKOKk81M9JtsqQPmLUtBDolaXeSY2QDp41GB5hMmbiLJrb8bx0F5Hhrf2LE1UWnae
op8S0p5eN18cBkKcefZxyHvg6Tdx/MW1+ZiqT44uEZ1JlVYMxEk2PncBVPCYobquE/T85nU5ZUew
tHQou4vB9e/85Kp706Ft20OBPYvIyxxjfg4985SUJpI3hOTwpiznMg/jziLREV/SIg6hEXaaDPup
oGgBvq93y49QowgWwb2jVWfER2/onjTHegmy8eDa8TGvjWOoB2ulmQ4ibcIn46jODjKV9T23x2EO
Prg+pY+GeoFekyVR3VuMffFJ60A4+RizdCOhl6pHbxbThTKRk0TJsR8xQtA9uHDJ3k0NWEXmTnyc
WjPQ9LH1ktvdU9bU66RyXtB0AxXaXrwxRd45WPv+8CRGcJN87e9vbk39iwCHW8xDXYHwwjStnyqQ
OcZ4I+1ZeE4p02ee4RlTxTWkI/Km2jFtOmfqoYCJttRCrpEyRlDjkOwalUeAU+kKksOpJs3rSQ07
0z51pksX5dmiL1ORoYvUre/PTTZeQiW4b1z9vnLjz56ATqEfvaCrS4P90+Qm11jn+I7OKR3y7s5E
jaGg8Jdb3aLTGfMqSgA9Tz7RqAgquhq+pG+dxKhazf0r0kHA8ppD5A+vDiM/xLAr6mZHs+STJnev
mBbBx7jVKC5QvfOV8eK5/UXrulVnjZus+FUkqU4S72tl3FpzuykpjjSG8G8n2qH+Qi/0uQoxuTR/
HQcTFtawFdGYn2DFSDIHefCUYzuqdXuzbi5ZP7xO3bgVQZDViJIFSFC43Db+pUjwbZG1e0YKFBp/
wCNh+A8lJbrW/ZJYcMHLtl39/YX+i1GMwE38AxSeyvZPlxkbNidtB+hsg5uvGjx6sPehrjkMW3GT
G+14Nu29Xwb/5v7C/fHP4ZlL+MwMrWk6uIWfhs/KNJCGMLt814bWc1anRzHPuQ3o7G49qFyMNDv6
Q7sS9bMk7le+YWLmWTMIUHihwqnzoBiNBT9RX+UdJSuC7ISyZq0iyUMsBgjbppBiFvVCxEsuhVKH
HjTVjTxxX3qv2QglejFkDHgrKcq26e0tGCRnIB9KQTD62fQKXuQU0vY3Ke7FUw04Kz1amfosxt2Y
my7G4xBI7qJGKQZvkCbOjpPXrVAgvAQEPcQTRTWjPMhklHM1Y/PehhwA2vKYQw9G1e4yptMhcxg3
xDMcGMlV/GZjVp9nTX2OZ/VYdVyX5IvipMfJJO3jvUmEQoVTr3Wb0RfUhQh0oAgcWm77hswVa9eu
Sk8t3ADLf6EeKFBD7ouoUAS9isNPyHRr4v+UvYlyiNsjXUFk/ltReds+G48a2rcabNY0RrQoO9om
Ucc0z684uBg+I1GiLPFZU6LxBEiS3JCwbrby66zSUximD0HoY5ZmQqMMK20xw99qSHcRzNxPKiZM
rnosUyqxsXMC6XrtJuckqtbQPJai2oQ0+AawxFoU4ci9XsWPxtr+SU+0c6VEe9WhmhZ3FzHDRzwb
Q2+dcGg6i+1Snw4q3EbKRXUXHXPKyT3MRLD4YCwQe4gSwE0+pII2NXdi9BWVNcQ5nsy2/6DBhxdJ
7NQ9udPwqhXx40xxRuvUR2UvRl2YsEfVj49YJW5Rb72aUXzU8o5kM7ya8DlqxWKEpvqa9aCF/Bi0
S3BAW/pFVNqynBfw9Oaq9cIUfohTpg+iyzJ8jCv7XgRMWjo9g+d8iYNwXcDa1pL5tQ+Z6ogm+hw3
oz7ehx51RA/tV3tGrYGGZ7ARtba2TSkvVmsQVUS3+7KcDvKGp+khwsiIaXgcOJ+MXiZVAZxpYRyQ
gEFu9MC3UENcopd7Jyaf3GzJIK1TL6ymgldVoa4vbjhRfY2ZVMuR3KGpwFCMGS0IyguN0z+n2KJB
GWYmrRj85x7dIKrODMeiTjiX/te/H7U040+UG1dkm5gLqviom9CC/hgKpZOBuoVpoSboTDjucSLn
4c7wP1LnouDR4T4hklG3y+4pY9KjGaCU5itRexY3VhN64D9bcoAW5bhFMaSXNLHksC0P4OhfqpgA
t47ewGS8xq5CS2c8MXk/eih1A70KYMeCbqceNKwb7N+QD1Zx1hwjUBpmz5yT14q5VtN24Y3dtDOq
MoPG3p0zhyQ9QKFPtUpCZnc+5kX0ookqkj3zmIx2Vm80vbqWtRfiSoqro0NRoy6ohbYFtU3VKIfF
KRc2NzZ+46OOogXCGR5VbkR9n72KFLF/U2ujRAonexPjSzij8hDHOBqpEGDtk222h7XO4CTGnEcQ
wCeEtuh0h1cVWya3H54NFepQjG15iUWItu+Lei3m8BRrMB8STmG3q2og1BPzbpcewTRtxPPXON6j
Zjz29DXSWD2Lo4kwKdBFahztkw9K7awLegLirkgceEccxKPeX1NeFpUBhXYC9J+9yDTMpn/SEsS5
i+kVOYJ1R90+mxAy8LTNri6JgoruouKT7ECnmAa8RZH/z9HHqpq3tO2eDCBH4oFund9D///9h7T2
Xdj9lRpYDX20/Wnzv5+KjH//j3jP99dIFtlt6xi91kVTvLV/+6rt1+J0zb42P7/oD0fm0799u9W1
vf5hYy075g/d13q6fG26tP2dyyZe+Z/+8R9f/5O+u6FR6vrhSRWf8O2d4if865+PRdeG/1hdk6L9
A6Hv2xt/V+m3f6GtrSHA6RmWZdoiRf/Wd9dU8xcSHNcwCT0d3baoJ/1O6LN+ER15l3qfDpXeMUhM
IIS04b/+aeq/mK4g9NmGp8GF5l2/n4RvNay/U+lncBHBxw9VLdXjGFTW4PJBLVSpHv1xdPFQW2gR
T1AOMVrY8O79cp27brfsmHKXY5PcNUxyGNE3L8ywAvbv76EAvcyZck4n31nGFXpcMVq3Zk/HQ+9x
4NUAVUJ9MuE1BahmdavUiWYUw4Dc1a5wnaKOauTzCl3/dFMIersWu9vRA/PWeTAGiuzS2N0L2sXb
QGWwrTuk/MZ8W1XuWTOSguEH5rZRa9DVOn+Zat5ntXYewRB8RLT+NNAScUu06CAMbLpsOpj5tHdR
0CKWurcSjfJA6BzRYTeWOGVcijb6YsQzpCcsEEGBV2pzSSyh2YPi/brs4By2VrGs4xQu0Gjdw3QC
kRit3Ixpv1fyN0w2tqo5HlDVyksUHJru3I10hvS0oULg1isflnrIi6M0KhetaX5EDXuFgNiz4gTG
AgoyIzg05mRoHqDewyfoKoTCA/111kyK7oQkSaVfqpQBy7YekcSl4wGHaBGDSXRr5deWbK+s8mu7
6vsWyOAELjSu66VuAKJOCoz3xvqjpjKSqQOkasRCrA4WjR1hGx/YR8VxsAAfn9W4P/YFbXqFSMjK
+LkJZwFYLG56eX9G+hwfVt3P8UkOd4l6Z8flpc1HYHhwxLQuuZ8RBFm6CNlC74iu1QQ7T5ngMM5u
8luRnpMA0+SgezQ7vGM5xiYRrSi8mrDW1lWM7hGHC/oAVD29I18I/UXW+KXOknsFfcdFlabRhmI9
tOXSflUJdga81vctJ2Eqi/EyjfkuRjNv7X1xk+gAmlddlp1PpXY+03Za6sDrt4OgRajID7pj5dxp
JtwEJUGwRQNBEabhx84YYBXWAqusl4eS8hEcmwb5xg7mkZVseoe42WogZ3IxEf5GNWSKtU9ZOsIH
M5iPAze5t0kfN1q9LM3xocH2aocR28notZJGr28vwz5/ydzyJQmTCdeAZ9NJPpUJzstJj9iV7mCZ
muevE2J/HrF/hh10gkZsZULn0WwHCe8R2aPisRjsy5y5d0WINsZUDvs6UFeNnWGaGvhnGwEhPT85
9EZRsrEuIMVGmqU7awZ8bxl1R7V2XhhFcmhH0ZNvDXr53xcNhNxVkQvpJzfwBHwm54EephfPbQAo
aGv6Z1+7hDwOjw8R+FbwqKrsY1lyifTeXrdBgH6Y+bkyyLPasCdIcISsB0aoMPEf0rYHU6AqIFZU
47eqr+MVehMrrwZHYbX5phaS7kakz3sqdvP72m2fQqxdZHgOA0+Ui05YCsg1aS4gBuP1aLov3/4o
YIuVxMx25m1dmUtrlYE9+va3Hw6XJSI5RE6kJG3bj0ML1wppOLmV1JwmeuPxtDJ0gfoZfZurg/gY
2n2ttzQbGoduF706qj0yfBBv7Bq8LPUpDXcZGqgAYml7xQW+5B7RxR5VtHYfzCj7y7XBKM/TlGib
2y65P671UzTiwXF7fSTeJF82MZesZgtKtCIwzrqAGiMzu81mR9/WEkIs96niD/IlcpEHvnUXqNvb
ntur8FcFeAwjJWdw0yDS8M73I8FS4y9yRx/Fl8DryTlr7m6rLx6bzvI3SR6ZT0OmHCZwrAN4nVKI
p+gNw41rfB7w8p47DR+CyN1W+LmftQbAJrJY5iHr+21XtfEBUbsnQEr1sdNDfWdr+UnKQndtFSwg
4eDL3iBGqaMLF8zXkcZCBCFPnxNk/xTK0JkIYis4fBm2GOPUPyGCXqzzvrAXvjMrK31O3X3t6BUF
2uIjdCw4soZKd7Ps1i1QZoRx43Ubtodufhk1qKYwqGi5zi+1geSMpXyeDRd1JaWet+MI761ImrtE
V4t9OTfXqtEc2HNGs8um4os5wp5orSrchU2PW7uH7bftJLs2os6LGneG8UjwuZq6r3nYNRdbQN50
+JwGSm+Ct/s05120n4ucIiD0Q1SgCtofyTqbwksWh/5GaWxqBaEtNH7Ul74N520SVC5oESbcRutW
4W9diYyfHj7U3F2bgZbnopjwgNPyKV5BkqtWftBCh0QbCFL2sOiDLLiD9Rtubd0/SP3yWDBewrqp
KJaK587tl7HwQaAYD1dXskjkAi2ND33vDBtpBfpuptq2WNKsXbNDyqUn/zKlI5jj9NpdGu/tEdvr
d+7P3MGzpAsPDl0CpsXCF5jaWPqKyZ1yexLg6JK+UTgWOroeI2BXuaAE5QLS5w6t97bwSEOwEn0h
vKwkv0dSe+obyUes3TYdYY0lPLJoGyCiKJDfk7TQmjDTiogVKBDirxUJpy35V1O4b0U6Df6sjYQl
l9ZQ0puiuxslzEJLFy6BoIi901pAutt2766nCKMNi6hAlz5gwhZsFotIWDNo3zepOGZLP0AOOaN6
jE6OsGt4Xw0FkF1uKwPWHzG2ZKY0KLOBAsdwqbgjOQ2IxgBeSSdn2kFjX7bC5Qz1R1rwMc5n8rrO
0rEuFJfYEh5plTBLE1c5xD6NM1zupKPy7Sr/5HAh/5BOyVdrUov1zeBCMu3kjXAj3sm1ueqoTMA6
fr/ukkkkF9L6QrK9SkkB82s72GR29VFee1M6zclVjbgBJSOleYGVZq0dRy3v1OiLJMf5wqsuEa51
8oxKhwu5aIW7XSd87m775PkO4kbbWhjjSUbebaEIT73bplyT+2b7c1XE7Z3bDjWkJ3FO5e0m15Ks
tqFsuHjKJ+E3Ptk7qez7nXe7Eely3Kk8WNte+v8FqfsBk+N54wqQuFxIMX5LOqDI7SESMnM4C0q2
1/u1e39GJRdNrgIyYGhL0MoT0Ht5fX620r1dQ6PziOCdbievzbsVx/uT+75uxeWrE4MykRfmdonk
Fftpn4PULe4tOdZZ35/edxKYvHby6ZV/wV8DJRtQr3iD/v7w1sIOUm43EsSOUll2R9gH+Vh4h8pH
Rj5K0ptGrt32aYG2dRrd3ErHmcYnvYbma+FGsG2ERaUpaBbyb+8vEPuKAEBxb6HsiAV7swerBDD+
+9pP+xRheU6NyVzQMAP3HpE5bBxhtQlCsD54CPe9c/R6Mh25BmAAvUvcOuUl1MSAcruimfT3lNul
MP1sAKfKR1A+koX0Bg0CjdjFwjG0E9ahtSaMyN/H2ZMnirpy3bAdAxQ+5qPSdMZGemKhCWtSeYl/
MKYpDe0hj6m6yAudv1OkhMu0fGTfnZ7ripJm0qEcISma3o24+cM2+Ey6rylSLZMkudxofpL6904F
zPpW2SbQzt/JfmKMvrmByDW5kOO2fImPfK2fV97uNlym/lymOBnjEPq+yvE/516ALmTSmBvJK5I0
IntKcCZ4N6Udje+OvhlCnmjKCtrvqBEf7eSqfJskJt02KVTBfAT28KUvIeN+8dsk2waCcdNrTENy
7bb4q325okDLur2GdhqEyL86xEiusgZK/iYPk8r3IYhJBdWItj+87a/e+9O+JITeNzcGt6P4rvKv
uEBenYFqndwqxnZpN+isYkv2mzaI6Sin6iakY78t+obZ6bZvgEGGuKyqbNRad7bjkB4yPM23BtIr
6UK+LZhwwsIcg8PIN8udPx1Gbv7wHizc1lZsICzHjw9r45MWYnkpX/V+uPfX9iWgtoXL2dCMPtnK
v8sFYhx8mvxrDwtFzbhRFDiLyMUO3FqlpqIDDPFkuGugZa17tOvqXf+dqxKFIMvgcG1nMbkDscRz
Vk7upREz6lBwBJ38KL0vb36YAXRFLqGfvdQqzTNJx0Lk0d+45XAvvWb9Us/oiUR+fj8pqDAwyOTv
HCJJJJKboFtRa38nFnkZKh5hHK2k+ej7Qg7bcrVEQYAfP7UPNCtp10DQzcyS9ocYOqQBsOQOyU1T
zghx/tF14BNMggpkipGnV4Oc0+ajYkx0I3fJHyQXQawhdJ+l29azxnLXiIkL84h6H4mpEQBhCAof
Kq0kySlMDKR6Yg5U4xRY4ZhPyxCXYWF38rt3rFxr2izcw1VFCbvZW5g9W3RmaBNZ3wyD5ZqGD5IZ
Nd2uFUPvKF4q12rbXMK5nXdIbfBFBLEuGXRuQWkeLLcHEzXsCeCI2VpqsYtEOAUmBm8j3TLXQeC/
tP08YHsogsUbFWvGDAxvCARpjFlbx+J3guSr93INmV1vE+NhFFdWqK/1oy/I1PKHy4Xdhd0q9+m9
IiqC7VoujOekc2tBLg+nQ7DG3Q77xljQ8odQ2YRUALdo7Qa4b4mncVKCc2UV40beOJ5w27be2e9i
1W91bgvTv6+8YL6TFigq9axpKVelw22uq9M27+J3j2HJwpNutlwj5gW5KndiPaWgK4ELXCJ+xG2R
ubGzRQOH/szv+y0RWLQB+pptg9JwaVo1ig3KgzyadC2Wa7eFdMwFOvupywJ3LQ/0gze1PWaceBOe
DQgemt0mydgBocFuF+KkY4kYXC4qeatZ4QqdlXGnJgoXWP5BKQySg7a6+uLSyLvN9TJUoOW2hbsZ
txtUdS6uccXd7JBL37KbSTFsE6BFWR68Ueyr1gA90L9BCGcx53DZKiHl4AlRBxVEBMn+9+0sqIZd
giqzTxMTR0L8LAq3DyFbVyHannJvhAnb2rXyV2i8uPN4U7+nA9fv5eaf9uF1ongYyuHHCKO6+FD1
2XDqfBQmG3pcqUqhqKeoD8Btg5xVtGxt5bF353gfqb6zCXXbXrpekW8dFGXW9CwFiHeO1rXqzmct
uyDS6UAsLFdpWT2Wzewe4rF4mk3f3zWRFSxaw/6Mfnd4P+B9VsMuP3edVtynwa703SPhdgwrRjUO
2M0stBgqAWSr9UBDBr1sc5m6xtmjmvvsRmZyl/So7ze9c4mRGqYKA16qV539kFCoHOPe39WwZRMf
ckXVOECAh/4edwR/N1QJNYjB2kSBOq5wajl2DunH1MTVDmmDAFahgejX2OCL1aSnHGO1teI1+dbE
mGNhV3Z313bdDv3+bBlUFg1PjKtQR1YoBU+fBsMzloMzoF9L83qhKUi+6fDU7mjZfaCyVR0w56wO
cg29o69YIPQbq2pAj4cyyM2MZaKMdJuocy7nUpuWVQexLJfudwGyQIqPbayVmtEJjRUKn2TjG/yl
ZuxU6EeZxS5Ow2CXI6o5984HhrPhCclmF5oB5C8Ydvg15LT0g3TIPiAesAzx16QMEjQr2Pv4lzjj
ZjKC7l53BcCl7JB4N/UYm4GoWCmuezRg6GycSsMOgdqMGS9TSoUPVqk8pThAbl34plpLITUzulcr
Kg6Gpw9rSq3bDtfYhfl/2TuvLUe1Ldt+EfvizatAQia8z3ihpWXhvf366qzYuyJP1rlV975XPtAA
SUipQLDWnGP0MbCIelEExuztzWj8UWlYQxeistapDprIeLJK2t5RnaRH01qeZyhO+yZFUTQPrnWu
xerCyBneK+TQAL2wErVU1pdU/QZa4EdVjj/qGIZQDblgDwV7BVHnG/ZwXXYm7T9jM3iBU7pa8/Sh
sbU2NJpNHtIZwHStWb3vTG6WU5kHq0quA+K65uBypwAsDO2qJ/kANQIk1ir252YBtqCAi1N0JAUQ
C3aVuhhgYar1Kl7AGdgM/Q8G4vZTveqYyWdSfqfkx4glDk2fwRD2alXSn6pGxsTAOM8ny84h5Bt+
m1NU14ahpJSaeOPaQrWYL5q4mRUoaDa4ForREM76gWYGEXA/e2sbb4Kb2WVMMHcut9oh67jZE/W7
m3viBHDqhInR91DLtDCySOEwqlwHQ0hOW9N5wcwJCmrMvY3U4uKhW0cC1B/VvC5OWdZ8q2eaJZVm
/C15+d/u3f+Qr20Y6HD/u+7dEzjOn133k2b8Rztw05r//aq/W3eu9pdtUTdwdA3lDndu9ER/t+48
9S+D9AbH1l3NMVyW/9m6M+y/sMvSFTd1yqKyP/dP684w//Jc/LcebT3LNWB8/v+07nTE7//ausMJ
4Hl07UwVCbDqeX/Kf52lNRQxWZCbNUfx5bBH2r4n0+iha73IUVdl6PTCV9Ul4rQhT7XbBmXyEblQ
ioWqkhyHyW05LPt8+HOoVg4YS+YBnf/WLpLDG+JSqrMax8xy5PbHqmu0Jz33+rC0yZtmpLCTmWng
FcmK2iZicjFISsQwpAtafuN2K1edNVkXlKtTVBEuK1flMDszU4qEmgE6tLIIBLabZDiLSTk1ph3z
64vhobvZi7VxLpoCUru1CR7Wy8Sodi7a4aypuOZ3azRN6AhKbe/Y5SVZuREWXUOaKlqC1PRguQhi
a2fMsMtcP4MHJJY5g/J2a5jqlwK64M2CbclC+Ucm1xodBRMQvxhQxNR1ftur491kimyfAw73Fw0h
MuHFQbLxq4aYUNWRgeFAZIOKq+1omQx24zlB0eIckGBuBB3xVrfGZSHJ+0DjWENvhIs4zulmGQNY
sy5MGAD7lDialY7C9EywDiG3oMqHaWZKNNUHvTBfIUA+dRPxXnbkMS3MiUYpZ8fXiuJ+gVHudw6M
U1OprYPrPbqxNjIM1rkdau5bSZOprtt5b0UpGHzVu1qIDtlphasc1aUCcdN1qC2YFxymdjO5NpTJ
+zAlg+VZEQ9Tn37Jmd6VybruzBz6X6RqQcZ4mc7dMAWOZ/qpWCn2uwokOme6Qh/9WDiaeVQT8nbd
5BZQn3lAB4KyGwlGjiQzwM+ORUu412ZHvKdpar+UUrGDMtG9c5PXd0bWNvd6dragx9CmQqe52PUu
Vh3zQJO2hWOIC7rUSIvFMvvgeF17QPS+VxYobEnuASWjqkvaI0AwY/6iJzB7yCXXDsRANMwA7G/T
dhR7uc7S+Q0ea3+sN8g1M+n3JNIT/FRMPLc5zfrY5VURLPp8p5a0TRmUmWSYT4ZvCvN73NtYPw2H
NHGH0yZK61MJ2DVE8RF2Aw6FXreJrAaaWuSer6jYdVVAi3MTbQI+l1tovGC9IpVM9F5A0HpGV8pg
6GwzPxuTg9VOp9We/Lq156uExkIQ3QO6PlnkyJTuOPp2az3qyfgtHxTK/mt13/cqYW+oxZSBGy2X
NcgW+nISxhpombrXohqIH71celbdQ9kiq1rmxMdDAYvOsoIUH7fNt1HauJZBoRFLUWHfqBuSYOLs
qVVJ5aVYflHXY2MSmqIP2G+zwjralXrFKIbwARPv4ZyMy841qm+cHQQjDXCV1MQ2dlimNlTKAi3Q
w1y/eDvO4oB28RsVu5i2RCinexq4kwhi70VTJzSDy3RA+U+DsAJ4Z60D1nnKYcy09p0Sh8lKdYl+
jFJ1bQhzzDtwAt1X7YJAdnnrJvjgrWno+2X7YA1+NX8w4h7ibtydCvOp0Oz3DNn7QTskFvlWzeZf
QM1XUqaHxDi6O+MwMbRwfg6W0x9tF+1a3UaksukmuNOse805zY6OMQLunghVXJncKKV6iTxsdV1B
98q71kyVP0+xA0Iw43Utw1St6lB4Xhco+pziZker50wagRKnuGjfsnggjJoyxpELSJib/DQEs5hG
lLf29iZVU4TrOCmhwNUfRCoMdQWF1txad4Nq/sgtrqk4FAbU4POY9DcoNxagO2186rzHaIZm3jkW
qJ8lIYRMK08t55g6LDb216XeCR3B2JLACh1TZ7ci5bY23dg0qt/1jK1Cjb/Git9CeMY6kDDZKn23
yFG5iocljpRQF1w5QUz6teUkAflk5AByNgoDPGaU+J5pvxgzkgf0ZiW57DGhki6Dx5i6O8aKwldK
Jz44pVPt16k52UyqUSRuNeNmii5kbIzlBMZyWojMmtyfyFvNw2gv4JRwS/rElSAZeM9tGkQRdyq3
Ld4s85dSgCfWFAtocJ6ccCgTtlb/cqtSP5P6cVRabTjGU/40F1s+lNK2YYmhP2BuYN/BePSx8aNk
VUj/JGFJHX7UTUyM9Wq8UAQbgznTFEaSU0mL3dNhxBGMpnOZqk3sy/lycph1uczgFJD9rkbC4WSR
UqLTpDyVSw8KVitGxBbf1pqBa2b01oVoq8LW34kLezeYAZH7M3QBkRvodTLqH15afoNM/HVeyB9h
YjWQ4FYw+SDU3sOgQPqV4d2qDtGMS5nlUKWjL22lTidXDNxlhHaKChFamDSov4BmzY01Pyqof8A7
Q3O1TBW1ylrcKXQzEfuZu0jVo33hVN1JLDb9RwIYvfnSafwkKc1GQSvS+4VZpN+9tMW4iWD58uqV
9KjJgDnrzTMMgYZwGgyiVOcITm/8bMV8XYqJTJ5MPDUF96JVn6IQqyZw5JKLxpSBRxgprE5GzoST
iLZUHfRTh9G2Pnrjcl0PDO+JIw/tNX91VdPy6wZxkuls45fyF9kzCqTKFn2waNyg5KYSd8vtkuEI
sbseyXW6kNESYdQm9Iu+kfkQa8k+VVbrQhn2wnX6JrHr+GAZzUsLiSpcMK4r6YHy5RwqnXqbpDg1
+7FZ90bFb6IrCXOyTftBUSCjW8ycy0o/bMMXGnRRYMcEyWrqjVNaj/xy3lSQP2eYmTjSM3GWmcFy
kTGQyDoyyhz9oSZLBvIBhRcxMXwYLdy7oiJ9lTCUopmqU7ESkC5T0g2hv9OfTgOVaecM82tvZVzU
1yy/F7TBfVd471RDin2N6XSOLSOkRD1zrTPJs08K60kdcQGLaPmiumO6n8AbKq6w8l2tFgRbuOVX
JpmQ0k1GX2OmUKHui+JBReAOGjP14xRzd1JbRyZCO4qXzSHyfkTMCPeWhqY08TQkppPrQs1Asa8o
37jmE0alNLdxP1qHuKHSZyumAWXXo41om9yzyN7ZtY1LnCeSa1qeiNgwa6dWd18iD4iI/TxhsSGP
ffXV7fqdTiTnfXSjShzT1J8eZID6ROOUlBXUVDA5HSOYDArMmfFgpxYdoK3bIpvGqohgp/Oe3SZX
KXpSq3YKv7wQU8NtAu3agRd/lA0yardPBrVXn+v/NSiS+ewY+hjOXYqkXViHaRa3Mo16MXWS95Ye
tyQUvmPV1B8dW6pgzYGo8Yey69eTkTwuBBu11JFx9SFO20q9tkf0TZaIk+MV+K1HNBVaQxrhHKHg
J2K2tHX9TKxkgnGaDnbh6flB6eunj+b6wkj6MMwEu3qZdSoGfeK6Z6IXZsQeb3RSMjGzvZZqPxtL
wTxf2OIEZtjHHA4FGxgz6SRY9ftkJNsoIXwI/j002q3LLbt1RfRudoiWgRcfKAPEAT8S1XAfAM+2
x4k+oKHb3aGPd6OgUjl1Obi3Bb4/2tn+mGpQYlE2HPrWBu7TqeeOAlCA+2kkvyZez5Wq2nvHLd6L
hFbqmpdn2eF1GEf1kC5BML4342ORuj+nhOuFUCsSPTUlrPT87DXG88y0Pmuyp6RRdMoy0L6GzqDC
mtpfvYQ672ph0ScJzeBriJogmQDPkt130uL8ZfUGjQ9u+nHhvTEOFEigQPmWdnLI4A3l+viTPO/N
cn+O4mwia0f86uf8og2Vca7Vp5r0jlPcGwDbtkmEWVFItjuLglzd+kO1jIxGVccvvarZcRpZ6Of2
pcoYTK1BeJVzdq80VhNaxbjHe9JArN+a1nnV+Qz6ar8ml+JUeA/tYjvneltM8ffccReiqdfioDfl
i2FotBDUVfOIHouPiYKtUIkFyc2N1YUGEzdzEga9zvoLIwoQ2QUXGwfEcQ+VuKlV4o+KFSL8XD43
XGwPthGIehkvSdI8jhMhpdXgjBfFnf1ldYmHHI7OmivnLum/Mnp4AVhIGJXdXSxv9r0hBbOUHdRJ
LGdiL9QdOpYmGKitnwdqQklD+bizhnlfOqBH6yLXz0pWOSenekVRM2PlTGDcbM1ncyru9UYvfW+T
lKRbY4FqHD8Us8pCFJoLpLhKA//z7qS0jfAQw65VldaPh/wqn0EVp7bicVkhrJauHL9uNy0VZoTx
kdo9A74lcY+tF6MiK4iTwWSB8yo5L3eFlQ/+1HM4x4ifqgVkXJ/24jIQOHXqaSMoZUq8k41d1xPO
S+wYmi+clQve1q23motdUhRuSh8FHu89wCvpB1SdcUT7t+q8lybBmhhvPRh5mi9CpVQ5dGgf7S/E
Cr2LDKDpuNRXqa5dbMMY9ka7XnJyuazJ0nZJDQ0Cqax1blWG1I5FsW9raBEqDfvtvSBheqdXxRg0
7i8on8pZLlR1k2ESHX4/FSvn6DZ3NaHYfSzyengZq24+TIr1967GVgsgzWO9l4vIdjAo5RQ/MfrL
Qfp+pSH9KXihZqftFToBQFlwwiSJ7c/KjNsAwFwAZRDqnY0ej6wM9JCZXeG1zXy7AIwh8mb2c6UZ
D/1rwsUIpZZqnpOmsD7WsslGi9FwteY+hDncwmUYl7SvS2WLO5rpnvTxNEC9N/coOphWms2dR3po
qNqNc1wbO3Aaci/G7bHPhdyXp7QgY2Wu9972lKYqSFpP04cSseZhXrBPGcm9bhbA98po+W5SXPGX
rdiaVug8d5Xt3TRKHIfCVrkzb5jLHkYMpgpofGYLQwlx49u09THxB8H+qUTmk7b5s6aqb3ypB2oF
ReYKvNqt4GSGEymp1B9qo61HFm13SU0w2k2bfj3LhZqOyJ0HPTBQjHLZqBjGbkpLuVDW+8ZQ7JO8
rX3u1nuG6PyGlsJSz+q2WAdYt71JsqiLhmxJzK8RMSkHLdIhTDmcVCk9jP3KOQoqrTqtazZdSnss
yCwrU1BAc94wVc8PXjmeYkUhMNk7cA1QubsImzOnMO/kolDUb+pQPVq90/m9pz03OCm4cUb7pPVg
cqTJpWrheY96X4dtpyPZtMywS/PQgah0jUnL8U0tLgMj08wrNXW6XZ6COjfiL3P5gFoKVx202LKK
A+FoyVdzHNRdl1vdhZCye0E26WNNMqanun4tCNrE5GXdRR4hW4XIf/StEkbeBi6pBzS25loF9pwu
ezvLKqLBxvFpEMbFcmLIOiYTA3ws8aXV31e1gM7pDV/KjvBXkmiqOjVeuzrVodCQVYFusCJ9ihTd
Ms78Ke2Qa7uEUVmm9bMf8iehFt7RGtTlMBtOKCamZ5FACL2CMF3L8isJOdr3sqEhak+vC9ihhza3
Y/oQpUkOhy4w7JM37cTzTZ00P1TPJcNhs4FVIOWoFaZYyivvZPW6c40njGydYpnRA0/eVVJ/0wh4
uNS3c16YD8xA9KCtiunQJl5gCq6I1bKCCUcsHsS1VhD3St59HDOeWOySHgFio5DZbdA2ZXPMonbL
zpijq9hMH6wJYoHI3nVz3lFZt6GaGk9ADb+6r3mseTfcFeOg7S3tSRBPWPSefprRg+5IDFyuepog
h5VQhtBZOu9KVND+0y3nuSXU0YuBx49ixjNmacFYZ5AsjF8teRsn24JGtTIcYQICHCfvoqdqJf43
VhlgpI45XzfA6vZGb4+BcKdvuZJ0t1bZvQrk4b4U4klt2ODFTkDVknHgdhNWto7mkmSEmajdAdoX
jgVvi3LdLv84edez2+LnBN35JHcxFlrOdw0x1tS1WJDuPII7Mppdrq/kdmw1pnGr3/bbQqFF4aF9
y1wcnsayksKgcQLmmlodUjN+zrYrdzt6G6xWkDU4lmcp4Vn09o5ZPRLNbZcui661bj/3M35EqVuS
CymCdO3mUPVkmybbHacRcNpg1MvHifwBXizFE6VgrFCQIePbesfgWkp1peZJLvS5C5aI01dVEYIP
tkBzbVFBOMtBD92hv9dyLc3RDmsvcqZTMa1xCqEhsCVCfOZEsTXth9a4IiR6Ec6Rjf7Drr2LHm8c
95GCoUdZJdLIxQYckB7rmD/eOOc2o1wP1cHMjLIhwo6UO+zHguuHcgdYglzlqAd/Tr1gZ872z3GZ
tctiuhfXTTXKf5vohZCCvHoQMa5EDcADRx8Af2WEERkpkxeqx4leEEgQwamoq+Y2bXivsTFJJGys
u1iPo/0Y2aB5lym65mylhbtUXCIrPRB7JaPF667iFiYVWKMxrGhhxgSd+y4aAspHU+DV26UmvhsM
5y4dSY4FjRjkja6fAKQ/ZHH6i6JWFvL3zmbcAUJt9/mawNeox+csLXA6NlAJ3Y0DtjW7Wv4EuxZf
PgStUt+7nbYc2hR6lvFzWMqSyREmmynGJKdHtwR+hpmXUenpIhBmXurrFBe5PI6HueEWjcAOXktI
UYOMHYXAeqqL494gLJd25DydQQtxLXdJ0KsTvmxnbcj27TKPdvXWwLN25uReZfBHg2F1vpWZd+q9
/KqABkNLg/++t75ak3NOs32jz9kt+ZrU6GzNCuoOyqxaBTVF3oB3ZnCT2bx62K5hK1b8RctCZ1gf
Zw0fDINXCMnEzvudgTWoMeorPSNh3FFS7ZYOaVDoCieom9AqptirmVzKbX3CTc1IK/Oaa5taaU5D
cVap6U5eg6ycMrrRFu/JtKXAFBHpnDmtzZ5g+46mr+Eau6ZXHin0P+6biP5Lrb2NHWXfbRhbTl9V
Zte7VMdvVKzJW8yo6KGr+W93MAl3Zl9QcGY4mOTxIxOB1IA9WUxUxQVRSjWpIBF3PKQiflkXT7Ye
XzuMidFviOt5+0M3i9lcOSmpnbENjVv/7jTuenD6l9LLgSsWzjOtnxfL7LS9GEwzdPr8enIohXh2
lDHwq2+a2IULOCkFtwziaETknDqh6Ud69td5yt2sVLLIH1TE//PrkCbOSSE83HXzg2YvXlBzzeKu
1qKTssCOD2gtjLmnmK8Rb6QJXyhpdMwt+0HXaQgkoxftVWiYq2Zf25Tiuk6lbVLU7bnoSNct8gi5
AfoFBQOZ3mrYV5yDGk0juUpmGSzEPtowifYKvBA6vb1vxrR6Co98Rt34qXj9D0MXOGKq2o+VKmdg
/CUWd2KIIzLjsajo2FxVhgc7CicUsMj1crfMId77SisMXeaego8mZ7ldG74slYtKdHaV9t1qzV/z
95Iu4S6Py2tlUa2rIhavZfqdmaqgeNdne9T1w9rn2Gl1pmw4PBJ8BKtH1cpUDnPR1U+dyQnirI+N
pbrMlzDiY6u/DMk7vkB+aZMd+av9lmrTRHnAOPTdAkYwi9tgyO1zndmBWlfLYZwoCZhCK7l1GVoQ
UWZpG/4rRYrx9A1n7BikmfFs9vq3xMBB2oBzxcxcvZQFpXJE1dmOOOpLO7Qk325pXBnVxHLRnuiE
N8Q5k6fcbND3pyjx2mPkjFfwAaCgEVjipUSj2iODn8IjnSxdBBeK8mus0dqvLXT9gnQMg86JrzUP
DoWRiVFP1xvTgfzXCif7c2bSHkrq41rCbnQd5UFVo/5RmPprtXhfyozIeD6cF/Zc0jth3+Do+hWn
aCSWKTZ2WP62CVpKz6jkbiQYQaVxhzrQLcBA5Yw9SB86I4sNyr2eKadhom7s4d7a2wZ2ZqUCxDlp
XrzjxkbUaqJ865QutCJMkVqH93xTXTszjjy3xXDlkPRnKd/5sQeiJZvWLGecXarO5FoovqPfGsVl
1PilNekz8gx1Z7c1IWIqzYouBp2T9wnuHJd8o/qK0BRYH/NWwMsQ8VXtVUYqYjjlB8Y0YJfcfZu3
BGEZouMw1yCIgWNq2WNTG7/0FuAeLRPOnenL5BDoFwlvOBVNfi2e8LlxNbzYFrA/1L58DR6HGEXd
XEfKtOuU/B0vHIOVpH+liWD5jaHfplQIT2mlQK7E6wbbhLRlkxFI3t/OQlQ7bvCFjwzDOYCpQYJC
coqukGFP0Kyw/d4p8V6VBp3BpjqMufe9J2KBBLbavo7T9TRuP6iOGlGktPXOa3eYxLcIY+JKM+4T
Hd45OjZcXKxNW9HNzEGXAfhrpjp713YDMuiGPdNyzsISzqHzTnXze4PUE/BvvZunk6N56hMkX9pB
eDCNbZAYG9+Tpb8QFbXFjzTBClbVVjcHkhPv3R9OqJUFDokSCxfpW5SMtrg18oWEqt7mevqVDltz
SPp+2VG9twJTSR/bKrPJrM8exoVTTJ1p2JX8pHFXLuU+r8k5zkrgVXY3P5lOdS6KNj24zTyTY0kH
UtQqCTU9KdCp4KLquBWJWvBmXH+lb3SOW+eA0QRL7bIJ4hiuk1N1ZPT7Rnglp6ZOFHAzatcJDc4p
L7+a30FVGTd6PX5RBkI2WqsyTxiO/HVy7D2SBHsnyq7aWzNY3QHEI9cYx29UB8biPF4IqqKxwjUj
JDWEaLB12LuF962iROWstIIx91LtcW/o5cKO3EqH1WhWuRv2oynCSKr2/nPhbOpRqa/8fEDu+9xU
yCJD3LkpEJsS+pdUvpZS+fqbHpYqQuPTwqmBhG1xF9zZqrMUJf72/DbS6X8X+XMtXy6f89vqx+E2
W0u1FRNsnZ+HDAJwjeFWW7WVLh4PyoV87edmIkW5n+/326H/ePrH+y0QB/Yx6XSHOUonyDi4Z6Q0
U6onJxmdIN9as4V2LFbYHXDLntUVxbcTq+XBjPvvFMWW4wCJAFucWx1LRtf7OrW/I24/juNr0qCP
LYzEF4uobhwHb09TfknXaXkXBE2WwnGuXH2wjopOKhmTJdouMuLiz1WZP9G4THDQ2r1LyaVU/cpF
Kn1GcvVDACxXhe41tHm2v26nOum5sKj3jiapgMiZ2Pnb4/J4jtRtyodymbWxPUlu2joiw48jyW3P
XBlb2iCaa+7BH7u2J39+rI9jfW7/u+f8u32m0rsnpwul9NTalKjTlo3imIvxIUyVymepgZaPfqqh
PzflPnkAufb55D9e+8emfF4B4IhxG3+LdmuO0GijrrQFTElV+aco+8+dRt0y5/h8vNpelHy+SG7L
h+2G2c/gnuDA4f8dOKXpV7MaVQ6aP7kqH5ILKyEvvlFOny//4y3kpkFY2gc+7n9VaP+TCo1hNVCH
//MPoOG/MCSe+6/iXwRoHy/4W4Cmqd5fKqM911WZzuiGCQXiH3aEtrEjUIRZUCQ8WpVQG/5hR+h/
qcyokBaomzhMM9Gm/c2OMJy/VP4ZG+XBclwNidw/H+3/gR0B9+8PsJXqmqBZVbRPNiJVj2yJf2VH
VNTtRbW4y7WtKZCkshizhJTl/7aKY514knHrA32s/vkEdBzUS5zhMBHAWADcB54tLCaY+KJDavx0
tieP0rI1HYbKRPvZJBDFlDsqddOxHdyrtlWmsxmZ7l7R1l9zRYx6uaxbF22hVDdn6aFqFdtXTMaw
9hzjrEXkEqZOfFOsW9iOSL8g5X8DQuFwTZuSY20iRc6mOdSLoQEoz6jUM8nRI1Mqo9afURtMJmsF
1Ex1lVslSm+5qmiVuz7KVbMgX/XikhQRUF3gpopU5e8XSPPCx1fx22Hkq377lj4tDmgNw6RbtXBI
gRnvpQFEyxjNvcnViOnuwTTFk9T1y11yIXX6n5aRP/aZKLX4W21WgA8tv1z9sJTIV8pt+fLPTbnv
823I4OQYcvu/rP737y4P9HlcbErWaUna+UTtvf6wmss1Ku31Wa59PtBl2AU/N+VabG02ILn6+RKm
8n8/Ub5EboLqEFQ3EKT/uycDW1lRcm1v+tsRP/bKl1vxFq0jVxOHJIlGfHzYPz7T5/vJY/3xVnJT
bCeFopsjMpF//j+IgEnGk9vkedOvrcdNdbNQvCjlMtm6Q5NEGMhVSSywCxIo47YK5a6PJ5bb6OPz
KR/HkM/+eNL28Ofmbw9nMjBJ4hQ+VuWz/jic3Py/Pyzf4rdPCZo8Jm82qWiYbfLMdHNIIY3/+xM2
0hzlTUpNVRe2ysd2teXCySfJp8tNzEXpeXqQe+WOzyOtdo+VRm5ziyvPcu3zlWUxQb34fI2rDAyE
C52cK4G2s6Yn2DNp5GT+XB2iksHW5nCTj88lQZE1jK7dRLOG9JDMCMaBHijShDHIzPvCssDpbpR3
mMbduUy6K2cZFSoujOkgbfq1dP64SVQACdgiMDXpB+LbJL98q8RaclXuFb1zMYGjhXJLLuQL5fM+
N387pNwpH5ZP/Hyd3BfpVEWqtBQHhEg0z2jBfBuXRpD90F7WrQ+tlrm5Qw+d7KK8f/9sHhndZser
5KUdyhHOuYJohoqsKF9W96SWwQRrciypUGdLc7OazVNl5UugI8eEObr5S23rqi1oQ8uIUZlEKtc+
F3JfaRt1gJ8fbMz2fawtkCC/aFC2KNgFzRSGB4QwGz5LY4SxwNIjg1lzW2N6tmpPyUePdpMHRGP0
BDD7nlhpVJ9bK61PWmOXTE0SyM2CsojZ87/Qx4ECwpzRGNNp2aL31ypILGSSSlOr9LM6LbhAIgAP
PUXikza8WMb41XBp+xdd3FwA1tcXVKUZkYcUegrViNCOro9R7vp2PQDdb1bg/5uv2Nqit+RaRxnh
6CC7lSQBN2kFMcgdhtptniPL5l3tYnGXq587k1G9NSD80VnkFyQX0jT8uSnX2kXRoGCYsO34IclF
tpnMnVI7IRpCXSjbjUp826i4dO3WrgOl3rzsS8GUzI67DgUqVYN2uNO9EQrgdrIa2+Lz9Pvc1+Qo
KJ3RzJG2qhelqvIQhlSH3IAWtSWTBT+35Vqjw0jakSi4HF0jDxRnnM9Z7Wx/YfJh0DkItMZyWwBt
PCOC5a8y6Vv2i9Ob+y7aGo5quTKfnRS8Has5nz9WMb57ROacBBLpaCKGIW6JTIhr1d7FwIXolHrn
rNLgY2yLBswqAQtne0hd4j86yK0GUMnELcHEyUnlvMKvpFREOKmY97AeUJcjyx2To7bcd+lheaT5
bohT9zi/05sAxOlSzSp9oleOyq9KhDFZmgWoqR2nYvYjwaN3l4xhHb8hXqzpganHZXjbfzeouIKd
6Y66CFSxH2fd3ztjssd3T+oP6Oxj6frJehOrd9qyb8wfQ/R1LLZDYzszPJ+aXz4H/cskghaEhfha
GFcDHe787M6XwaV+QDkpSFEOV2+CdsL6U9f3KXEqtTgn08ECZ02NSYHIsJsyf3THw2Q+2yY2oZNh
XMb41flpb6XrZ8vbVwPIpGObXlf2izDCJr+KxN5FYrZczOyqFNeteqrVI+yrrt9XI/LnEEH4OkDU
McKOr1NXaCBsRvojcEit8QcPCooPQkP5NdfdztHBMQ9v7RxoK7Wfq6i+RdFalAehAgu/WpBB5eE0
vBYK/aT4ru5/2GOIufOCuJoMbHcM4ZFDrXfmoMxPQrF81z0iHejRMmUUH3fUKyP1Jh7PtnvsAGy4
R+PrFK+0gEN1oJx60rOrAnxX41fqjfD8bqSEss+Np8R4Qb9R3C1xuOiMUUO12vW/9NxX39oXVznP
6tH4ldpc3ENKDNcFmt38GFl7W+xJuK+8MF/98SUlVGU/3W5spuf+OgkMlwQPPwP3C7WgPy32aTbC
WpzoKVntz97Bf3Yhh97dOv/HKjrYKxP9b+nKkJrL5LDr1ivVu6+UoLJDtw3FCtvmLhsuaXIeV34X
4JlzmCDZryp+MbvrmPPoUnvb902nQSXem/8bmONfQNMwP3ENUzhNZ3FGMxAbe5s/4Biu9cWCsUg+
xg+Sa8QcNHrg9mftV9XeEzFVU9xVty+M74nmMS60M2en7qDvOxF5X6A4pkQ/7jhYT037AiosmQkI
Oiw9zWZEw35JMNewLz0fsrDjXtT+qM2BelU/WAqRAU/Q9Ff1aIoAJTagjjaYSeWqLvm6n1qGDlcO
UueuDYgUx3dgQqZfdvv5fX6mm5MeNQ9d0H2vn7Dp7sbxyuoPS3qYQ/6bhMzsrJyyywlCo42O5mf6
jhDUHufd1IWAySb9YSquHPugPlHoNJUvaknp7TZ5Q1wJY8kmJ8ZmBO4XXzyD+vJVFIeFdlcTeaMm
D9Qad6tJNUa9a1MIJbQfRKCZB3PYgRvIi2CamMIHI+QDbUdMGeuYEsGVDQOO8au0/dYX4HxoY2tP
g3tLC6FNjwXeVpiYPwhv9J7d3rf2xg1+F7gmDvdmD+vqGbhGTXXwC8GzthOmkPVKtL8h06LqTUFW
zoUTHBldgybgKJ0SQuMnIJXv/IaT2bn2boxLEZZHwk+UjQmN03lHONGu4wszfNwkfJJEASAG4veZ
iRM9tfoyvFnGW4O6K9/3x+FB/xEZ+6w98tEcArYjkxj3m7YO+UxRF7rFlQ6E39h5fvxcvyJ4M5PQ
8C45XFtM55CvH8vI7ykVcSnWcNROV7Z6EN+G5Gb1gmE4KV+RbdNhU3HZoL66GSkn64RV+8lz+Vpc
ozu8NZ+Ufb8+iOSwwuNDHG3cCnSFFe5B0CA0kdJgbEIjv9bmK8W8bqNLjCOofl6qQ0M5Xrl4+f2I
QyHzi3vsIdhUFHVH3Rr5eH/nvdK+875XL84Fxi7GlH37WIIvNE/x/XpBeYDnfH71kOEtoVoGU7bH
H1DwW1aC9E01zva6x/6xG71jR5QRhhDE7iLI1h1YtIZf3xWmT0vxh/XJXJEC/Ad757XcOJZl0S9C
B7x5haEXJUqi3AtCypTgvcfXzwKyepSd7WLeJ6qCSVL0AO69OGfvtS8DJ6XNuyWeWuqxPfpQW4Hn
rVKutrV4E9SI6xAlPqA2eZxQFpiIMVsnig9ditsJF/kDbeJheqV9TE7gbEfhcwbMrW8JCrxFFuGI
3BA3Cu2zFCL2Paq+dBFnnPRx1zOyRGgV3ah6H8qTJBwbapSYwZkKTbuifTeinSfEEFyubaHn5Tq9
75/mO5/yNnyJ1COvnhw5oQkVGiyot+zwUXeq7XBfLIl3dE29nNJ2Z+ecZ6MN9TBmth+SYRfbsN5S
Sn8UK5sS7kF2BDveGA6HOtn1TvlcTq5+l3j1Xr0oyWbegJI7TncgsZQ3H/a6gyXF8NjTDA/tpfiz
ZDh4Ch7jyBEfDGIfPT45pTJKkM+j5WKlRvsWXNU782e5C26Cm8/6uSPU4hzDSAQ95jsTPGj2WG7g
XHawwt0j6XH8HSoXm9ASR7LDjXb/w/4klOIHBhl3T/dHvlPO+U6+mxgUWABc1WE5YvLn+FnExkxD
+1m7731HMexMdZGS+Y84mPg3TG946FBsmh5rg5tslcL173zD62Xa9Rsz3raoCnwyf+lG2MHogMdl
CVW49Axppu5T9jjAY61TvDXb8jbyRkIxxG0A4tKOCxt1gxPUm8mLDqrbO1TlZQ0x8abPz1D3DCeT
3A/LrkBjxrLXIdp73qudO7z5gaOcELQRHmY3Z+EHFJ+CFZHdvAccBtmhuGi77CJeg0Nyg2AAcVqm
Y3g6I6gursU25lNto4v5KnBmyIj7jLK4Kpz5AyNEAHTbjhGWF/vC4UwrNFm2OdwX2bEbXeBbQ3Ve
HIjPELbZz7hDvEqPMjnRD/JTc87dfNPfaaeRULO75Kg7isvOvsH9rfKjOdpJOTXn/q7e+9s3AULU
aT5VZ4XmjBPsBG5aoXfD4Z3NHGzcHBEYP5KPh99rM7NAmPIHHlHYgs2ZzknbhK/tXqOP+T555sE/
vDXv4yk7j65W2CBN3fyE5PqEC2XeYIZzEgdxkWvZOM3s+AYQnM1D3OIGCdxGduK7dq8jMXtMzuWj
8BLdj273jjTIjh8NW/yqngav3Gt2iffLbl+DZ322NddCV84QzxDgcpmhb3elDbPGMyMZuw6/8NLN
xHLvsMfikWYMH+7m+/qEw6TcJ2dhp7nGSXssXYN2cb617nIHrNEr/UGBOPgbvXbm186RHVxiDiMU
yZmBrb8Kyg59CpPLK81AZxtsWZTs0yO7w1P82J6Gr+RsbvtT9Y5hlBwEAh2+XrJzdD95/lf4mv/M
diK/BGOMdtSO3Y2FfxXV7kP+gJdcdjbdm3iNLnrh6IwtdsNBFdmP4idYa0QayIivS2/QfrQ+urdW
Zssmx+oC/uddvdav05mBkAFSfa9f4x+qM5zjwB0fkmNylK+6099VF/WaeKLDj7qVb7h0YNHyBh8l
3shtuoEsiOPL1k7GTneg3r0sO91OeKYdzvCGtoIRrnqjJ9rd0GzjTmRxF2mX3zIlHqpP9tXiisp0
DzV601xh3TPGtM9F4hU3zE7J57rft8/xLap6/h85itzxmLG9YiTVdqsfFN+JgK2K4JAcjufokzZz
+8zfOJgi2orScUmW5adRcXXYGT+TgEfGHj/mj/hB8B1oHP5gY+yURJqIWw0SPs6cq/Ah3jAu6462
GfcYWTha7vRDsBv3IxtkOo8/61fMXA0uNvb3/HFgSf4D+cjkFE/C7YzrLdgVzEixtMP9Lj4Nykuy
Fff4OPajx1yMhwJry0G4QatSRJ5xn31OLO0ahPo/E1ALgZ2hbLVIHXk2DRvIXHiZ7sWtcTufuumS
3NRHlhTamHCsiK+FY3n9zr/7jC4DPzWMPUomszuwVD7Et9Flfh7XAXAdJbBhMahU9PivxSfynoXc
YGsfHU8knByVLeMH0+DHcKMzEDy1+9wd93gWzPf2tjpYH9Bu0Z/iuEwc851r9Wv4op36Wx0VEFyB
UxA7zX3fOl3tsN37B+NZvNa39OETIJuXZX3wJn1Ub3zEuATt41bIyE7zMxNi/zGzGfEw5stgzMDG
EmG4aRiWCPqxsX1Nh8n76Hes8KD73StndPSEGrGOdoiUv2UsZZp8m7ObYdo21/SWIS+9HW74XZMd
EBpPOHaBLd3Kh5AjlCWQI72J+xQF08nyTJIMbZU2u4PSw0VEx3Cjb7F6bcVzsQPRrz0Gz/WmdCfq
VcDUOXiD3Ufolp62hc3n78aLfkKXyoQX472yx8qTGCRFh7AQO3uumHE+jJ/zazs42k/pVbs1mbvj
jXXOn8sjSvdj2DjWvYw5yPC62GNKk+9YDlKHYae9jjuF4bneD07tCkfpARjolhUqr7y9M12N3GV7
+DSXbx8c+mOxBRD02TNO7CDhO5Uj7eJN/BBdkot2zDfD/QaLi/QsswuQKAvh80rWTnPhmPWfqC2y
AdVPJcI07IlP0/v0Xt7Vj8l9dm5PcBLPxg/rNnw0HqTbOnXmPQrubXY2L6IXu/HrR+wK9+Ox53BW
dst/RE6GJM/Wjv4kv6d3gubFpT2ku6qx294RXsR0h8c0YQlFdIT9YoY3zDTiU+OfzHbDuvigH5De
bS3Ku3vOFy7Qgs8sM9lr5asl2emGcboY9uNjcFD31uzm8QYRyGx8ilMEU/uS6BNbcW5d47F9hDUR
HHT2I8T1j8W99cyH+Ai2LPBR+2xWBBzeRFa8sqFwbsT50Vp2+wPL+Os+wj/BHeDaX2hB36i6lVy3
3verGkXiGgi5+MJZCEWoFTi4XqyVqO+b67VgQU3Kg6I6axVq/TymmB66EJDNYEgPyTCP+zAYcHsO
5R7kvyO1DWzmgbVgHx0b4a2nmLN01mmpeFUvRzsokwQYcVQv5qRIGHaSgUdNFINb5B0hrkQcQesF
py66iJJ9dYutnpD1WtPgOZqVwV3Zc79Ygyt2kALQ3wmESStGzAK46PSUeME81G05MqlgmtcAl6g3
BwoVkjy/L+YK01uucMI7x/STJqW6q1Vqg6tZ4Ts4NAylxm2n5ENqdaov5CLEiw6kHBHwF+O4LMrJ
60vIPil1lkGLv42qFh0BMUatoSURikm4LdtxLs4yoaKeXgm3FGp3NVZYBk4+kxIgVtSK57E3DKdL
pszRrKUJYiztkfVqN+qUNKKFWrCWdNdC71rXXa8Za7NuqKpj5gfZdrXMrBerj2s1z3zfVwpdtKvD
YBPAbqaksqiTV2HyKlFeb64XYknhqh84A1vroOtFKQiV7K1XEftd2g5Oz1qX/VWrlWcZAh2Bw0hv
Q13YQZsrbdGAETEuleHpf69hCix+3bf+4Y+b6+PWpyVCSRsly6c3yUQJpjefidh8iqSM0ltlAEg6
DlWReaaViqPUyjLRq+e0LRfiKkXKw4QV/1BJygjqYD5n/n7Ad+HKncJIpFIVL5cuzrhw9NZrSLKP
c05UfDyPd4WoA5zwK6qM5ApjhJJQn3RVLW16Qa8Os0x3v6Kqjp9ZfzJks9v/urX+Ac8BnnfUwPZv
d67P+3V7vdqPnpUb5VGZqblqDPhyTRG5DWrqx42mhfTG1uvr3etFTq/ykC4X3ze//1pBjxurPt2u
D/u+/9erKF2Nku/7T/qQX8zOQMdeGYipxUjCeiRqN5FFF9SWmymhytDb/qjq/LwL0ndhVAtqL3uW
NL4WqVZvC0vdf/9tvRYsLDdznvkO6xMUvWpEb/3TelHJAhsNiBT24LKHtbO86vokqtctsJC1/7e8
32ikPPLXS33f++v2+oT1qeuLxsZCvV6vfr/er0eud34//fs5v17+z4ePeA6RxPUPfzxlfcPBAM8/
1NS0v1/m+3F/frLfbv/LT/b91pWWpFvZiuk8L7/b+pK/ffrfvt2vq+sz/e/f+Ld3+nV1fcCvL2hB
9nb0lKrt92f+t7/J+s4GMQl/bbzf3vn7e/7xZdaX/adP8P0W89vcqlfadK/N0tRYMTIrKm+9+OO+
P27+q4dQ/qeu9cfLSGvT6vvh67Xvx6wvW6zg1O/HfP/5X93359usL/HHy/56DIF+9y39ts3K/jPX
XmwQT8W2wia84iO7Zb5d//rHTaTJdBQxN/4Fn/yFnFwf/ht9sqDWJJsaHojlB/zjJdab68X3y/x6
yPLgX5/m3z7vjw/2b19mfdz3O62v933fuHTBVkHN/2uP/pv2SBNlAu7+vfbo6bPOSIr8B/nRr+f8
JT8ypL+phqIg61n0RJamICT6S35kKH9TFRU0lq5K+sK44p3+Lj/SkB9xt0lCKQrzhcL1nVxjkCMN
9krTQMloaJb+D+qjRVr0W2wNyidNgqTFB1QVg6wctFG/54OaEmGLUWFqu0C3fjD72JgsZ2kY0XxX
f+nX/iEC6ffs7SVu5/c3U00dmAPfCnyXhdbpzwQuv+srGWKDv5tqKWEp3lFm7kdMlZUSedXs1OJP
7Ap7MnEJw7mxcvOlEsZ9mqGtj3o86QZncSlw43poBndoBzcZp8BVE6I1zDy6RiYm8BQcha4rZDNr
eCfkaoDn2VCLS0xnHA3OHLXoVATmbmhE2RP6icK7UN/9tgf8JfH6/Ysa/xQ1xhfVdJEgTLaUweb9
x181ZHgfFRYvuymgot2aVAJiE+tCpNFSAdIvpamjRfIPVUy/cAuRkFbfiVGeOa2PmSAqyX70sx3G
xK9MzU5p2g+umUA20mtsarmc4faMIHSiKJALXB11Jj0nXcgihAovHHTZVGhCqg1+QVX2aL8Cv0rw
mpTY7sncWHQKgoy7zTLip9+swCH6DoyZCnhY1P1pLVFCNyw+qcrHbnszBRkJxMpKsC8bQfsyVTqK
rKDahaZ0zaNJJDseaItpxbvYbNCgkkfOU6IvKZ7IBBruSDYysT8phBDb0jR/Vml1l4jBl57I1AiT
6KHskDsMI5nTRWO6k5q8FlUR2LhC31kML3CWdHD/y7ZaYt9+OwLWndJAdictwXAcocvff4tlF2E+
KFkLzygMsWNJlf8YK8mbBR+mz0fRzhMi1uq8I7VRjTXaHBjpi3oAyantGoG6rd+1Wwl+S5AopmMk
obirUYv7gyy7cjSAgsx1T6vMl7HRU7K0EeeLcJriMKZdqgfbuqQJXqdtsDGni/TciynUxIDE15iO
RxmplDAM4iXjgv2+6gWvHgbLm1XrIw1p1St19ZKG+UktChP7AcVLM+oW/Pkxk8unbsjvsoIdz+C0
KJn6E26Ht0bL7/yG6EvtUPTDniRoV5bSc+wLt53cnghMTlGaKGJDg7GHY8wDRhBj0RdATo0sRusi
StBj/ImQhjCOby1rcg0Vhk+TfJl03thQ95nFHvNfttO/2EymoVsSOk5yhuU/wj8bVenIfRysXcSp
Lc1+usdmoE0biaZgKz+0avLyn99wTez6c8dAM6poBIWZ2j9hAbVearJS4h2VEYuurt/NJswfcm9x
j+TdM7D5syIkC9mye0km9uCoYAvjRVyyEcw9EXFfmMKCKtj13et//mz/ap+18BWwt0DTsxTmjd/3
WVlq8hwKi4Xw5WQ1aCOMkI/GTNbYmQZ9tStoD+eUgP7PbwskEYqjYVK+QK/6j29LW1A200Ewd4AZ
vkbNfBRLxgOziL+aqvO9YEy2SWM+/uc3lcQ/otWWI1STuduACIN69885Kg4k2Ro4cHciwjYnCm6D
YaypHFHyKcXeMUqJbnqfoKS6+o3xmMQqZ3kjGpfCEL8kySINZ+6RnlqM/iHhpHFxrGIGGV/Euhzx
MiSfbSdMLHYeT9QJRCN1yhSNaqpnd2RmRyBwomfSGS85ybYUUxh/oQm6oBOooyQtehGqGincl7gk
irUW73BCAenTG4Qqaba3dCaAQDnmYqHbxRsYPSSjeUAnPxwrjJy+XRVgfXSz/tGK16RMBhc16q3l
V9h3fKQCc2W8tRhpiFNjDE4QZyQsZRkWE4qwJra5TjsCC+A0OaJuVmajZyZUqsAZ6pw4TMvAk47z
SQ2YDHBig8dgs5XVRlhCKaNR1/BZTI9KX1w7aXksUytQjuneaJlzKoEA2C6yHtWAA8+3+HG1SnnR
aQ4kmEjx4oIBoNSRu1AHRDNMdnD37KLD+j+CtQCnkDn/ZY+QF/H1Pw7a5hK1x44oGyYkUO2PtD1f
9tOOsIhxF1jyQrvaxHl/ywJ43gp+A7LDuuDwn8CrlzeK4qPSao0bwObwaYFXTCM2gt5Le/QcED9q
2zfFnWRSKEuzuANTzETEWsXR8AgOHbVoQeyCUyFL1y5G1EWUWOWkMH4a3W27OHdDtYepV9HeFLQf
kbHAGIBsTk1Gm8wcwJqk9NYLA+69RL9VofKcFEG4CbPpq811ouwj0SXc8ANbVR1SOy8GdHhLzFnR
tFsZLNVNMas/E4HWvu9Pj2PpCyh+NK9gd2oSIm3nB0UMT6mW35sV5Tx9rEkIKhJaXJL8QtrmsJFV
Y6NlcHvTzsJFGQuuRlkSmxRLrEDKgKlIWFCxLwt53m3CXiBcR4PlGE7oC5RrMxevftHR02y055oI
J5tM7IcYZSg6U/y9Pq14H9NMSiVfb4RzNXd7mG6R27fGhffFTm5Yu6Cr921mwqMLhwclLncysixi
jyIaccNNPcWda/ILGSk/Fb2FISU4serv80r7QqxebKntkAxYd7ZUWkuXjs/tx+ElZGGNhrylHEXc
V2LFJXGyhGSNpPaOvszsNI8uv9XiFU9QZuFkUyPMWb6CWCpg8YVMaRwz9mSeS3LF9M7SzMRViqm4
ndJldSptVMnHex+DPpVC0zWxoBD5199C8Yw2/YxMLYlrt4qVYj9iDmRvYJcAXU8xGpfjZogVloBK
Rp8jocQdJPKxzjW0XcvkrKCIMNOwJdmpRLcgZS8TjSZ44eHTHKQPMRybCLNzrIeyUyVTYMfkBqKo
32G+dillbgZD24YqO8OExU00UGUQIIh+kkK6iA/TNwv6jpN1sQKdeqXQPwQNkbulVF8zDle7l5RL
OBgCnsLkKDXy/J53Bz3hZZhK9C16kyet0s66WMF+lEJQeTDMoPhDARgrRkEYGFsxHBxTm2jXIhpJ
RnhrIASGQlTsIi2vo1wRq2aljWeNKLOyjoSZTK53KgAZOwSBhY0JoDe9AHiXEWt5WmfDFIZOPxu3
RVQe51C5nfrOo9z5nhXjhUUrTfrEsEk1WFSENO8kv38FFn8fiGz/rBbFo1aPB5K89nLPClVjtVIQ
yrTJO+FB8RmZ55whVg1ymO+hk8bRJTZzjidzuG+EntzODisG0OzTXC/RVxJHdSvFuymB1E2H8FXh
sEHQkqHHQcAmDDFU05ghOtti2HytFeQYTYQyWs8meop+CRk1Vd6t9uCH3c+K0WZfDxzHENy3jeaf
06p6yE1tf9kMVniD3lO2TSG/Ic9lo8fI/YzwKcn6TyhhxCWKEHOl8tygR9Sr17bqHq1GfkvUQwJj
vppkoI0WXL9kMmK7rXOw68bwnAKl61qfRXe71RK67iPFvTmHJRT3dK0mAD5lmF3rtF8iN633xKRj
pyXjQ2rNNBwpSepKpqOJ6HtYXNYmF0z5tq3T2Z1AjXlBgjw9GaUtanyoUzrixDQ99bn/iPPdGUbK
vX0TAJqS09c459cJ1adSRBCW1XhfAVCIDkvbZ0tmNhFiMbmUgpXT0V2EMBKdZigTm4KzA6yeO2Ek
npPkK5/zRrAiE60YmaZYqra8vjhczQFBDgng9xWKgVjlYC4LGf2F2l4NK78IbXmbKC0CF4iutBpo
CIAHqhqEdc1sXA3Ob/Zznql2OUaMkXNT2lnmJ9uGkrLZhqkHSzq3rTB+96PHugEXN0wMmqFyyYEP
LJAW5FjbdkStKYVoDipG0rimV2W1OoOCD/eWiGiMupRh+6pwNUNFiNLhZI9MlMPDcC2tSSPrgNwl
cL+HTtpHQ8F0iz4rGtlWZK5+CNEbR3nj4ZKMXUDpT11jXUaJuTqwkmtT1lt1lNj8dHPsiwhjeK83
KOCWLFYlnArAYhXJmn23ETPxJIJ+cFhH2oLaNVhRlJfSUl9N1ZbLrGOBx7wZ9WgN9fxQKsEPRXb7
NPiRqQod+0pIHVZT17aEAtFCh0DePxxkv3kWBeuHn0U7vRw4jfCFp0QnhRY8psu5fl95AHB3kFNf
+np6zBhekIOZt7FBq7E1UkiTlkuUKzsVTS7L+IpjWj2aWfNB++J5sOBvGLrkDXl4LpTwxQ9eGvmY
5sDlxQQKfKxYW6kcUQyQe7g+d4Cu6qIx3zSz5U1jqtmKxdJgkDTSWDRnrpLRMYLhOdQHmRKgGds9
ZF6nNlDX1h1c5i7dREMf7iA/pO7I33ORMbcFl9nrONnThAbaJD0XUG7dStQ8uQJEKqrAxRjjqEUA
YohM8zjW1te4vNlsFhxqkO/CEg9zVQY2SfbXUOZ0TYkdOl6vrVCITJ0veLi1F6G+xJF4T0xI7QnY
IWxZmBeRJ0N8XmfZa1IIW4k5d5jiGDWlCXy6RK0qWNJnGNN26ab3vNXvhgFqsUEVYS+U40trBKcW
Jl+f9+CjhBCZl3CdJkndj2Lr4cbt4XwvwEIVNTfTQOpi1rhLyqPc5nt1ocAJnLkSIeXrGu3wJYyG
E8C/8DrajMZILQCgtXgIWK7OCHNRfptLS62bBeo6I9Jc/HkVSbv0/MaB0M/12vdFoCM4zmKkayAa
oY4veK3eRDaMzQNCJE0jZUk+0xfuYktPb/UghCuhK4tixJiYOddXM1tSmDoQopWGuorOUmBmiADS
9ryChxIAfrUJ8XElhgGkZuYYZJQlBqiGJEaHrMg3pQb2N1fcfJBRurXyTUxwJoP+lV2caVdNFFpE
6DQ7lKa6hkyrEvC7iHJ7nBGCV42UgDhLPnGX3w1zBnnCzD81Kb0xwksZce4xT8Gd7483LJNA+Bnh
3VA017yBUUAULz7Yz3ogIBkMt2TK72anv6kIFDn97JHSdFnxKafBnYzWU5KJOywMTPgxMcWsMm76
Tmde766g5z9ZQx37almmIAOOxZmpj2KYKQLxnJAzAbRhMG15lxk+qVda2RvnfdNhZQ0NSpd7PS0J
iGuQ0G1N43CVc3XfC2kPEmq7+ibW9rROpqundcXT6gBpF8p9woZOGu0YZByiQgSvsJlM/7Be5AMs
Q5A5Z9bd/mblQM0dw1g6aFuKNCRMiok1O9GSCljVxWOctD+alrXKunXXa+u+Es1gqaLJZ51NQgjO
+sVtsfbl12vmkp8pVeDawkWQXluPulyjk8jmD1h9EgjUcB/V4msQU/0Z+vzJN/1tvhQ0RITfRLY8
csJEeCdMayvXTnIbXKGoRdtJtwC5idouGpndchEJmdTRXp+o7wTtwIlr33Zwq5J9nLGIiwrUhBVL
N0dVUG6LueZp8vxTncjhWGqYbQyzFSSpFTSCYxbIcMpI2yBSf+GsjeWRKIiePoN4KVgPahuFcdMb
dE5PiHq06zb+6lUKcpomfI59bNl1zRdosQto5SjZUIZZ3LDEPBicXtaGv7RnsbFX+leyTOtL6W89
SfRLpKF6WdgqWnE6vpK9nnLPNCZtKdIn4K7tvpQz0x2Xt4t85SrhqrDMiP2DEt5a5hIy67ES0zdg
+6xrE9AdYhr/aPzkSx1nD2DOXh/5fnF9DkWBXJogHYlNw7sRteJ9LGMD8QceZEy3Qg9SgrRfZYv7
H24F46GHUUQo6ZUiAJhBvJVO3yJvknQ0wLp857d9xPTMEg7wCAQK/0Grl3xr0Gy1kqCw7t4zHTVp
hDgipUR+kqMTsXmmm/lIigFkOyH0op1BPbV9b4ol+YQ9ZpxD3a2WOqY+y14WbnqJ6kHdZih+tNFV
a/QlgWgCRl42pQleB5S1mO5HjWO8W8qK4AfRlw/jpTXqn75ORSAfpmMpBazXewoVetw8+2YJf40K
B1ldTxKRNGimfGoY0P9qyHZu2jJr48zxCoVFEzX33M1qQyaZhw+lCy0Y8n3RHDuJg3vdPCEjTRRG
5Nj58Ru5fCUZMfmTLDKVxVQGB624jS2kVQlJUK7gD/ezOqIxn0sOj0Q5CwpKHo3CSVSxmjYt816A
I2OPGKGcll/FiKlipHr0GnXRRfCp9a57XTKGXiaJS+ea1ckwishhxa95Zv2AVGothCQ1O8+sQLL3
qTjSfxABIpuPaawCxF/+xllbxQ61N4GsLxuADBlOqZdKjJFpl7pWf6QltSHLLxGsiZ+RIJ5z9SHs
4TFOobVZf9IIOKkH9WEpVMLEZ52TR8gfebUieWdtW7Dw6cOTkS11XGEmRakREVH1rTe0yUM2jue4
oDrfF5zLZZFq2p1INE06z4TlZqCcymSXU2ywNSYKb2aHJ9KG7boWt3OKcVS2B5y5CKYTKjyCnuVe
kXQyElkovhUKanmkMFyUKo6oNm0pOqGcDTJt37XDEjUbvwUqVRhJOPUSRYk6RnkANdA3q2QDyZPp
ODSO1SCFXi4UgK56E9RgBEBdzdud5T+EdEy3oT9z0EYUa2q4lYQsaOAzN+nAmcJsIeWDxVgLGhCt
7IuzAuRuuY8AIvkYgqTfJx2GlNScvzLx2i47sBZSWBOsBHQX1K7a5/R4YXEn1M2kWrwMpbHNFKpz
YkxZadZwiXBW2Sw7HvULiFvJce3JgAP7orzCZh7MR3I2zumM5RD6uccCqkmz1jPKjuUOktF1H5vV
fHDHWIGQWcF76WvZE7vq0jQoI2AVfokzI21X3wDfRK4ZZYgaJo1qmCQfZVmFUbqVxKzaynJkOSPI
9ExsqKsJuLKSHhl0yKazwOH4vn+zVHH95NRW0z2xI89ixkE96vhXUqt04OQtdTRWwUFv7nWfVLaJ
45lv2HxWZYKTIAqPmkSCRUmPbxerFEiteNgJjClOGM4S9QdabVnQNzagc98bovtEH99rEK1Msa6v
TntO+E/WUOS2SMUQ7Q6rxJHTnEYFGy+3wm1g7bIi2hfVrhblipThTaKSm1WWxZ5OwXOkthexGXbF
Evsix2gwzQjdN6cd0HowFTA5gxMnUJzQ+0F/rSWIu7Dzr/ps7KTMeO9N4QcimIhkQUF1ZFZwlbLX
JZaFURxRitIUp+b8ppTj5zKFqBpN45uhDdjS+mTfK+kpySTOa3IcyVaKNq/Xm7NvyTtwmI/VEmEw
R2exSs/KFF26AgBUmkWn2cL55af1zqrF4FgV+ofUpS9twMliZKae1Ysg6GDsJgZ+EF/E6CpF2gvR
hwHwg+osWGq1pWQbH7MZn55ABIXadrhhraQ4jhPLFL29RCr1TDvqdtMMUlbWlE9/lit0TD5YeerM
2ICUYj6sF4FYdQTZ/e/t2qKsWcEHEZrCPNbVEtAlBPdL+CK+XnjphsoY0o/CdGxmzWYsqVyFccke
ZxE2bUjaFgDPWjyst63Qv5UU+MRJZ2ZUF5X85NOQnQczp1dneCLFAjuMZGjVg7jVAYZi1FGkQ5sk
C216uVpqgXxYr60XSSLQMWXu9tJ2kg/rhd8RZFs1IIraMFF+3bf+YQ6jEzX/0Qti6oR1YW7iQHkI
OiU6IfesyObgyEsK1OGURYDW0Z+kZMqpcbPvmI60o2jxRgWzNirrGMvw/15oVgnnTQWnFxZVfhQA
Ua6F4P8XJfxXUYKytJT/gyghqoMoj97/UZWwPunvqgTtb7Kqa4ou096CqSfRQvpLlWAqf9Ohjhuq
ZaAw0CyF7tNfqgTF+huqA/K4oJ/oOiMyUVp/h6Lof+PVFHPp0piyDDnl/yJLoIf1Tz0u3l9BmKAr
fAyAkX/00M1eLwqQ39KunasLfUFk/Ukee3gs2oilbBBTHOnIeKw41mfjiHY6UXtpq2caHYpskZFO
yynlAOUP0Oq56HEEyiOn6CNciqKsQUElKOdEoz9kpXBt6siDM3CdJWKmtK5zLc6PUiUdHUCndIII
WpHGe4NaVdBhdxabB12+ziaG1oYgTcpiOAL0zjPCc8Lapn4u/fHFN0qMYBYT4BSMb0NzFz2xDMef
CNY5ArRqyOVb3AQf40J1yTgbQdR2H8n6yWwayTV1BW3CfvqK8GjREvU3QUOsCLlh/bQzTMuJEhkI
vRig3JdxnPq5fssCVT40harsTKNzE83XaY0Rs4XlDkaeyvyoG1GIi3ueXGvCrpHnX0YmaiRb6bdV
bVG5AqzrTl31Ho9YTvokvq/Fp9T6qWisuqL+Jo6s6ygpeG/ksT2kjd4e2Hz3kd/Xm0AB80BJli+j
2ZkQIzfQxsyrszLA6kxZTG1xJxchfRhZzCeR+SQkQ2iJmR8tcPIGlus6V19iYQg2cxxt25kUySTi
86PU1b2a3f4KOfGloJSppvjTjOaL5Wd5KiP9mFZ87ZWwLlNmgt0W3cldU2PryotjrwG8lJjCN6Re
75QpiG4zsf1ZDn23DccY+mDkW0+TOklPE/NyCchUrpg4OI8mMXfwqabOQYbWRJd2ZoxDzsClbQ0b
MLrqbT/V/h7IAG6EhUOcWHfTUsjoBFaK82KDL/MriQEt+alj43DqwkdRg2MfjbLkVBYCjhGcfz0K
PA+1aLHAn6eenUZ663zqsmuEatbITyD5Q5TYABAiqkj7Ud9FBpvfTEW6TEtNJE4/tcF6JGtmOwTF
z9kUPkLgNJtBTgZP9CeW5CpTJzxcAK5TvhTyzfxUL5JjWcqLzZLubFJni+ZGczO+FiKI5L6gFUfy
bY+1OYMRi7DHEQeVVscUHpOaNXpfp5JT6NlDOcfNppCmj3EkT3Pl11ldf6JVAkJ2OdS0UR3cXMYF
uKLd1os6GzsijzmrlZd8ZoEGKRPP4oRbaO3tcqHSXAMlqO3W8N8xfQVY/qqK2cmvaee01nJ++iMx
zW3QJqBR6rxl2YviN6tHzsVRCzDDp1/Ug8DeL7ts1NDQKyg/qGHxMzWy5zoTqTkQmtRVjTeiNUFx
Qe9g8DVbX1gT64VP8AlYlmH7zTWjOTgrWEYyv3ANgU5qHP4PYefVHKmyZtFfRAQ2gdcqylep5Fut
F0Jqk3ifQPLrZ9H3ZWJmIuZFce/p0zplgPzM3msbbEiYvh1DUiWc9YMhBemWlR0EYRI4uhmPO3uP
XbZyq/9zWJayZo7J6JeApP5Sm/1Tp0R+WDLxEIiMsVbuPbTEhRwE1mKjyR79tstRJGMLmWBLDlJO
539oMtulgALefRrqcD9Ic7XAq3uShe22QXqyGRvsfHoq8YwBI+x6oz76iqAG0bvtdlwTZuganH0H
HKOlI9mkQlpbXyXH/7zO1HtJ4YXsxxodcGWivHDqEXLhbOySKfkKkp7hKv+S5ZMK3pW5Pk7AB5ff
zG3ms73+ILtpE8CembDUTor1EITZaqV6OIARG+nz0eIozuusPLEu2fazr4//cH+tYVGno1vZKNWA
4+vkwTeQjxnV11Q65R5I8aOcQFcqHgXbruq/NXvVfQPALeqV7XEttU8k4rggMviW2jT3iY4BLG/b
mX4uguAqSCllCmQsh+EE67d7ZG+Ai4gWsCj85WLhu+Hi3QdzByugka9dMleHAhI4bfzk80Rg2jFp
CzSdy3SiZwTu5b9tkKo7IUDmk5xVX4a+SKN2tV/r/PTvIJo798ZaBOuQrKYr9oWXKo/jA/z/J2RG
3QODkfq5C8GmWF33rrua51bb//z3/2QCNsN30iVyhh9TZVs32+rdB/qsbtsWpLSRxW4dFbX9toLw
8pzHgsTe0MTUs/L7rdb+M4zJuewgD+TBdXLdFF7FsHzZYBGTLl/XHmvI8NTRihAVgORF4F8HAarN
Zr5WJTk5dj7cVJI6exIP1drENIwOHSxHIrYkAP4pwxCKtQZIYnMIYG5v8nzgqptjGVWuMe3NwiB2
mc3SdqmhMHDhk07UY+5l5ywfZfLtxuRC1a1b7HXXAFme1WO3LAGP/DblstMatMNc3OpZfjdxFmxp
skAkW8HJ82r/bIeGOAtKXNCBwcHvpjoi6eVHP7jm1YtrDw1E5Vzrgc0uA5Y8QnyURkZtuLu4iFkH
yqGHHJK9k3TG4tXp52jyYgWMu2gjQgsCUm+SH4IV91UqY2BGF5Pp00ziOOvAPg/1EGxmhrMv7Ebd
uOjv6PvuSVjXJ+Wb4pAPqFTIvGJqZ2EwKYvflcMpMoR8p20eXKbUVSeL8Vk6WeZxoiLjOaEgngeW
dyxWvqpVyeJm8rsguvIHfITV2iwfeCixdEnzRxqHR9LZx5fKqcSh7uWzMuKB7m3QDyKsqhtOEcIt
zey5UGa6hw75KqVzMgznPR7yGLmYPTG6zJtbhx9hzPKX0aHL8d0RHsqiImu2hjNxysNXpwkRm4xz
svRYaAgeOmRkiZKSVCiGwm28N7vsAusUK9fYiPl5cnoi2oxH0qPCJ3dCjME2rLv0l9DBZabYFjLs
d/ojk48V6NpRxlnhcQqG1zpQ5W4sWQkEuvgyVPhMp09ONB5b5Y3tVQa+vlbNVYVr7+nF9ln5880f
RhL9utDd19K9L34/7dP8rmZHngJ3xCQ48i8tgrqsiaefagnkozVUh8puw50HU7YiMKGKR+eFr4iV
jrhSnQ7Phm6WvbCMD4ZRJRk3VflWShexZXaQaAKu8ZQTQTf3y8XsXpCsGERZT8WDGydmpEtcMnbv
vngm8AwG28Y9MTUuN5J1NsGnrqR8pIgwUQ3E81GxT2TFTMQilqNNY/jqbXSZgJGEWp+tPlVvKsg9
npmTzdKyBWLA3aaDun0rrY9FWR1Re3w92HbKpPNvVu3Rmgaar8MmmSEqnEwcM295GcgouA45HPzB
rO0fqX0IHCUu4bAQcunP3rUZ0osR2hy+aiivWbbc4mo0zk1vM3xNQqawSw6kFFfShmDd5sBEy7my
OPOOpCBezRX87niD89ZyfYF68vQuEfKroxkh2W2qdmFHnFkm62HTO1N1mMj0ZjZbBk/z2N3DTD+N
S9hB0rbnHdpIdct9Q56TfdYZxaXJ4JHYTea/dY79yaNvAyp7eEvnYe9I2u4y4YqjCsN4NuPsLpO0
uPpt+SuD1Lx1jAbdR6a8j3zv5fLTzlEVJZSIO92bCaoCd4gsTsi7Vs5zqMnY5oHv7wjBXJeeidh7
SHdJRIq7g9H77DPR357l7DHfd4fuyHA3JxcOCjpmHuuFSR8kgqqPn+YaU3IPE9qUfvNm2jMvDCbw
b4/YqXRsgrdu8cWmxPU++90bgVtwueeZp3q7ND8B4WOGtQx5QZUH7Q7tZBSPpICW3XiWGkiEqCtv
X/UtygyiEKzkGxLx3WP2l678W7dGARrrpoislOWvCgRM46JhATDQ6GRCvSdlbp5ih7hxz2vqY74w
heBpx2MKTkhs9gu8mT89G1wA4j7FEztAZ8gpiEfB1cHnahjMYKuSIjnufujY6pCiSVo5ZYyrd8s5
eaUGCTKw3s8ScSGqII9kWRU0eH7wkZQxam4WiFqPaOYCsN6sFjZZWBaH3G/nhzrMvvgt8QU2N6Nb
v/a+xlCCDk/GfpeGkzzQ9+2WeLY+hlUauMhnOUu48QTvMRhLiHo3zf5kWXzumXR3zeDrx6KqkKNU
vWQFn5RQ4bEpFrAyD14x/CViLnnJ89mFNDGhDESfXToUh2YMb57bn4ge5xZYZLaXiA6o1ADNTGn8
OELfJ4HL484BEkTU6EkAUGdUJzMV7kDjdUewZcueC40p+2CQLicn9xjoNaSoN262oa8ZxyeZl+ru
Z0y7CbjUUVVz5aMAbSOkK/vUFMaN6usu84TOCAHZpgv6E4cEy1rFrLDyvO9kWqx9nwlc+2HDTkL2
/iEdV/45a8QbYR9PqRpep5ChNuVvsJvHJqQLltemZRuAsa/mN0OV65g/9gu/2W+dv15MHk3LnjtC
IJEh04ShJaG+P3fZDOwlScZtmQ0h+okKe36cxefK8QEmyJIpMhVGJGL5MJeBeoh/MoKYEDr03bFk
iAEbAH0AmgznNGj/Ke2N4TjPbGPkSEqZL9YchzEvrnZxWzwkMpxM9q5XdXKKE/9DOwniMb94q2Lz
jmGOazEpr8nSIvZr84O7wCgP+dayJuO9seGI6qki7S5f8y4Yq55J/yGKd+RWnzjypzK/houbXFS+
8CHHPoKVXD0ZPhcmGPy0YnDtNMOfRbntZbRzXn0lvjqZo4NxQbb71WCeDfQ3mymYwpM1rimOMdiG
XqinfG5+WokN06hJJVUfQiCrXjN6MzgkI1KbY4lyISNP4KjJEIuCZpyP0G/TTatLiK9jsGtq4i8t
AVSqWYJfgw7ri0few1ZV9iX2VlFIm09XP57ubAbwlC9Iw4pM3UYiCIzy2XNU8oIyNL2hX3g0DUzA
zVg/Gx1EpIB1JOtFGD8z2akoJXFwu/61TgS+bw8o9CojKCHL6sF1L4b/26wHfbFzycw5a/kucXaa
9cukeofgHv4oZqypRCFPyJnTU2DjJW5teemlIYi3dOJXF2BS4of1bl6az4HMwTKzHkmSSlB7bZji
tMQ42w/9SEyKVXfVg12bGQStjkg4L++iYD1x/ZjESPiJ83HA8rwlOu1p9nuu3ikzjzKAbusSKpMI
H0VMhwemcu3LWAcD3C8nsmqLAjHoX3WoCV8a4D2Iggxhc1U92aaX7ioWGvvBKY69D2Nk8LJPjmrW
glalz4K0bjOR6pT0bpTRBZ4sV7zJpFIHOPoGbvKqRDFs2GfxVhhYVGoql7bAuh46TISJGN+GefIu
uoKypuB+svm89xwBm+Z7yuX8NC8exJxx/G3N42tSK/eQ5d7RmVpvR5DYHxSAf7xitg+E3f7yRN7B
8xv2TGzFjWYY7JMgO63thP3uuLjDw/DNDquvfILktoRs0GeLINZAne1FtLehwhftlj15GlbVgJJX
zRdu7Bc+iQ+3L6cTIXaUgslTtQC84vhhlFB8JMMD4YH6RywX78Q9B7Ghdctn1mynsJb6ZPjZdRzV
O4lASKtAJZ+8pL573OIXw1ilOB1IvgWJ1lONJK8nqEp6/fCLH9ECaSRvG/8lIWWdYPq9MYFN8/2O
K36c0O7AAJwpl+5p2tuRO+p0Lxk7CQIpcpdPVKN0xoXR/RQ+UoYkd+UucZAW+tnyXBnpC6vzYKsJ
ED6oD91nI+07fOXOgrFqMBJi0AbesWr2prFn7zntZQ6vRg4NT7chXUgkqo+JDe6iZLhCbiqwsYqx
fsTXhEVdMPAbra92Kevdo+3PP8YJvIY/1xyFivWcWkxWMZN+UFPgPvLo9x6LUrDrYGwfCdU8oXQO
LsIE7WwbARUZm+e2a9KfdjKeaKiKT3QGO9c3LOTbbXIjxCWlUu+Bs8yodpcWhFTXMYnpZ9XfLZP5
S8DbikQS/wbnz8KuE/gdOs0k1Siz05gNT1WwOI+94TjbNjDKaHYYe5hhr45LxpsW7F0jdtw9ZY2V
HDsuOVD7LK1cJNrNn1LS9VuyjSy3J4+CAeujK9VEQEc3cPo7E2dR6t3AcZMQotl8DIhcCiIMu1be
igrljuZAxz4LRQ3IlbBLHPyAteAQ1xeUNIfeUSX85pH7n9BQpdyXdEI90A7IbUHijaH3WrdLHJVn
SCM4+JPncf2RCFJN/aFEqcwFStcnZMNKdB4I/gw5G3vrHhqRr859Bv4VhKbeSFZdo5Y3e5VCa0Bs
g2B92dcOUKucm1SE5bbrGn9bG1xhdZN+GyNwj7D9YSn3oUWKNRMv2Ul16GKEGXNX3TuUNYQ388QK
4QUVo/PGpzxib1Z3z25+zrF7zGdm3SUGPc5B6hyUgFXg3Dw2uowyvgFXcXa+dV742ARQwezJ2eAR
YPosRf/XTdGo1XWCzIe9V0HFAw3ZvrPL3Oa2d1CTujC27jYBVyLqFZgYafImJ32rivYtKVyy6FLj
rSpGAIOtIpOGGJnNkhCINqmfjnZW9t7NJ46JIRbxPoUjvP0YkoMzZ+UP1FLgp5r6h8dsxKDe8CZ0
shiSVAWXypr5W029/LTTxyShUmiKD67JT5coNOaPjtw3ov85JHDtbCt+D+PsVz7n7iE3zEujCUTi
jN8SfLfBR7Ax+pwi29ZoFzPrmaCwc8mMYiPEjF2w8JkY8bG6CeMV49m3gFx6k+NfGL69Sy1Y6yVV
w4QAOldX2gdXN+FGBtmbi/bALgAiMtBew2SNJXL5ICPLmHeqJzSpZmZZd3x9ZpX9VMwHN7kriLge
HUDYvNmhXP4WBgFdcoGWwTlpYdJoriLYWbnHF+M26uj38GaYX36rYP72ga00FeODvOFRqzW2stLA
5sFC3JLEaA59uG2ZJndz+0ek8eci+iXqZvLM6uJBZYGPHce9UDPYYBdIVjtarnex3RJ+y5JflbRh
Melq1WL4j3XOlGbsXPYNw3QMJvbYS91/xnnw5Fv5GhxK926F/UWzDoERcnTDczuNgJgYs9BMg7PK
WBD26aVrml/Sp5AjPHHPGru6Wf4lnJZvsyiNiGkKFpEMIemUfkt36k95gIKldB4zU1snq4Vm1KZZ
5CqeUYHvXAV/5AhLEnJfO9u86f/ErTfdF5iQpSV/TbY7flCpICH0q5uX+ocpnt59am6WlTJh4E1l
Vzt8tF0ze5upUe1nzr54oww/vw+akUNrLME+4L0BowLq5THxxgnElT06Y2Q33QlMiA0UDFrRJAMH
zIX9IHHgXCv2HeR6vAekpIrx5LMh/jQdpJWl8dfIbFS7C1ccNlB58lD2IrokY5osMh5Uc7xfKnhX
2mcr7o3qLQlnVIlN/4hRl6GNXVwHxwjOdjGueZZUZsXAhcB6o331KGlny+DkqOhma/6OO9aI1nok
6yk60gMRdT9oyUB2iYa+dR4NsKkLQR0GKOI5RsBRMvLaUDWqo5EvLmDp4RY43jWsGhwCCMjUo7HE
YWQbU3uwfKYwyGBIrQoxboikJbuMxnOGbFc1+lnMA5sBG8cLvWdU9e6TmGDu1OWruZBOSIIVQqgC
kkYykQdpG0zY29p4dGqi3Xjw2ijLlKrvy1Q8L+bQkJGT59vsoexQ9K9RDlEiguTSZ8kdHx1JquPy
iTDzW9ngbbqZJok+5pvHjUU60gE9KTjA/ltOVrEfkxuS5fVQH/Xel1697fupIZKSBL82drp9KBIf
STfJIoUsrqizqlNFfQBuOdy7qIA1eYFFLxFmL9nJQTy8HaqOy70awYLEf+N0+atz133yTNY5YTY/
4cDFA5hzKKxTK1doIlJSngHmgi3D6wyE4J8zYsqtt8iPxJNM3WETtvOTpYN219v2l+ikdylT47HK
+9Mw19m5MK0hcglLRuniPIR2880VUaK+GuOmubkGJozAtPJbFVJRsFhCCrwMb9O42r7UMlydojlN
Q4hZOjBwk7ZLVNbdexYOzwJZxTZoWcqV0LrZBFGhi+KrKnA0Mpl/1zVYvHlpLVzL2t6PxF5f/WYA
MOm/9a1pbfK4HnbCrPtjl9oXx8wOnHUVQojwOyTD9KMwP+sEr4DDPOCoW3TXLTDt44LGikdTHx/b
kxITbQ6qg9z/4bTlq8/MeReH/fxjmkjcQ92cxikkK/tzqmPEdEvyZo0tUj7LwGXm+/0+RRbxaXXB
TsxlefdLeWQtueGLwD3codROP0bKyhuqtq02mMEuorgwg19Jxd11KXHgWFR4xEJuSmJFd63DlnAi
ri+z7GeDZyT9ofWaxTHnUVOdZSzOOmkhgof4Mhqkk63LfwnXskB+WP+pPBegk/g9NWgcywZxbZ0b
NSNSSv+2hFXDJ0b6lYNYI53h9Zbsko6qhrnozWprjgtaoLgx2N6o58E2PzUvDu0anGXXn36TFE9Y
aWnqJ4Graux5bmHA2bsd0iZPrF56YwK2g4Mq0BczsdWTtmtGVUQAofTcd/lJsHo9unhTGakvkZjs
g2T3huCy1Cevb/ZNNpZngFE/wi4LNq793vco0obZfx2X+s0e1IvIfOzpPWZnQRTxVJ7kaOaPzWjk
jxllIRLh8EU2owlXj7lcIsYHj8dq7Qjjzu5LNLcSMdF1HDhkTT89+QkOMm3TSqNHqD4qjOWNxcMb
F+kjpp5HSu02IjL9FBjSejByMz+kDWdVmb5jQrKvJVOTzovNR+5hCuAVxM9Bs+3dhuoCd7wj5rWh
14jyOiITMTNEk8ms3GseAuw/00LXzcGqm/kkivZpdEzqQrf9UL/S0hxB8YtPL/TISTFLvTVV8aJt
j88thQZHnw4+YAwixRgyqBlRAD6I0LOSkU1xq0O6n6UE2Jmh4Pe0/dRZKS5FLAjhCIvALcdDYPD1
9EcRhyT/zcAbWTGUHUGQE7mNflc05yA3rJ3C/p1mYYKZibV/1kZFw3qkTdw3GaJtbTB/lrlzyXxK
LxNa3mpwazP0jVRyJJ76xWGweNQl3tp0hHl30/uSx/rTMKzP9jRZDubc3pbQhnipsSwubAFYH1DD
c2Emw3fWWFbkJxV0LXSZi8UTurb66WEKv8dGsshc9KuouVCkM02bkabSze0/haaMzRfWk4kh3r3s
r8qcP1gXrg24hN1coC0MiC7jzTDUA9tPE5vNG+SL/pMvfcIkEXEsTGjD9p35WnkenOHdb6zxPHve
PaUrZddSOvewhJQ4xb9z38ZqUHnGqTV8J5qn/AvnJv5c79myeI72U/wWLMHzHEPY19K0r00wn2wx
uXTGSACtrv61qIzWYSGWfiT1h/i84dBgLZ1iyt0+XPXIav4aLRFZY4Ofw/+afSyRffEVWvo4B20I
ZIvkHb82ZzItcBOpdGk2vrKcreMAMySf+GEs4UPb/cK24R6Y8ROf4B5y16OX2O0BL/FxVHHUTWhK
Y4nCmesXG7IeHhEKsrnyAk1R3Wwxcdqsw8hQWJwHrWv/4Afqj5H/wETCBDho9p1wHpZ8TndqjdH2
kWOPzhOz3w8g8X3s01z2zi6YUyMixpT/qvdYYW36mJduglOO2nIoIPhhXikPQWXKbenNpDY0D9m8
/DZIwNiYevrNG/IgSigDtvBzbVbP4dOyyOmNhdfeE0FzE4P34LFC1Lk3bgOXhpYcyOe89AOGnfVu
Xe3BEIDRYectfH+okm0HhcAj1nBInq1U3oIWNL3lEImMGfg8JChhygypbBoWJ5WuGmmC3UcUj6ni
C1qoSdi0Em05MsBOqvbMco301Bi6pCB7ICiQIeLdpvGfxSYrebrWuBItAYN5FY9mPoLRoe2QaEJB
RxHf3sc6+WDlJ3Zp+lnnoYHMxr8XsffUWvbVMJ1n1eYUmW5x8yQyBstmFqRK+RrOv8jbS7eNttFl
4KO2oHhshTkOEawYQnwt7reK48jQWzU4zUeeaO+yapuoXWFxqX4aQf6vxEvd7RVXxKEzTQXSWTVR
4k8kBQcFfU0i4sj3J6JXEzSTKJ73DE2CiG4P3H+iP/pguNVYKy5tib9GDii0AaPKFDmqRdvlkgrN
uB9Ymxj6vUo7cKeW+6DKkL0B+6ftnIU14OH+UyU0T0kIY7lguRKD1o/RJZFUsu8CIOvTHG4g1H2t
f5pO883t/HtrhBcarx2jPWL03jNeuUAs2wgmEtPKekeck0xP89C/m6w2l8R4rQf45EVjv5pHdMKc
5N3NclhVEHRcnbBfb7NePIcklLzGBTj7JM8ixE/Zvm2TPX6eEchxDYpdjswHRslkdrAMuI+8QF83
t0WxCFhLYNv/t8tLI1pzfR9FwlJMfhGMkm4drfB7kvGmvIDs1pHYY4okGbrmDlwLRlNTwPXuPYKx
8izcNS6Spp4A2TXxY/3aTHdnTamxY6iyPOZS3XyyqPcxuvvItl88ZB87ZuJtVMfVLU76hH2RjcGP
squ0IDwi1ahGBFJTXt9NPw85UjStR7Fc7Xi+5Hwnq6l8H0gm2A7hx5Nm7ey5DGP6YK5PY1CfmH1H
wEh2QImavQsgcOuQ/N3jT1tV30aQQ8ILl2Ynf8Y5icNxke+czDWoiYYQxMy5SJTglLvIKrglOpzp
rpL4sN61W0JDkATNZrXLsvg+VN6X2fM1eCnI57Vp0C3D7M7b1+Qzb7AuiFMHh7pTD8K6Jp1ZnnA4
fs0W0V/068Uud/PuYsObVBmT3SAu/rh6yfauOf9O0IiPtGpONhL2IOmRHdyKT0AMG0RSx9rW8S6z
imPGEmasO7UdaoDLfhFjf3AmSO0mqiMsotXoP5suQdFUXFGicISNYO4iM7BSFOnDHTFjeiIBl+I7
0NHQ3SuHuRh3/ovtrKObpDo6w3BRTnDoC5YK45xwn9iNG9VVgQy55pX5CGTPjPdesrhvD6J9U0ul
I1P7EPCSjEFvfzN7/RaW3ltmMy7U2XBAUBCNPkOjggChTe9/hbWdHMfvQYsPzfYBJjHynSm1noES
QJDRzEXCVHyj9MfdRITlTtUtORLb2ViXt9XsRIRAL5uWbsSvy7d+5pDNbvBO28BiVyd786jC5VSk
YlexXqbSqhbvK89m+LkcEueMjdcuwbXK+Ku6lZB86DQQtzhF9ZHj62+q7Hflledukv7FEWydQorA
meOqZw66oyfGbDLqd93e+k6Pn17iwYnPTWSWJ2qxkP9NpP3s1bfWzK9EHdELhC9VWD85yu7xUQE0
7HgDMCMIAJIOzSfmaJpkPzjWisuJsqvbOLqpvzoD8G2N6t/j6XUy0hBv3t8syNyL+auiP41MZXgn
r0G4KUo7wTJWKB4CaLlye9nLxOuuSZtTylh/0xnHJIvPV8uMGR8I/0O56pCWwnq0DGU9Mp0DwC8Z
DDushVntLduYldyB+Xq3mydsGvPofZgp5j7Wt6ak5U4qDqnJ+1la6UTu7dMcPqRDZf/gnOB9Z2LG
tY7V01sUM5UA5zTZ6ogc62nnDuQDm/qQkxm7bXJmsVav6JZCHmTozggSyJz3YfyMWRleFrMrDnpW
T1xF5WEc0sgHjFsYHcUpdqVsYNHUN0TkLGTXdgNZCPR3m7xLfxBuYRkDVu+5vA/MifcVfruKY2aX
sM7bSjHsUp3d+AraF5RRjzrWLT5KjI5l8axFcBuJSx18eFAi7La5B2thyOdqJ1pKYpuYA0+jiB2a
QrPAd6K4QXBVxlBL/O5XnxVsp/WWMvzswdTkwYDNXy/G0ziTNCKbkGV3kuNjcPbe6m9yRZGCg1o7
AxiVB3LtKbAgnPRx63OmRkXLlodSCKBBvNyWErmmCb6KO6/lwjZ57mnvqP1yORFlTbFqE5HMB643
I4JDYpYJ8OLAPy+47QojTKH9Mt517eoHvC2cm2F8R41S47dL9JGpQd+RIJy01VGsmX+5YJ4hiOnO
quxk1WhfwuFu9twTzlIp7Lweq7W43KO8+i4TIjJym2iCrhx5LvNxOx3jJptGHYO+0UdNQrqNn2T+
A/lX+2DB+p6jp4p00DBgSbgFdejeKlgQtR96kRwFTwLPuPVt+SfOgBTTSc/mzy5Z2M7BvOi6Z0/p
8dL53XAySArv6pH6vlzElmfbLnXI0JFh4B4LhDGA1MaM1PEa7lHkERg2isx7SIYRESNzNI5UGrgK
WR6X3aaYuSzLodixAqIbG6hcFvZmes6eSQ+n7+rjN7v/slZ/8D89cFHoZrOkvR/1KRvQxKVY0Y0H
uNlv0U6smr8qTU+pWyjCRKw/i8ZzLJ1VqpwR9KaZU7VaTCejGbxT2SUP6NvEHgE3lNHO7F6L0C72
cFhtGHJcL/8WaiMCQjnH+dls5ygf45YTZEj3RdEmJw/Tfus2UGMVHktydlISpd/d9MW3rIWNfPzs
qKIlHd1vWf4CFIl7PCsBuJ7ZtZnJw/c5cxLc3QUJWRjkZ+HY44F5N+lbXXpj9MxwZWhe+9X0OurB
AubWI5+Y7njW+0McMwDf9MNknjsSq5cklqd/LycGgURrhzguz16mDl8zOxw3Kn2Nyeyf+ntZ5etY
SZ8ZdkPwWeGuht1hqRxjMxpHIDdbomDYprLJIH/IU08qbkDXUwToDGVHG9RbM1xvzZJvVegk3Qor
ZCS+Eo5lZXv7wGjvLoKAPXacXw35ydPEzSEIkt4WCeahUPftLgx/jz2ceqgcwDEEIfQpg8ke1ETO
hdiX5bPiHAYBu4pK61V3a/jVF7nt9i4OEkDPIwwePNHZTsb656rEYE3jv5LnHKA6RM25tTrpHnyv
PqqkLHf9YnxaTCBYr1RPgxV70aQqf8dte0OHDkI4sT+rJTTP7Iv40U71KW1ZECd1H7mSGia0F8yr
Lk6c2gsiYT/nZhPsMjwpAYvD//xo8+TMDTcfyPbT5ylPP0SF5NUyH8SQXybNXFvJ+Zyl1n72yCb3
0ZxI/hGuwvneBcnb4n85gSRiZJUMF6F7cDycTI3rnXLL/iuNMeSY1Uj+wtgCskeeAprljBlY6+5a
JE4ru4FCMoYphXwQ162HbHuwpnfHtogH4yEX+mNFqjyJa3EeB2dMHJFd+QbuT8vaMpNatbSJFt8F
RjckjBX8e80lgSl93tpD80WL+yOYLaIfSohIFuZw11QarCJbfkBe7r4d2mek09MuLf3nkHbAoyMp
p+FQyiAm3J2pptYEVDR9i9yJuw/8g/UCbfV9gUED88X4ED2ZawoH/WYsvv4ph32qj/9onTVD1IOb
hU80DhRPsHby1RwwLPmhdtXdCENJPBWUFvmAWrtClDm0xDDUdymXFGFeNW9ZNLvnqsJKzfeG7HRv
etwJiiOa9ZYVGSGjzMbzun3nFC//7iorZhqCl7/fNWaCDyl+dPjdu3+X5T/V878fS1ez2Y/vcsYG
MRhPoFbYCqyvvG7aElylfgcUNu4pOn5MPmA+jh651x70BAPMuxUr8zD1pXVWMbo7bV55bCNMXl9t
V6NeadcrxYzN7OJqwqvMjNn4LKb1dNA/E4uEP6OV/AoPy8u/yMJ/8a5T3N69hXalreOPyjFuscjS
o8MzSYzlc4E/YW/JpeeZnBi8v1H+CauJc67D66cROKMaLffAILduZhvHoV2v7gxSzEqm/5dLOyQw
Km04R6Zg+TORPTh4Mj60i4vy0oFeRj3FYG7GGaeWTRgPEQy+Ne69U/NvBuSc+yAApOBA/3cDwnNX
G8Oe2GQaDKtT6W7luD7k7PxFWWoHt6Po8wdleWrb6xlhWCqfx5yFaghUBPnH3kfsswmbntvNrdFe
+WBl/l+E2P8AiIWmQw4z+k+mcha+l9V99N+ojzKcFI353KFQz/4snhtHmUeAaCVYJunEI0Vi5PoF
8uti0mtsRihszbT4ChnjHf6bNev/oIXyl/7Xi3EdK/Bs/OW0Irb3P3B+RTLq/2LvzJYcRbZt+0Vs
w8EB51V9H1J02bxgkR193/P1d6CssyMra+8qu+f5WJlRklJSSAgc97XmHBN6Rj2j95FPO5asNkRL
IjmK9bNRlE+sSFaBV4HjRH1FKYgoNtGY2aoWakK3TBhdnj/FnFonJ4yz06yEptT8WARxfLGplGVd
vYrkGFB9gsjQBypbOQaJrZLpJERpyuJhaB4ajLYrjAX1yZMOIsqGTqcIm2rZqGg8qIyJUw/eKBQy
fmwaA/zBdCk8L/xB5/6L3ulqJ4yCwMUUqRGXnJYTnn6sns7pY1orX0ZrgyXAh/4R6jcs+4zufWft
k5iugZUzt5cW8x8fWvyzLyu16CNBdGKifSIG0jLLfT5XUfpSuxgDzcI0GELET3r4YXKZWtpJtkY6
gkMl8PeRrbp9K5u9pxf2gwyLj0YFacgPtPwYmixsRi971IpKHShDYCuoOnHJFMd5UREwa8xYnc6c
r5iTMh/0ub+YDd7JjTT/lSJK4tMzZ9VN2JEVXXrHoQpT05VAcmtuk8RD0JZHaq9bIHuA2rlbg6F0
TeEH2zG2lk2u6R8Ta0ofNUs9yjKZzjnF6FVTwGotw6K7Mi6RMIpwmMlG9SX2Mv84oPbFI5GRnWYk
2onK4TcuFYJoXz4mSDGMryJVR+mZ29Dph5OTMQjmYzOcUQpqy1RaD1D58y9DEPsLdeMqkb0hNAhx
cAc7upYWZCqcEsooXkNviE8aXUpUbZLjHvdzICcu9JQW89Qwng2gOEwdo0/YTnZEIqg1qrYGhaCc
PqQuznNSBn6YhQEVLOVgwo8yop+Oq1fXaT6LRPTUPimF9WOin6VdpXvppdd2vhfZXU+xY76ZcUCd
TaNJNqrIoY0qWLEcL85ERZBuvz60GPJ8xyDaaX76/TVhRierHbPg5xN1R3NWdjeOO8+mKoH8LD7I
Bktqi5dtMRFeTt8kbOnqWOY+sNzhsR4qoGQCmdtQU/JRrzJCP5DRiA6UI5e570xoZpOnfMzLc+7a
+kqPI52zklrqxEwKFQj+Ws7J7Knuj2iH0queOv6usMkhjNR4ct3eXSSwsfSgsbFRl9XG0KrvpQba
zXVqrgA5VYwq7kkwySv5yHwTVbX3kJQc+m3rofsNDLnxcw87FDv2oelBd7h9rM76zPlKG0mCFcXC
R/Tn+SIFxbv3JLldrYdrr4NmIYoI+JX1o/Q7OFkoaSzR+Osa1/kaZaYFaU7fJB7Gl1g1c2QHCl/H
jqgFjs4X5efVThmdJJqxfao1vzgPnU0fUwybsDD7TVNU2BZb8vqmvEpW7LNq48mJVi6FHNBSaGiI
vPQGGy848+IgMy+RrfcHM8/XCcC5Y2RW9xpTwxoxBX6QB3LZDH1/dMiNWNGcrjYIRsOtY09fKPES
wqhHyVYf851KVLiyfMoyfz84/4UCiwHUsqWEOmtJHVvsbxeKuBKGZ9d6vkNRsGTqS3CRyKKDbqTR
yeoNjwVK/L3iOMYxkyAZUCHc+Qn8nmvp4cnotAdRslDKMkwk9Fp+UE38h49ozE7YX0G194/o2hIX
r1TmXwjGqrIp8qGB2gH8Mte1j1GjVzTw0HoZRz0B1dOmafTdYyiXcQrHLjGYnVqmdu2ifiX0W5JR
eg8oHwLcU822qwbnbCNWm8HgUNlMQaGbfhU1w2JRM6Gn1Jkb/3AVFFiHf/sWsHaVCwxV6q7pWjOp
/JcrcqEhpdfHIUc2lpVn6VtXDHgLm8XHyhJWdq7J+867k88YSA2rnEloko4mgjxGnx59e/EiqzBc
ucMb7SRUc3lJsGCf4gn7+0NCmv/hk0qoKK4hHNP9y/7Ghqh5uVehhIfJuDRKH7NhodtEAvSrzC9x
yNT918GvbmWjqo+N/RUkErmqdl1tmwxjh/LSo01c9WrwOm2bp+6HrHSOhKoMJ4WIe13FXOqtqnSZ
YBvGYvDA69hZYR1A+iBspAG6KODxbbu+MogpTLcGa4oPnj1876YHbVTDrSh8NNCkafqha+OWReqv
k3YZxA7CCCr7IdUkeBF08u675v8M+f9oyFczova/G/I/vNVBmPnUoP9syb+/7A9LvhD2v5iQWpBV
lWtiswdq+4clXxjyX7MTfvbpM3n8n4wA91+6bmBjFcqwBVvGpv8JCbD+ZUkLG7YpMO8wwxX/P258
8eeUAFgsnJXCFVJHxYjJ7PdBcCKbqdXq1r7F6J1XWRWP+7rx9zhM+6XfArJJIb1LZVD1c0UMoyIH
dgxg/h4sVReq3LiVu4twmJ21JP7xy578T/PnP5+P90/nEojg6LorbXbQb9Nn3xpk4gQN2iM8w+WU
475y0RUgebH2YSJuufQeLZHbpFKDmEV1DaXbFjgj/ZqE5FSF69hHUuNNQKWZ0p28CSQk1ftgYYo+
eGi9cJPSyc8noNpm7n35h4//Z9DBHx/fxM+gsNbY/P5/HvgqLMt9lQt5A8BTfKqmPIKfi8ghdgpK
fpPEDC0C9xpAYTb7T/Sum2sDyYaGZnAyEUWeQAgeGGqyi4NoV2kxutlGvLiI18JcU6sspQIZGmW1
77r60XCM+khvmaZoGq3MQndOFItu//Cd5l3+fkmav5ODn1gwRjKim+L372SYoZ+5UWLeONCzbVWT
vEUgjL/Re3/fGpRGHai92CV6sSkogew8BuuDJYLxNEiPZq4qXxSewaOTmhs3KsVFqmcjDFE6R7F8
ZFqCzDoToKf85mfQyX8NqZhPmr9+dM4dyRnFWfU7Wz0rMq+lDG3cRIHN3daixxEzfVpW0KHBgTp+
FxwzxNNU5GeqXjJ8Lqgj05KzLA2BeEhEdl415Iv507AxQSzRyuvDLUCAZclXOCIOPGsdneHRqV2k
ZFnwoDRz3eS9fgwkxgJ0TeMyCmOXgCfGa44NSmwyoBUGk51Dks5Okxoua4WJFMweCW5p5+FW6/Fm
OeaD5cOMTGTu7yZvCm6s0Fal12CMBgS5L0f/EmLWAAPGhuap09kpnuugZdapn8ehDPc085qNYPol
PaJhwQiMn0GuNfi2ww+dlrfnSJPJmqFi2NYYnhYqEnPLrkHQMN/qY/Jio4ZgUFOrH02cQhe99PY5
jHVVcr3qe3vR2/GzPckKDV8s1prAIzVGVUkBkWlerxXfRntw98CrPgK26BfToCSY52JnpfiB/heH
6p0xAgpF6H+B2qsed+PgBMZNM9pT51B/TFRV4cCmWTKHaSjHuBC7h/JvrF8CVqLrOFVoCvwcDb3h
iXOQF9uWPFXBZRt2nLj12sqPof6ZM2Fjqtyza2Xuh3/42H+G4v88w0iTcW1HMSTz/z+PGramO9Fg
VeI2WXifdDt4RJP1YDqQRg0bYUMJZIEf3mcx46jsLDHlhVr8VLtvuqsb2AbCH/f5PN4Cc1+ThK7J
ANtumcHzpU36T7O7/zAgUOIwSXDQXYaF38foznWzGOapuKUs5a76OKd5z9iw5BQQI75UKitXUQZ8
IsOYPmXxSfjRS8giZP/3++23DJr7fjMFM2bk2Xwa6376/zLN9Ean4dLEr9RmHVRNfPAV8aIRbt5w
psFr7WvagVLN8A5M8dk3BhcBt2E83HflWDebcMS+C2ACOuYIKwt0Y2TsixKRdlULaxVG2okfB2IT
5sJuSJ29EXbUt2R+yUqKyp5wCXcRM1e21E+ahkdIi5KPURxo/1Djukdi/DYIm6YumVIIxzL/MpIZ
UsvdkoLjrR7Cr7Lto2MP55OVr+msksh6HAHh2bm6kSEYreHVJJ8j2zyLEYWCEZoTcsCm3Y44qPaB
AzmtQRK3mDTqh4BiV6UGcubvfxv7rxdyx2FywTWD/xzqYX8+plmb6qFmdmjl6katjDTstgzS28lp
vxZj4zywRKM7ktAVap3YWmOhz49pFcl9DZG4ja2rwEq/lvnw1VKdOqEOieHc55+lDhvwbig0lRnv
AyNC+kcd0rA7pIXyg934aqcHZnWI86BYZPyF3exQC1h0rdKiDjaVbhJXK5z01KZjetILTm4/P1J/
oI9gKOzSHTGxUUWs6+Ck8D/gIajuUlKH4qoA1XggZVTPjCuGUgt9eLsEriduWusczAhKKL7BJ0HT
+yUdNIp7Ri7pjoLXyNKBgq+pQQeqYObxpYwKI+rf73c5jxW/HSiOwSmh4wEwXQaUP+93xJNeq0ZX
3Fy8oIRMT93jGEy0mB3qIbaGV19zqdiEzC9O4zhhyOtHll4jwcJaiqlPl96mrSVNVLFFrHxpW5Cm
lqR6Eel0QyJ0mb7KwVv6Ly1ceI9lIJ2KuxqoDResS91dNsonPyPKuCNSBgC3/axQLCc4FifkAWeV
FzodQK8/Y2fdTH28ozGVPHWU3JZuIzdp0GabgesgVUOnWKeg/PdUUNp/OELFnyu199HDIYKEJSrF
AGndo0p+GT20wWg725Pihhz4gyxZZak2+BjPBqS6FBJmkzbCA6nKpRemKbbLZhHQAcAMMhRH6pek
ABRYakxqbX//G94L1r/+hrZuMaaxcCBHDPHK758sbXwDavpY3/rCxA3Vx7gJZjavG794JcaTytFO
SEUyqlUhQk/qpYBbkN+p2Tt7P3wLM+5o3VfWojE081wpVCJh2+mn0XPPEy34JfrnZCuNQttI+ACb
uMan3bTBuM7Mnd9K/bE3P/Q210XUc2IxFTaWJad507IEpaK3yLQp3OJehfwtkTENSbEdS+xdQYkj
SNaIA+v54DfpButdYaLyLVgiBzRjQjfYCIfSYiYhHAQ+uiYTcxAsDnNF42u8xPFbFI/tCZdXkTA0
M/fImasbr+AHyQdV+Ba7Avq/6/fVMgD7v6x9ZAtAopCPhrmPJzdM/mn8JUHmtxOL5ZLOCWUyqhkQ
un5nmE0qdukijf5Ni/v8AlumQ4+VkEKbUcPMtZNlld+otzYbZxrVvonCg2tmwXMzacQ5k0G5DKi6
DRVI5LGVOJqcCd9RgdCUqTfsDFqOAIBGxJY+RsSIrl/ts7ahdbEe3Z5s6hoXHJjAqy4+NU0pHsFI
vEDB0M9tfo3c+EHvNIrexJNsg6j6GrakNS8GTFfKsoLHvjPsp7TRDjEYZdxURodwiDJvOGxQIbM4
ykNC5ke+UicFc9XIR5fqUxOdW1yEJvurIQGYBit9Cpgldba7w6uzjBQN7CKg2WKrMdvqFeG9KV31
ZZ05/cm04+H085bR3oZUHhxvMNd+6HknEdZrHefXgwXINc0BPZlahfQ1QU0JtwmbPbo0ZL0Cebrx
6E69dxuXpt2eMrv3Vk0ZfRC9U+0iOl8DCMf1FNOoq6aRIy2Z6i3xZ7T0nPDBJ+RqUUZFt3UibPG8
rUnzPSJ1uPdYjOHqXsTWEK30HOXWwKQXNcLHsRJi32YNoWu1DvNnMA5diV3fLQQEtHpdw1rZVTPx
F6yvD5G8jS7AOSLKO669NocU+THApKwK+J6WvGBBO2kWnyZZpq1fPaCFKJFQwYXrTIx9g4OJB4IZ
vmihUOd23yOwIke9ry9plwBoUB4CkHZc2pPW3mTP0cPPm2wpHH0TEYZWol00InFKFLl6d0FkZ167
Jvpcm8R/KChjUQwDYMzGBdcMgazQvsrK+1hFwXRFqrSB6h6uqNRBE5MaMgSaVyVqmI2V198kzef9
4OC9qjqlP6P4RxmmT0d+NvgCKj8wMRY70zL95dwJDDVU81GBlUWPk+KYjPa14FTZ4ZVpzmRbV7m3
dbPgpPL2uxLwKd2qjqDtEUBk2Ga9QdYDU3QM60tSoSlI22qvhEqPBhkLlDPI6vG43rqlSw+y7tOz
V9TnNqS2qEtKZQ6m+1VhaBiq+Fp22IwPKjEAcKigwF4yy96tnKZcn1Z0JhBG0hfkcJj2Dr6bS5/8
yBNOsCEh30bo5azcOXtMuXK/Hs6jiZCjtaS9Cg1qOnjbtJgBGdq4ZtrHxu7abV/N2oS4qh6Cya8f
ZILyezLp3UdQaI94AOhqWxLFL+rkQenDq+RVlGP1jNKApj4MGt+/m3Z0S5sFdi79ildMv47T2F+j
vZWB1w8bdtKdEtKm0ARSt0BtE4T+pehg++bSOqWB/dZ6cbi2nGkXNoP9gFgZq2leA2S2NGvpq4l+
s2MWa6Nyv45U5fGnfh48pW27qMYoBSsEMCFH/hqE1XQwYeVt3KD57jTRcHHnjVPoSDwURSHWds7R
CwjU6IbkG1Ix/zo1PQolw7vmaAw0Ws/PeVafUUf559A2UQu7VbcTQfUKrsF4sn3jGGjjdAn1rUPt
AWk7bkaNw/ZLOE3fSJpwtvkEIlk0bneaCoEpipFSiGo4FtZLULAWihGZ0RYTC+lOzvU+l/Gj8KEe
tPDiOdXFDzwi/YrUg+LjZAtKGczvOoyFDAT2Oqi7/EDnb44+cq5tPnwugcol5RA8yRjdhWXPHcTp
oxUgj05Lx10IZOKrsnPy514+gKdZMHwJ4BEY1Nsi2tWGBUMyqL2NE3cr0wbJ29g2L+toUQed9j1o
hLlvK5QLiBwWtUs/VQjjRQsmdJ4KCPwYWgiziPEmZPv9Jqt37m8HAwQ+q9ny0M2oSZZFxc+7BsKN
+zq3PKgIhIMC8HtXAlk4vfX1XWz0874eIC8P69ksheSoxMP6cwNcEsNb7WwGjd3aIov8ZVO5Bz0s
rL2TSY6PgVF2jd72G5Cp6iBN5kW0F3GJWM54COeN40/jwSuQbdtGtyuR6N71GyB4OmjN6T7ytXGd
jt3bz4fBekFSjrfFnAJQzZs797OF+EzFhDDEpEzrQ0pz32FJD5gf+C/sXMK975ufmgsd4UWTBF/t
tCdrJyHhHQcaRGC8NJs+S17Qfr5UNkEEqqO5B98pWUeKBPVkRAxukiGwMjsRHp2Mk2WCnLeArfmE
1kSsUoNQKY0GYjtYhCshcL3rJu6b3+5OPTlikwZJ2XHriIYq5uquzl4xYWZMDpAa3jeTA1jv/W41
anKH0hr7LYFU2rzhWgwe79+3/B5sD+5E/iUCDQ3Emd6tg9l8EE8Rpu691nBJJnFL2/YM9siowHgH
hrtq7XjakgT+LKByIoBt61UXj1c9JOZKg4xRYeNcO+I7DfYzZr1oYeqkcFVOhxdV2f2iKadyKf3S
Ww3SJuem7PVVQp6a6qP8krjPTVPBYqC5vNaM5K136y2AHAshO/LYtoshEvXFBuaptggKkskCBCT1
CLoK81626Ev4og71igMSuR+aq725hN+FGj1aP2CFG5MWUEX0mRt/B+1dIpVEEc4U50TySLafPbSq
5NqfIKHbhdkbqIcNtOV21YAuYxrhIzOj1WQMyX2tPns3tCfbCmNUGIgVKr8Ajimcbjma9ZHS0I4o
Eg6IdM6OprPCqTZvuHztXb+qt/eHojlT+v68+637Y+/P/fna//rP7+9gBRQHm46glt//ZnrPuX7/
M0Wph1t3HI6/vHd8f45RdslWZM6hGJGa/fzE99cV86wIvur3qgbugwiYb5EzPCFPxrbi4d7a/fwr
75/+/e/9/DJ+YTDnxxjvj2TMVRGZetmwiUghOdJMnMnVLJBU3nzDP7DVhhkviGRxZbjozGEG0o6/
byYDlWUb6ebSihoG/FFsjBGQRiYUEkwXnaciw2oZWY5+1G3Qi7HbseKQBsWwwvgaRKG9D/XAIq2x
tA5xbyElywiA3WhN8ISckTP5/s/3Tcs6CAGgG9PLK+ZUDzOUy/u/cBW0wAhHxwrK2fb+vPtD9839
bmpl4DqI1qrnN7k/biXqj1tFguwLWDnkpPmN7i9gJp8ga6PzkBaj2lkkEEVKa/Zp3EwHq+LiSfJJ
bSyTidiPdAKE9tHvSa1ILQWFbBbJ+xbBXfebZIBCsanvYrH7A/dNb+uFvo5mgVcOj3XRlqYLvJgr
wH0DsfKPW+/BKEiOOHTfn6P+/ez3x+6ve49ReX+bwa9hsteKMabXgd22jkERwZhPiViaaprn7M8k
oIQb4x4K70LiObxvgHbZzIr+/eBoYTL4r3fv/9DMServT/HHQI3L9/u/vcP9H5gOkDUhkH8GLbWO
n89OU3K4ft6czIFP8f7KOoyJSeOSY8mWUd7wdp4Kibm/v9n7097/qBaiU36/+5+ed++Gvb/2ly9+
/5ffXtK79K/BiLlmcQUASsHx5x8fWscUwHvn3YTkvW6e9Pmml8ZpurvvmSLusnQ36WSVpI61u/9m
77/o/a7bGCzA0jxh+/P2/eH3p95v3X/8EHL2RJFlfkHXCexqGWr6rYkKsdMN5v395BZrWFurkoV4
Ow9z1dhbEHfnI2CYjKj+SAOcH+w++NgVqyMxw2WHeo7gQFIez0TeDBnvz01VK2Iz3u97lg9Crg7m
OEsb8f5kscKY33p+U6KO84NlCJ+6hHdMtBRJk1bBQMPYf9+r99+lYuK7Mcr8GfVLt8eQQFT2/ANP
zUsSNuv7Dvxt998f++UnKu6H6c+9/n7TiwsOm7BtP6vW/+poIV0sK8yPY46Xm3RNPDulk93awTsO
ngZQYLKGxzyOUWEVrLh0PNwaRu4wIikDG2iLIJQepoz7eO0gllkXmHSRlRMElzOVXETGVJ1pQZyH
0ig/WFfN9syTym6esPw9qXB7H4IgIFWwh20gvkwzDrbM9WcLIsDeaC5trFdHN5W3UlXGjkLLl3AT
1tZ4kU6crCVDMNc8ukR1Wa1zo4QR1QbPELTmUE75HPUlwWKl+pIzWC3aBOlT2OPm10Ku9UPofibQ
QVzytncQrpneXh+1I3I4SmO2/tkNFIJ9I5p2jRKfoCtOpIuhTDFSDWFVgyhpwknYZvCYdG/AksKC
XpPjWzgNnzNIpyiTqEDpOosnOkwGcwPX3lR1zAof7+8CIt+wd8XwFRUeuOtUc7eeX/tXvV4HmA4y
SXiaP75ado63OHO+ZV46bnBquNAxcC07uvtYZn74CBas3BZd9NKlktiRVGENHgF/mmOOWjztrTej
o2Bmisnf1n647zkZHvycalUIs2dDTOnZjfQP1ojlTGQeBIN0QOWtV5dsVCA6quyrlunZuSsGolSy
aEcd9MqAVB7lRPBUEpLEjQxuT/zwTbp6+tx2vsm0SH4ZjFF/rZIdwlY4r5rjbFxNz5HsjdvWxofe
TB1iL+XDpIy5FEale6hNagb8Hl8nx7zgG0beheE9Q+C3oTv0AxQEXWYd9K5eZ2JplXiuDyl9IHz1
KnslcX6pmeR6V+ot8XH4+QZpNSL3E6D7y6IZ2lNsMyhYoi6vRj2SF1oLnJHCPZWkkatGG5hnexPE
jw5EOoGljhjGxzCodhbhwJqDNwGRKSUUc6RHmar46M/2VyeJWOhxodOUc5kk1gisW+hzM1jUQbJt
mxupu/Gq7aQ6JV3xCpdP7CVcw7LziOUdqSHqFpDCygO4pzq8KUOvfW53SSxvhMO5pyRIW3SpQXcM
xRcNu+xS62gnjLWP82fCA+nZpbUHYLR1r8S4TobSGC6Ki0sRe+2BgvuWun54iVzxSv+GGSwr9I1A
18jZnV+GkgMLxvbSTKvsKCrgZMWMKnibaDm/Nu4XA27KGGbeTYTys1nKAR6pRxj7OJ5p4aUXy4kY
xFy921c5YUljXr9WQ2U9GWV8TowqOtX68BUUCWSiNrDPsLn6VdvTR3KhNk0015+Vlqx7PRowWUOU
zOr8tTdVsWd9ukcUoW9DczjdtURO2O0L+iYQQqtjJ8hFvOOwR3YwaT5S2yXj9BIVSfUcD4vIM4Zr
bG58269vBOUtq9w+kDmfUCqmKyqgZBOvZyzhAQzbCvvilqbNsGSy6cMA8NHDB3a+zRP6B2U2+kfc
jEu4I2CbuK5WcWOtcDnIYzO5H4YOBg66RVxIRgtTaaJGOBL5vjI9aR6ZRw3LLDWiHdG8ABAc6MlZ
i7EpwjnJJ2e1T85Z1XzU8p6ARaCbZ8wn39FHfwwKZ8NTso1peBzdelscy6FtH5EePBmVQT2BuysS
r0y6LRoQLOfLHCAI60Zd2gAqy+honwhlLS5A3ghNRbdZmHZ4iJMphVakvhp6jvW7fm78UW38wtnl
1gT8vfiYa9XFtqphq3v0Wt3hk97EAmRUPK4jt/KgawFDN7/r0b4XbvUmPhpeNp21QFtX1b4AIvAc
jp9DxzT3eSc/90Zr7/ByPDaQFSw4wzvMnug6c6q5abDqWMs+13SoF3Qaqn06Pqqw1NfdYNsY6rLp
qe+oMAKEXmamjdaYVWtiR9qLMPSdQwZaEhnPgalmllt1skrI3nQenGWqaZgKFHiP0df3eVBtEPZ/
mCTIfEAQzcXqCOjIc3jJrvNEQkCFWq+h0B8MpDV1imxuVoCj5vjbiHrUwh6Qpof9zN7Rzla7IqSn
eDJqRUnLhJLd9ulKhaI9kcyX92N1U5TrWqN/Yipnr3u6BwN0vI9mHZPxnZxqMwqeiDgO5tDV8lDW
VQH6vw9eNNPrbg7IjHBykf9MNpbJ8WtooK3WahuzeImzpIk5aKlGZiyjYQ46zjAuqw6Bs1/ExW1s
uKaphMyEdm70cULMeL5b1xBNeX/EM/3qaA7Zdyzhyc6WLWyX3AaskZ2UtLTdVDOHMqYwWNUeJ0yR
R4BM+Dsy6oqzHw1QBa2e8wJmBaXhOHoZGzCb6F+Xo0qjh8ZrKw7rlI6HW7EZsocB2u+hCpNqzTGx
rG3j2NZcGEChYiRsxm+21VxGghsW/hi+aXrl7P1sHrZTatHkRHN+M6lk6lW5m6SBJdyOiB7aZjcx
h7o6drM9mHpu7Qelzdr1suHSK7WnJIYAL+WPDOzaa2FFhxjSHkKRJHyskfSCE/G3eh5N18CN3+ac
2XPdZYDx6FMfmpvm0AS0S0nCEAIZ2i4s5aUDqiUD+wrgmZjQY2PY+y63+xdKKxy+WjMtKkKmchOU
srLtea7Uv1Gc17dJxBJeYYo64ydCPDQZpCnHw6Xqbz5YZNOc9j17YTOK6WNgV3hydDyUsYYZgpo/
1nBJydRjz2Btdl4aUD1LYuYq7AAQXaGcfMCK4NHRA3Mb9EYNUmOkNIeLeVN4AQCMOiDB1Ug+Spm8
dLMlyQDE7HplsxrD3mY+MDzHVmYgLiMQue/9h6Gi+olktFhGmuksibLa9eaotpSFKa4giNbtN5p3
4qKD0WVHmoRtfDKzWuCw8b/7hOnBmTDkbSAPxS0bourc64ALFAcYmnSfQ7kLSTSuBcM/UxiOinF6
gBASHVzWyn3j1A+TIHnC9odXIMExFeQpfPbs9uyjgV+W1jhtp9HFhy93ZuR+C8sBcXXH6dogIFpH
Tg2Cp6lWw2iuo1o6H3T5g1kdUb1G76wyK+NwacE8DhLfqaF/M7WQQrJrf+DqVaxJo14Jia6qgBAR
TOn0FvjQsdpoyjg+MPMOcHGOBKwQLmWU2tZ1BHnEwDz2NXTvwtRf9TL74hTF2g1JV/BCMipHOWmU
2bz2NPmBeyqAwAvbYV6PemQdJm0IRIKVBqio9sRSHGyKc9PqeeblJTuiVeItQQG3qcwqnFGUS/Qp
pMsminx2iRKsPgCM97Gl1cA6F0HaI4CIYhbKCH8/uX7yWWFNXFiJXZ560a36fvCPejMGZBz0+g6S
H/G8vnlVWaquVtZvPYcKRtKHR1qCO0rZ1FXk9Kl0sfqUDAY17ZiVaCnD5aSFYT1rvAO41McIzcwS
c3+zKzXCQHM7TvY0q3j1QMMuYbIfJKTq6q5xQpRAvVjin4peCgdUbaMjPm8cHSGSq67F4I6H2NA/
EXdfrBLBBcWhqQrOjTQH5vQ1F75d4QzfSks8DOOm6G3G6tTxjiWhNqhAHwxBsUWU2T6enHgJj3dF
RKxzhTf0qRDxMWwLbasLgwzvyQGjRfdtWxP5uGBaFaGJaLp9INLHaNS6vatafN6a+sGExzxqFShN
4PwTeLt+b3Nte4Ciua/KnlkFQZyUcIc3u6YBI7U2fLH0+CElWnkYPKZNsA83YUU+fdw4VJdMi5Ne
Ngjd7UsWEJKm4s9WMTrfga2/yfxTaOrDox3pD0lrfsqRlj44bvEBngGhaoZM10ZRj8w3e48uoGXt
NNEe8xh4XAD6ChaKSOHUsALmwoLcsksvaLEOwfyeqdUkS2Npl6547pICZ42X0mmbFOQai9aXrh5j
xt9khNmU5OjxIxBfrFbKdKsXnbEVclB4J6Yf1MYfgyBjZ+VgUB3oB3Zhj7vJF5/y3jszPaoPyrS3
uPymix6iNqiGaxefQGl/KmUvrkbgEoVZlsXKyvPpYeCXWBRm5a2VRh3fbBc5DrKtNzbXsSHWnKSo
Qy6fbEyoZ9E0ZBz6Ij8Dkr0lGFjj3A7PrkewXYFqapMInMIuvn1HqYBAQ+SZPqmNa6kFyYbxdUm9
pKbJMRMSBuBkYOAA5s6T8VgbLl86+Gf0h4kidLiMpgH5RbruXAhp/SowJ4M+t0+d6ncAabFikwK2
ZC+MtIDJHzChqNyPcWSyq9hPoduF/Q9kiNtAlLw2lnT7adYsBoN2dTgwp9TlsSTzGJX+tEKGg0ma
1vHBRj1qe6l4xGH+GijtRJcmv5DSpRUINRVFyCuCaOAyJdf7+yZG7Hou0/FDHzvtjplfCkDO2qWq
ZH0GLQODJUqkRDXLQI4p1HTruQY+28Qf60oilXSB83l24YG9AUHY96xB7m2n3OgOUe+Z58grX/8o
DSSaufdj7ZjzIG4sntdtRuSmk1W4p4z1yCJi4byKudjsYld9o+MPHNZujwT83co4Fkc/ssnkjsbj
aBId4OlgAiQczqVXQvsXg/Yo+/E76+t6B1f4izEA9/9/7J3JjuPYlmV/pVBzBtg3QGUBJYqiellv
5jYh3Nzc2Pc9v74WqYiQh+fLeqh5DpxgI8lNEkXee87ea0dCFmz7IIehKjBx17Q3GnzmzowDC0Gu
+JlPQBeNKRM2mBjrQ9sGIAMtyPRww+mIwWmiq+KtRblBpati9MxU6kI5NXi1Av+h9iA3EuDgZIuM
8g6fcUxtH9yIko/g0A3MaLkKsavOctJyaXzAZedekPLjsinbJIcMs48zptOdPrNEZ6ENmSD1PoOF
sgIVghiJ4NPBcGpiCmlEKK9a/gmF0jHGvAeoCXqbcfgr50x9qJWHhqrGfRxbZzIfCi6TIlbdQBzu
RiK/mybQbU5TqEX+THi0hAP1BawvUQaKk6wbP1W2ugibiSlhsJkKYqkDD7yaTOV1L0cYILukZjyP
rGuDYWUOowpfiV+NT6QPe7bmN81c4CKsKTAsNxjBzqHD7F0Bh5tdoPo98GIjGSG2MZbjVq911G4V
ZiNhLpAkTf1ZhJ13Ggr/TvaJqJizy4ZGQqKcidKB+26zigp4ziGzRRFh4D5TJYakOMy3FkJBRzES
dHJaS3hyXJ7TJC/dJiZznjCT1BGUaFjnwD6FRn5Qx+hn3tNjhT4wuLGntUcrja2tRqPMzhrpS6hF
5WTMeRptVV76vq/XehjuJ85Se4AMtc102ueEp9WXwEuA+KXbuM6DY0HLCyEk8Ur0h4Y9RIv+Lpii
vU59Rghg89X6c1EIJ51k0I1qgMFsLXGHuGM8NZGlrpp0Riv5yUUoK4je84TEJ7brnE7t69QGGwM4
xGffGdAELFIq1FZ+Js2AYqcePnUV3ja1M85lLZfvVtptKjX5IcuWz3xcfiw1IdyC/xBdYgtDsgTb
9L7VGZE0xMd5AjmtuUUYM1gOWCRJdof8UiHZgl9Dgv+VwRihxY1OvgW1Bxu1TrRGSzlPGXr4WrQ8
axkBndEBLigRReWyY3i6t60Ksu4UrmkovrOJM3Jktj4PSqIZYOcXzBFoX9JpL6ptGSC+nELEjtju
nhTwgvRmG4WGgSc7Q4QXowFINJOKZM9cq3JLFg/eazoYWBjqRg3p34lg67AZlRWfcVy8dYSG7ltN
jh4khWYIdD7I3/ZiSTBNJi9AVQjXLUiy6nz/AzBBR5vxwedycQ6E7CudyYEKU3IzxvxfwwkjTREV
bN1mXPenRCSTK4TZGkXCpkvCvR/BITeyPjqaI54lqO2EPULWD6TJNetnIcosJzZDYUcLXkHNNBkE
RsgNjAJ69nWqGvu4GRmmEaC8afJQouGkbvhFk+xA/i4etXXjCRcZ23rcEXnnR2J7EGMTvyvqpuTO
b4ZgV8yX2X5U8RgaQeHmXfkIIdpEBH5SaOFv0XmnNHzVzbW+JtYPkcWIuiqs8TJOTBdgH0SgfL3X
sajAacmmv1KTor4o/R13o/BICMzbUoJJjF4FdSZL2/ibkicSPVwEQbnd8HOb1IEmYieuaz9uXdyg
YaVBdQp79S4D66+lRO8kXu/UkYhSP+k1mwyeR63OBLvMNWQTJfHlem7dd2AId3EBvM5XBo8qafHF
275XyvA5zXx5TZaABUUPxjdeMgZHHVUUOP/A+zzxvZGiaG36sYjstklJMxk4dwJCIeVW3IejuoEM
GLoFIm7Yztm0EQKv3MoGwHpacPTBlSJ5kKXk2ezCB2sgS8P3w8FROwYgMO/SjWjl5C6l2nmojRZq
t52JJM94414rlJ8tEoujlGprDIzgBSzUE7CeON0sHTxvKgwrH34LyhSTnMAQOnPZSrGNV4cBRofG
sS60E5zf9BDF3qXPxI05Z8D0xUmeAvOopNSR0gj3iRZNn7FQQTMUodU01QSCNgyhLLX5z0UM7w3m
RwZs/HVFrYpQEM30XJE36ZBqVF/0Hrig/Az/of+alNwG78NoWlG7bSd9MOAKL80kU/erhuSkmPld
p4cUG/NE2UQ58tSYXzMo0B6aRlud8t48aiAeH6jbYssNdWPNaOq5iQjPoN2MeiDUzCOCo29qUVSH
0scj0Rrk+1WJJ6+iOgERUtYoHsyB1kelH3VPt0cc12c67Aeva0U62xa9fcsPnkZaEkh15+x5YNFR
qWtrVMXtthal45QU6slDFj3gVFHHxzEJChIYKn9DWQn751x6jHyynAiUl+OBKr0wxghAo7eSyfAx
0oWXjqw310TzefDj4lKHs3jRImVOoemZ9ZK/762HwoiMw7JIBJVzrgZeYXj4jGP1Z8AcFeEw6rlV
T6DfGJ0ZJefHDFfyaxwa6E7JNJcC7A3gn54K1XpM+CEc/Npy9Nqaf9UxxbghocQVB80FJVx9gTjv
Wp6YcI13RMB2FHoVx7CSr9LqRCLSJm5kdXFS4lQ80GRpduNEpmKQB+SZovmXYuFYJm1CclQU31cf
MmC3LMzjZ+7O0jGbzd5V6aqCHD2KKOudVBpp2UjqeLJIZyLxuXaHOjERcVQECs61Bal6YIoibMW+
gGkcojAM6H+IZhVuxc8hEIJD2XG1jxXhMWvYkluNNHHJOo1pvBPy0EByX5V7DHDvYdnCjSeOapOb
0Ax7kyovWaKrnkGtoWbDFo8DNaxAhpkOm5uCTbgdozTnEiR5WxQiM8MFEOmYmsRUkwCyZjKir4ng
eRRrZXB7Kdg0gWI8ZMboKsCLlNyUzmkWvzfTrKDpivohi8lJ6fsc2WkbHQqgOrsoo1AohXlzwNDu
5oMsXoIsf+EjgOU3MQQfFelOCXj7GR1KG3F7Sn5qpNuQfIgEY0TsotEFyEOFJcCMbJW6fBwT4UPo
O52gUoLWDCJeNkX4Qhb4sA08aAFNBmQYbQYZZASt+UnXHBOThANvaNNzFX9YebYOTTn9HnE1hSZI
JExv+qcibnonk5VoQyAOVyM9zNfagIlD6CXlTesoDsfNKykYHuxY4UkpmuJc+1y3DFUCjoLPPRis
6b7CVH/nDV8ZTXmnC5hdUPIZ74jQiC4DXFC49G+VWNT7HMsY0jwgUF04gR/0MnITswKeoMb8QSYE
ARbGCdORdtKt+Efql8kuJ5ztQrP/Ebc8cB/Lqs5DD++bWAGKQY/ccywQY6lxqIEq1UGyEnBpbjvr
gbp3/CgIX4Bjc5eeYWeDWJAe+iI+Yj9HOwko3Sbgh7MNbNNRj5VLpOb5xZKM9JzUz9cNueO8QJJt
CyGCPV3NjIOgIFgVsl51QnWOT2dy9hTKPSeJ5HdHpdGaVdeCVegJLNsuhgu5ZwQl18woaRXlriki
bwTPcSw7WlayL+THfoxe255KniiJdzkNqxr8pJMMJbk9hVRRiZK3y0yRt4DqNxLISWj4fmFVH0yt
QWCrGyA2ptY2RJiQQUjxboiGO81nxul791UgDRf+Akbo0HOTXgY76eWDg+bXzfmybMY00hp16Ox5
L79PKfyqoUXCUfoSjNIq/ubP1xPD8DK7BAvk18AkxG4ctugYhTXDSGMLwtFhUn010tM3EGA1kbRa
zm1HAA7SFuxDbanEdRHXeEGp2G6RxESrouXmQLHLnIP4rFXWxAxL6/wgAjcjfySlpV6jySLTEbLk
odTAXdcFsrmuw2/Ge0KT2MCRbinI+YP00uVMy8r+BwXMeEuWcbDx+tS0paIyVmo4x7XKjXIseulQ
iFN0YZ5cMBUINRsiF72IrAAxnPoUXBtNeqKg31Hppsa61Yx+fFIjNbonYpWCMvA80Rgf+1rjEWJo
oisjG7KYh2eh5HiTfKS4gNEoIltwzEdz7VVASAosNCPRVk8gztBJR6dUlbHXKJR5e7P4qSuxuhMY
F5+zvrApxK1jIdTfFTyKBvAqo1UaLkyteZDmi2dqiO1W5Hub8aYV4coM/qR4XUVhtZVzg/pdeuhQ
8+GiDTQ00rN9MqRESBNrn/tldNdRz7D1gVJv3UQkZSG3oKepnwsTkuLEhOtY6TKm+vfB15sXviyo
tmZPv2JGYikt6gKdGA9JDNRNoMrPnZJ/qHLZnz3TlVOiMhKNCVDhWYw/9PQBtC19zsrNtLb4JhuC
A5fgMZUJOxRavbmbcigoZWTnWpDYS2cuTvipF1JvbhsJjqgqhz43HFk6y2p0MManVkWAPmM1uUAm
4yUPBgRaev9thh4dI8tby7myFZgpHRP1Q0CO6/otGdGAS7httgQjW7B9x0QPDk0ucuWQYu8lDRrH
DHCPZORerggXBAJWhVRDfBTMyUQETD0qhZullGCb/gBasL978hErHTQVem30wtCpXCNmjrghV6LT
6tPW9BRaJXPGH0FXz0ilh4OlDv1hpFM01JoCgScuTxWCFdcypw9D8bODKCvpYVnLtSI79LH04pdV
sfGUfNr7KotlbZiI8BuEkVpSUp8AKDo6aHa30dAJVJI32rKMbMwMfZTTbf7QYx+ik7zwdQNkiZEl
rnIjmxkuk/Q0Vj6huQY29so31dWQBcOpon2/2Msy2quPU/QDIdalVD39W818JbCkbwUE8AcFlvnB
6EvM7z3ZNboAHjWeTQUhxcA6n04yfIp7JXpHlqg9NiqBc9DhEZi1pK/MIDWo0bkMxqf5ysP0LWDk
79J+oKqLep2b8mRsGNvuaZkx/krDfegPb6qYcpkD2bG2TIVJZBp9X/QRgz9SniZ1+TSpBHGglEZd
3mcUMk2T/N2AiDArgltNuoVDGep7yx8SodVboab4khoNVIvGz7gS9Vmv0hw6VX1Jyb1Hnmet4WD+
iMIpdSVPWEPCl/bapJ1Uz8zXdYN714LwEoUjE0MT6CTtogPsy2PRknrZF9h41ZxRt9K02DWsfE/P
+NnH975nmKSvG7rcVE+5OzTGtLpKZCv5HBajsgln4XImmAXtQICrSQsruMBH56DvNjd1SvUk7BWB
PPOAXnLx1CZm6RDrxgUVqKuNKiC0o4y8hRgw96oeKJhXlkRZsW88bOkxQV5p29Hay7X7MNQT9Kna
LjqhgfSelZo0QY2rvW3pKFIADFMbzcbvSMPLrajtfUHQT5SyGPbLghPWovxsJsbPtEQXxX3TTem8
pC2sPLipMKUjarqTRn4fHL0twiqAa0gQsoDCc9mR2iaKWyH9wOiSux1RzwEF2RXOknpb17pT670b
t5Hxo9/WeeX0U98+5HJ1MYO+WleakMBEpP4JWEInh6SDGRZbEiNtWbqUXXOKVGzLaf6WUlJbYScy
uL4AdJELo4FxzyzPQDQxWgQfbq2kwfeiG8NmgJ2Ioi9NTkPW/hgiibqkF++U0XguJVokpRELq0GN
cItDa3WaQqOgSruSkTTQNNOSTkxQ7isyP/eFVn3zFZGEvjq9azR5o4S9f6pN6Q7iNhnWYuIRO5SO
+8DHUC9mIv0w+k/M/2bNY38WVEPcVVP9sPgJGlV6QuCZ7xpiSM+qGj1G4E23U6a/AEFKmFobIy4V
4VPruVOkQVw6wmhZ2G16bHp0nWw9Idgva5rvflU2h7AbZwGpdjU+/zcR5d8RUXRLhl/y/yCijDiE
Mv8fOJTrc/7CoYjqH6KmSPTH6VwZ2C5vOBRJ4pDBpU0BT6sYvyBRtD9ESVG5WkHfUukm4kP/C4ki
/mFZNA3hbCj0E0xJ/v9BovyTEoHDUtRESQVTJMkq/48yG0V/MYLSbK7jyuJ+r5QEHNpomValsMkG
pFowv/6N7VT5p0H3P/9vv5n9S342xdDPo4vT+DVA43rJKdHiVLin+kGSlPaaI546KS7D8WKlvhVO
+NN3wx3GWELZabDYwbF/kY7D2tiJK6ZWPbg6AeaEkx9++RL/BYxF0sV/mh75YwHR8L3JiqJaQGh+
d6KOUi0xPVclqsIiMseZSMpYot5bvUJijjqjUTsf/2OBpBSH8xOSu2En4OqgPDHbR+Cd/ukhiXw6
9EAaiYHibrMuVeqichvGzI1ZoFeKwIuJ72WRDXsCMoY9sjzKK1GR28u+zOt1YlnGYl1GZNDHYU2n
rCy7zWQS0NPMUtVlYS7K1AwBnaNKgD2VWV4aijlTquVOtGx3fxs4CrEjLaPsNwtEk7nnRCBKQXLA
jDu+La5eHCPSN/6Unxf3zbJAXyC5heZvb7uASmKBnRjBrviQLBo0eCTFBPxvC2CPz6UtoLoMBiHh
s6yb8bi8nbHEixVERb2Gdn5ZLjsWrOekdiFyOQnUtll5rkISEyFzfxpEfrOKLJt1dczhyuy0eizx
0QTwLxb88bKAuVfuaRthxxNDhhQISvaLi+fq7LltE4RhMXnzXuH1zT112e2kuNkT+9PsJ008iWHj
bZZdmFwZeII00SECh99Msaz3oHC+YAKXjj5vLbuWxW1TKqM3rYf6LJQN+VqzM0abF1HjDxSpswxj
0/wRmZV/pCsRur8ZYrxuNsQsO0UzLjbpFD3e3qEcA1K7vm2j6fFTEW7yWcxgVa+sKUwMBSfp7c0u
a5KaJFt+Ds7iKSIRpL66i2hLQYSmnw012t9YhvayHEtCBI11oaw6uQa1Pzf0h9mTFZCzyGvLDSkl
bf5y3QRXkGHfkuczQZtNW8vacnbImihDa8XDPO9fdvGNm3Zjcc7DhuQjKheTlpfAFyeKGkZw3aGy
8AVj31g4jVSgjGshKMN0BQGl3/e9waqfMZel1eoD14FmHWKa2yPSsUFiTNubcWzxkS0ncDe196nm
NZtfzlcMbpy1yx9V5zg2a686LX9N/rdvbNkkLz3f3wxlXo0COcwxPXQjJ41ncqlIc86cZXNZDPOB
2+ZvDyFpDilhjfVEJX92L474zHyEDQROEhns6lbuwgbBezYfnea13zYzj1aKZdXhGmUWpo5EyVaK
4hFOsjxFlyaDOXH7dnv5ZW2W3W/bpLs+qpo9Ov0wkoSh8t30NcPXcV4sa8s+Eqe4fGeoJOlPBAgf
5gdOUuvTkLES53r4l0c24k+BAu4umq9Zi7toWWPgVVRvy+pIFQMb7Xx8WZSm9j3gluEQpYxI93Zg
eXZ523l7teUxgplKtBFNggznTz7+++PXkRXws5Mf2qDsdyX3WbDSPdcpX5svUVJaWlgBAAYtb83w
OaeX97ssZKWLXcsXD9ejqj5xvQvG+ap3PR4QVBFWyms+zkECkXIE1OJgxOKCtTx2edSynUvyn6+8
bC4Hln3Xl/vlORlZ5i60FkS4suEqhPQO0fwj+1cvc9tHxcpEq1c1n0adF2sFUjy6D64oKPRmkev3
ZSuad4nz+ZoEEyqhebOXMEUua7fF7/vSgZuKrinwmvg0ZkEln8D8vGwKvsb5zf/L5y5Pux3Jl+fd
tpe13/+rf/5J2NYD0eJjGOUOPr78lXM1c7AlVXslkBxjKJItyvQ31Qs1J5pdFcuin+96VALobQry
ULidLHKKEucdTzlWkCmsiAdtSPxF7dlyoWBhauKDEqWgOuer8W0hzubF2+ayRvP+Zx2i6VqcSyK6
SBtQ5mAv7qWsBznjQN/BgeO31XrxliyLxVpy2/xl33zXIxSctt/ibYkMT4RawIec9Tgy25FqUa1N
2wgL4Ua2oDslbb6Jq+adj6PbCZJIQyNIXNoxpOByb4F7uRfE7lG9qLg29sv/1M32I2P5BZVqjoYp
ZjJuDnjnQo2Pp6piZ9RKg/RBvCVyQ2EAS1e1h2jaM2SbVwMkvtdFhTBoFeikwpq0M4d+9NBT/Fg+
G00RMiaJWTHtavmczHe15VO6Jk8Y9SWypsj161pz8CV8ka9WHto5+HEwv5ekoGx60LNWXI9bK1u3
6Pb3OFnntK1dPY+wBqRie8toU5HSnfeAzYco9XnffDrgQE+21RDxB9fCZO16GYUbt5C6NGpMkDGo
PeulYaw7jn68D/tDXknxvqtT3dX8YFdqvryXBEW6LiYkdAA/423XjFs0HiZVtmwVyNNTmXrdJhrT
fdcXD6HEACeXjGqtCT3688y4h89f2JgEpPXix1kWN/fXbZ9I2cGOk4yu4JwXsSyuZ8CyGuoxg+C4
p+qCaIXZhnA2AkPG9zAxcw7UI7mx9PJlPGJYQKEdoNZsBk1aaX3MeBlTzEpvjYs+kUFdiBo5NlIq
fYEpRys2D9WWhbTcpecYhWUzwxbsTrrpZrn6WQyE1idKt48RjGEDZa2MUiLrAxLNgpwfYco7wIk9
8c38sg2qC+fudXdsYbBejplcOjqN+JfbruWJ19egloHZGk8VNWc/J6BuvreU8yJJTGXCUs1qq2LN
9MiRWBtqy4hI7C3ag8tDC5IRro9f1mhjlftl7XZgedz1KdMQfiIXB3Axv6xRlmDeaEzpBW5sc17M
8ad8fPMqJ7u0gu6VrhmzNftlnyGgn10V1ZH5t7Zbdi0HA79v56Fds8+F2Le7kj8vaStc8qboVPSt
d1mr3Q0eMifOFG7pMu4Z+Bpk+NDFtq/7muqnb/oVgj5G5ssuLSUPDGZLhJyAZ90O3Db7C+ZrFCYS
8Sa4sHskc5BMVhIp264E1Clx/WjTKAdAf3gy+9cMKkV66teY8AXZRf7ylJyZdjwIRJkiJkJv9jCS
Qzu4zSxfWmFTK/U9Psmxeqj7YxWe51lStI78/di9tPL3rstJrXXhascyyFYg1Bcpcql5pQjCoosR
uY3Mbwb0wcHsEFp6/L6PGdDI4dgORwyf5HCl3qERdiZxXtq9T9gWxbtwF2O1G3O7GjZkZXcbfY84
nTRo7th282MiYcBJv8rArhqXwENDeAeyqPH+Hxtjp0X0PFA9oMeKX2VimKKVvw6edX9VfkgCMnaM
Gk/41WCrqyQIE/pNrwHs+wZ3nKq4hrjR012LRgJqULMq1QvKiui5iu5q8SM5iZtiddT2xXdzFZ3J
h+MnapPOtSdP1I7exyP0+q9xo3yHiEUm3lq4I+ESt/3wbrmDbe7kT+k+c/pd/Caui5dyjW9haxH/
d1G23Rah1Sq8MxxdWOl3TDoxB+3MdXqStsUHPYagOaPLQ90cYwcn+FLY1VAJjoQ/F8QzMcJu1jmZ
f+sPyE0XrOObCXChTdzVvXD2f46fwUvxlR/L48DM366c9C3TVjrT7OcmW2tn+al+U9c/UdUfdu27
t+OvovfrhjZ/MOOQfX63V+jWYpRByuxgjMxzMgjXYJkUyuwEKr010TYExeM7ckmez0Yvt97GIicu
Sd10qFaYMvRHfDGIXcVPNb8PaOp+88kAFB1dQea+pqlPRlPfbvFaIPAaDIRh6CL3pLISpjcLiKRm
JVbv1eFo3CO5uc92mEIe9YEurGM54U7qKUG/KtM29xGHO1whJ06O53Yzecdga92T+nzyN8M7tqn6
Uz7CykcTjEDMD9fFsB5xDKyhejXDlmZV7+0oFOb6w5w/9l0pDuK0+UaXK5LvM4he+bnfiD8KwSkm
xwm4k87/sPuPH8YnDA4IZLl2oO1siAePoXBvKxdY7fFLOdoH7akTVsIBnOialPnPgPsgXISaM+no
PQAlMr7RcR4JMHknllRQ5oPqQYWe8D4+WcVRVrfikbHXffIO0wABo7kSP6zMTvbdd5GzsjxSL2b0
Q+d6XdiWvyMIncZ1MKACW4Uokqg8v2Zu063pihov+kd3n96ZbxAtTylECFo52ZGfP6pnE2XOY6cT
9LtqP327+kmkpCo5WHG8HP3LJskRiLr8hbx8QkGVwPWTslfuaVQOg2OlJO2swp8Q778LP5I71clt
JmlP8pv/GT9RqkYL2ba2vmps7xy/lq/0Eu+pDvibwGkPaHH1c74ljXF6S3bq+WV80B6FrXIX/SRw
zvBtOnTaWvwKs7W+Hzakp6IjHN3qGSb4vbwlXm0Xo3t4AVrSEfS4inf1elipjvAm5raxgbG0atft
U9ivuBZKNrOCiFZhQhdz3QRwIXac9AR9vac7REiyxVukLbkiqG/NNfUViFS88h9zrH66nTspXc6V
zOy3X8kreQNk4d76Blb9ZXD09bSN31FDOUKBjeKi1LgxHMvmorn291lt9ySH2N4qP/JzQ199Bk+G
UOmV8/CIUASBq0NJgqRLH6yVO52jwDaHjeYO9z+8rX9k5rnNtngh3CS2zbtmK+56rjwVZJQVjOCU
FHgIXOvykc901xwG5P6022wijJD1h7yHbp2I64if9Z31huZnHKCF2qWy8XTErgg/V+XZwHdqm5yH
LgD/1vWd2C7d6Ft/yqtn5l4RsDVeEQL4K+hCJNAFDYajuSYm6uht0r3+ovI3u+SCb4fYJvjaNg5U
41Gcc09B/bdGNEM5EnJG5PwcL/HR+q7exc/+yXeDj9nreR7AQti32x/8TQo+yy1S4bIBQ6rZUjza
i6pRuYHinSWTgU0zz1Q8sCB7dZ4btT0kqrDWWyeUzTedJO1a26o6VgalKIgqpQK27+anLGv+PCFZ
1sC2NcQqzod7SwyBFSTdIVZrTFHzY5JldvNfP1uJS0YxtcykBPvbOm91eme0vk3jK8gzgwlVYOHL
+nsRVWK7J4wKnfW8thyo6+JdyEXyQkqTkOG+Uvf+NG0gRsq7msqV2QuSPaHN219XibycIIMUhOrp
aq06dcCAsy+93PbNbsCfYiTE3WdBxHWXGgR+brY9g0OGkqzHGLSXXlkMp8UMJA3Wh3q/rDXBPCm4
bVcUHd0wEA96RxIPqtERPwroBnFeGDNjYFm77SORqHdJjb4D47UOJU5+feQLZnrCTLfMJOLjIknA
DH3x54gewq4Yg6B+30UBaJJ2nsosiybWznNA+6afbfW3hT9PBW+bMhHHm6ATL0uVbZhnh8tatUAo
bjtVndgBI6xmPSyzQF0m31wlUmgpBzdzSXBZo1kKlxZHCh0aRFe69JiIircxLUpTBYYgeyy4TZB3
WNJQhOSnKlyP2xc8tv2s/N8IaLXcWwFJBOJij7E+/xjDNl2FJVCNdKISozQVV3WLfMWA/qbedgS+
aa1y3RT7cNb8a/dW5z0tWVVBOhDQBk30qaigl9MDGPb0AYY9FnPFVUJz60/zN1yp2ms6EiTWJUM+
2QsYSI0VUBNQ3tbmjNqw5m/utrjt6zpxJHn0iEKO1PUFjaG2+bge1fJJBGlmMOtRkAaj6OGGvZTo
gIgB1uw6rnpzT1Rd6E3X4vGtmIzz4V2DHLcSBYA5Qj4oe5qftOvBcEZ6+TE2scVvpG2CTV4rrx0d
OGZuLERgYZnYt05d6ZKzlFWXL3hZ3DZN9LZ7NWZiKDImX75eWDjFXhgNiYlRaSF6HnsTiZlJeaec
i87XxVxD1lAtcTvy0TcSLLVSSlqwwiRRoVsqrJEcVfvrNrCz9Mr2/u9m3L9pxkmiCtL1v+7F/Z/k
ex1//7UVd33GX5042foDnrtJkKWhiKo+M5OvwQSSIf+hgo2lQafJlkzX7e9wAkP6QyGNhPsD1FQI
xDMC/s9OnMYhenocVRSgszKdvf/9v/4BaK9/2/4fWZsSe4Qq6D/+p2L8hsLm75FkSVO5Opi8UWxP
/+zFmejsiQwU1Z9T3XxVw+gfg0kLz8yCkzV5XRPSCDxMUhN9llkLGQzu132FnGInGUbn5vTHhgAu
ox90k9O2ZItampY/VlVX37chynozKR6Xhd+iY2uTVHMDfywe/RLlbKuZd1CNI+ZQxJ6v6ljsKFzz
DOpDI9NsImzJRIfLXyRAS8POP02I1+okn8V+fy4MLDQnM2jQpo+hwECa6tT6dnhZWx6zrHUdKFeP
vIL5+cvuTPZeKiMlCcWHMVIHpfSWGNIZbX/7U0JxM0pt+22sBrT7g6ZTSooTjLsKmiDyxh9VsSM2
2MAvhbmHkAQxr054KslgabwCMr/3fNu17F8Wt32lmTh1qVn7ZT+arfrYt/dIBXWG22UxHOhUDQci
skFRzWucaVhGq/Q/7TdlkJ59XsBVWx69LK7b+RBzbHmh0Ox3VcKMBpIc+7Trs/Aw7oAJECxQ1R0t
z7pGq4bEScVMshhfDkLXavPEGtlgPPqQgn9fXYi9akFyJjJ5I3aqzCSQfiYwL2tTn8egq+o6OsxH
lwNNyawo0xpzI0ZCAMSgKr+FE5BQr+sot+EOeiti2we5+M3yCt8dUF8bVjucgyGdg66M4pskhZad
VSrDl6hVX0A/20ZflN8GWc/A+SPDXh5G+PF9nqvKA/3E/penl36nQunwA7cwWg0XriCFexPE+nXT
C2P1DEUNniUhWK6eiQKmc/Oi67LHD4Qg7G4ogXmrlnkxpNy6kJNhXSxdOgQtLIbb/jbIvL0h+/fL
rmXRTpMFsBJeYZiCvF/2BRbywdwf0k2dRf2xnRcdBTOscl3iCAPn128Hlofc9tVhilIvqHNn0YrX
ioqfvy5fl612UhvcwX8ryX/ZDoSEQy26lQPSP6TJraqsb4/MKnKg11on/6lBX47A+qSvx8yga8Lm
YVmISeNCSjYQO7fNQ8vk+IBv5b5Mreizk+ozFvKUiSszvqSw/OexTpV1mBsycvNgcvVBSg9e1CMH
Q6RFqJ3VHnyxEPrnoCG8y/GA3ZyDGhAmpg1G7t0Y3l0XVC6PGb6QX3bNBwWz1GxYORY+h78eGzIc
uPuUhyH487nzkRQKpxNliYpzjsQJzHXQaiTrqeMNPSwLxIkCVL9AdW77Qm+aU+2UU9oOzQMeKFzS
pnB9khdG/o6GIJOaXFaPFpHmR9L/lo0wmsLuuv+6Goy1ehwtxkE+ePLrkX5+WiQLQbdSA29wEH8T
fVyLwdkcfSbFpXqKCN89MZAJzs28HzsE+z2TDnw2xqp7fVw7eX8eT2s85eRrjl3QuEIDb7qukvHB
WC/r10UvF5TExznoNqYENz8II/JLFXu0t+ddg58yFTfit9uTmgCfw28v6l1fIMddhw5Y4WsMsjsT
08Ukyu2JYI3s7rorbutNhGrVXjYTqc7urFFm8v/XY2/7tTGrN7R8MMjym2ZcmjERV/Hx9ZFsUUvQ
0h9I6QQhmT7EBiUl7av4ZI7gS3rtz7vCv3/APCFCXPBvFCh07/6JstYtQrlkSTf5p6kKXfl/3mTz
GjBVU0/aT52ewbbhgz0OSiUdiabo9A2yON0t0+ZZgEzdrlL6sE4TTrlbzJ95SwV1HGTtQhNKfJA6
VFsiDAoErRxc9gU+ZSgD1eV+xkCepDTapUivqRhE0QdYnQBWS+UWk/89xv36BE6PkKsRT828tSz6
mZnUpn9uFOFRDKbwrgl64UlryBsWLQte0fzwIvV75gdgVZZNqAIUy3NrZURmdkkSTQBfO1KESsTo
dfq/hJ1Zc9u4tkZ/Eas4guSrJluTJctD7LywkjjNeZ756+8ilG4lvn3OqUqhiA2QUiyJBPawvqQ8
+0EafWhq+BbHrfZCKTQFoGFsU2LuQM7txLLoI/UcRqZ9VyVGuPPqTjua6VSshadmL1pWFIugHuK7
MQlJkGz1eEfiL2D4rjMvSktDslKHR8/2tuMQzd0uoY7RP8ienObghF8lBS891rZ5uU7bthreBqo8
WDs5tXk3gHChSDG0X6jJOonK7757Piwovl3TeSqraQ+fG6JFOuTfPYQrEWPVUiS5qQBi+dPE4uG3
ReS/5AJRIPn5S2PbrmYByncsAdRf+/SlsSN9SAm1+x+9Ta52Qq7lpfO16dHA3wFPHJ9H58JJa8oz
LPB0M3p1s6b6NH1WixTFNFSA0Z+Jhr1RJnwDYEHtuZ8oe9ai7sJLKZIix8Lb3wbkkbTJebL7yXY7
99PAv02+2VhhImc82BC6dCDjoWkdCzNWttpcIhZ3ZndO8SRQ+q2Yb6PdPrlGb/5VkYJb1Ib/Awlr
jTQt37AOfRDj1rZrY9dXKl5w2Q9YIqQLe7ZeD6VVNFZ9pwO5vU6fT5R2cBv4nNgBHvpIRPelrtbb
wkuLkxvha0hjw32DsHkatdz7GSrZnUYV3jZ1RbrUXKjwCUildR8hxFB3Kd0mhZwiD6mgOkUA7ciK
YJ40jZ7I15CVeMzFdsqjwfo+wIKgnprfGtmaARXenbH20B54JO4SP6pFo2JjVVARG300OiV+dMwg
vaOQqyQhApucZyrUQqVOR4LXfJpsegcVqDYa324mc+jSoz0ZW5ic1kqvSHxieoRDNTZeYoKDKUyj
vWxMg2wHSoypb5xXCLcBeSRtddjO5Y//MtxWMRA5PQAn8s8F5VGj+zVFu7XxbUr66iBc/6eZDNrD
4LTWq01du0+d+DM4uP4J3M06RRzwUrDzPsD3A/NOxOu7sM17z3f0LzbAAJwnfrLt4dSCbOl+yAl6
nPwsLKt+cq2w3JqjSUBEMZQvVevcmZRrfHc9HxeG7vYnWKfFgafPrAPAAH7TLL7z57LDzDRwm3qT
f4xJhD6OgjzbFTWn277W/QeWxsETOlDA2wP1WJoieNJyBU02uwso3GVQNp1Snck3Vo+yd5tRUjzx
JM/65xpyBrt/73qNJvLJ/dDRdy/RlUAFdZYnvx5KuXKFrAo42rNy+fVwOE/9qNxR1xGsqWxRXj3q
p1Zs46x7AyDDq2qQe2M6PA3kqIB7pNiO8hTEmXLpqRWz5lkddVX/Q6tozhH9XQ7FVnnQATx1yfHU
XMG+9s9HnRfEA6D2BJiT7qLGq3cUNFF/872Ig30XVzPf5UEL02rmIneHqLHJ+W5RbGmQ/gkSZ0qX
ANbUlVfgy5dPNydOjF09BskuhDLvbqKmHzfwUwiLxll/dXL8sT/+Yz+M8OCfb98yhGNpFqoT1PZb
89b/99RURSPDK09s44dvKHtRkQexKEgHn8uZ8f/LvhsGwbkuzZpAXZPjmZwnOaWDoOsMTGhGaiqD
wAjOk0pyy4hbcCVPAVnmgX2bTPJj+ohaiLRDDVAfV4YiopO0yUZA/bmrQxWZnHnAmhu70v27zpm8
sf8fi5PPkm18YAb/T9MV1iwxxef25/94TMg9mqjl+VD66Fi61BwOY8ZG3THeaqNot1nvo6BJvupb
pLJH7zoyaWcXwXNJ3c3kFeYbiXbhfZgb0FfmrtfmH4lRV2fDURCCt/yn69mAoqh8DQI4d1y7dPPH
Gg1joMVZ/zUcyHGVdAlVSgvLw2sfgMteHsVWiQiJVYw1ZTetss7HrFvleQ7sBm813nMg61Fr8SZM
mCyO1VULnKDOPkxs+9pEQ91XC9nvI6dcTYWuLZDcRuhhft5DS1yHTeO8mRrF/4M+QzHzonrirvEh
J1TczwigKc5lmhJ76wGg29SDW78nFrHgEGpXXQfxJh64qVtTo7+QJafO4qoGFDDxe9ccif5GVKum
tukfATwHR3kkmwDEKsw4p918GggpRdr992WG+FP/lqx/Pn3yRBG+cYCZoMn058evGf6oukMkPvBi
VuIBTWdCMKI6DqlKMXI4XsjhorFdwr2hHmysuSsHEqVZR7oYr9P8mgBl4CeAWWafvKZuCVeRpPwY
KbH3GFeBu1fblCo7x3s0pbqIVsTku7gUvyW5TYQ866m4FRFBp/kMOXHy/S88USz4nuiRSDvyx/NV
pSHzTUdeVfbkGeN81ZRCOTBhf18lGCsD2jW14XJeiE++9OuNMVdY40yPIUfIw7mRR7LpqevbkQ/B
Jk4eUvWwUivDum/jONv890+BvPfP9x2ceY6puYaJBwfVm0+3TT3MkrggA+oDBAIi4F4Zn9IqubgU
7ezswo9PsiHNIz5FIbHoHPDKRtrkXHlUNdBJemIa1H5yxm1gKFGI6ILx7ZN9nNVxiv7pkxkyTnzS
/ejQ5GMA9ZSenCGbWokouU0M5frqtwGbLMV13TZz5enf7/fXGSS/6iBHFp8GkPNCJI4d3c1+ezFF
o+Qq05S9HJT2kCqZXeCQupNmZcdmJ6CR/vhr//OhnOCRbEV2+Dz3t8PfTqNmryRa9flic79RClg5
hQLRX6o6q4lzlEeEDHWzHY5W1D6Fg/8EwJCq3Lwu0XkkJc4KmpHwaz7zE+YRgeP1ILsjHrkNNG9E
cKKZHg2s5aXWtS+TW/sXfG5IfczCzbYyqe8JlZBLrYuhDPhO9lwk+l7acR8Qlm2cgrBPqL3r4kJW
YvUGxUVsqflVVnLWv1wVaehp9d+/uFe95t+ks7h/ILurqwR4dJ4h3M/+vH9Eea6RGqanH7h5+ISF
NyCY3urOEV3WTeNVMawjenmkByqVCAhA4GNultL420gf3Q9eUh6lqRmJa0JeIQVHc00ArfMVZDNM
vns9qos4PYwRkDbgQXcEoVBZAgESagNJKVPvPKLKy4rPtpeunbmP0pQ1Wb2DvhItzMxxHvW5KeAk
bdJISVfSJufFsDJQLwW/Jm194u9TViBbp8os6jt7ay+Pbo20CZhjG27R/kIO2HqZVNfDfzvvt2Er
7sd7xWX7Hnrm5+v/x5e7vXpZ80gcxerfprpNY+8S/kb7SR2UAzWbykEehWH9CrhXuftkH+ZpN5tR
seYHPzIvxvCc387/NK+noh21c9gYnwbyvPRIe5mvWvuoRDi8W2Ly/xjlFQVOwXsXz2HQWubei3tz
j1Mu2k8uBbfgLFAewC4HnSGGA5QaoXWddzsDf+Mj6kHj3c10O01eMzDvQu8JkBM4Xd7LWlWa/rXR
rXdjdvbDAFs1eFa+iS7qlrhNSkTeTBdKZLKuhFN+dZBzXCVjxZ6qLe1DUNvWSpkrWl1cU9LRIcB/
LJRATZ4GHZk9u4ya+ywKVn1SeifdQ2kIONCrUtf+qUia99TLy9cI7MehLbsRLzPdNgxs9Awq2Lhy
btrqd1U7RXPdffnaV1sFzeEwL0Hptf3ZGKJqO6pioiZGCZ/6HCc+QXz7Q3XfI2eoiSFoBGGAjF+c
cnK2XeRQ0xQb8xO9nS6FadsLEVXKvbRZUT2dx9C5niBNhDfaTRaU7cr3o+kir+T5xqNb5MFRzuiG
nP8gTr2175X9UrgRfvG5Ipi0Dm6A42BRc2V7+L1GrcR5wf1QNnL0dme8DQDx2AClD3c3Uy8vcruh
3l7pZpOztX8u791rW/ncJjOB53jjolohn+vX/vxwJ2eSKI7mHW+m2+Nf+5fVgJx3Wxx8utztXP4E
yFTIvokI9v9YLEgR5T9uuRabKzH/0x2LyOJcXvdb+ZxRJYBno7j+YVb+VhdhcUgKT9+0ZfRzqNxJ
3VhlXRyuh777pSkoWuFOqf7wFe855y7+qgFcXHuD5e5r166PLHBhCVQUnVZxGezhJQuwE6I7ToPh
PotU35BU4bxl2qzKaptiPdiB+wa/91vh1eKcQDV/9F3/Hbf+/9DCnmOgn/Zjjma5JjBEU1M18dlz
qrmxow+6mv0Q0WBCwBrExYtheMSBOMseFYv6XYbnYpkoY5ktU5E/+hqbMTma9qLaJTryY55rm5u4
JFsp9iYEBcbS28sjIGCnTp1wRM12Ip5w8+ShbCyy88UEY6/3LY+ghPB2pdJV+yZuVKqMmwZ+3MAj
Fy/EMyIes4pfYcLWy4JlUDvQ1D0r9A++oMGTquzlkbRNph5tWxuNrHnw0zQ5FziyXy/ksFLN1wrD
7gEicfnCIsza2E6YbUDVK6/NSB56Ynr1TnZNQ/uiKK51kj2VZCsEVF/dQTXO0L8fawVy/n9fBmif
w8i2ClPdEiwPVNa2uvbZWemR/D8UlFF/DxULRedM+UrKUPYoG88aEgI00Zm3CVSJ3b96DFVqfkaR
PYZWlD1WrZ8C4E6XroJU8LLxfHGmHKsLu3AkqvzN6hXvJK+FtlqGS6wllGBWD7fXsEI+U4f7jbye
tCth9QIjatXE+vTYInLIx++5+9azNFKBm2mTeEK/JBEsn7Dv+m89rB5ofuZfTtLfZYlwvuk9KmK+
5fpPYzQ1VN5lHhw0G1hNhZKCKfKHWzjInEreqqHFv4eIKnFxXctAEoAQEdXhLcp75b+eFLaNmqBw
IC72fIK8ruIM7XF+lYZSxIS8EHDnt1ewlPIcIr+wLMq8uaRp2R6rsHoIY7W5SBM/inFdBka8ll2t
c5GPCxJ/QGxktMXB9KqfWVzk594I3cfBcJ56flVv1cyDbQeefmi5i7cyaI9d50ZPQxokp6qn9qCY
7V0KgdEcnWRL2dcI2TcJV3ju8r05JhvR9IDx/mkCVfzqVs3w4sUdPvanQO+MPX7sX40+w+mT1iLL
CO0JWKBWspI2OWVsUmMf1IF2F6vsnCuYYF/0HxJUqTbleExL6MKyqyjFsKkMmCaiCo0vlGEgPdjB
yP51DvwS86L5gbgL+qB8cAxk6RL+Gz9qcZzUQv0apujgUhB66Ko2fxIjm301yr6WowXALFTQ1Oyb
8YXkh/uUmMtXCCyIsEPC2ubg0N4i0hDk/DTQbH6dhckCi9Nd5Lk4+T2jOuUeR277P/RS0adTP/uu
+NXZlvRauY7uXKNQvz0XLL8vKgQc8+9OzY7GKBxx0uamnEi1pRoo2khb3xYgbahiuq8cnhO3eYFT
9Hsv8Q5lbzR7B1cI0LRBu/PH1v0CbmEddfr0LXLJUe5Vxz9IBJ2BJpiv6NU5swQPpExs7SCsz9LU
mJF71yFsAU7rb5scsCbBDzjpUHvkzLICX1qlOfQFVWdrlBqkXRAu6PdAOkwCz+SRyK7vF1GJF24E
XyYPpVWIWgdFMc//zVqQbZhE0bCVA808ep09n+1W1YQkQyxgdCg4ShWveDKHYCZeO/j6xky9+JUg
+30COm1FwBCiGbspG4+Jh7HIIN6EZra62eSRM4/+R5uBNs3eE8+3WXIqMbIRjm/nroKiVglBtvYa
XXGVNOvEhrwtPCqL582KN29lRNFQE6qRojKbRjvJT0oKAmLuSRPU+GRHYIJyUN2De2L3PPbZlhl5
Pb6XVeLfm75RblqgyO9BCCyN5dSzh8IHYT+jRPmXaXww1iJz4vABAIpxAQN5kXayYZCGG21/K7s6
O5xoSt+tyFmQwIRYHrX0kYU4UTcGwXMzN51GAN5tnq6WIEUANBmKXSAq6xTDw9kHVrPXh7biI6BR
TD6bJOgjSjpFRX2xr+6qSIORMY8GU0d2gzoWW4WFw2qM0BIhTaXa1UOS3zVZ3F70iQxjNqze9x7y
ftiY3k8hyi/EtKsvfd2Toz2fVFKYvBS+iDbIs7TZQq9iNkry0M7YM10bhTg8pE36hup5d0VUDQt8
2KWx0i3TIQpFrj64UNQ6/KxeOPBZZWwn64g4WuQ53cnAj5pm/ZYEmJ1DVg5kXQGicnKToxc40xMO
TTjbbOR9L7NgcCvDypycCJAe2pqB2bgHzVK2slfCzzvLI6RAl66aiwcnCYlKkIAdw++aFvKe61AN
dd/o4bu871oI6fwakP10GqhtKPT9p/szykiXHrFFWETItXRqCg7MzftHO4/ylV/p4UviEuht4jR4
N3PxYVPp9GPIx10HONUnCxidZmBpbUxHNJ33IBunFCncKLFW7Q4FO2lTFMt7yDPtLQQEub0OKK2r
PxRld+dmrkr96kRDMe1Bdp1m1j2R/aoW9X1pkxwu581TrqOyz89DvZ4i5/EVO8tLDXVyCqskX6Fu
YS6niJpE2Wi45kn7uiC73T95UQkERsTVnRxDPyI/Flr3Inutl3VPZRV9t5JAXWoGLsDCsbyTbNwS
fWOHNJT1zdaKWDn1HhqIaS0ON7sd2/MervvJK8FYVUt2YNzLIRYPFvnDs1FOVjMUiaooe4jtvNmS
CJK8jYZ731gpsS9crOe2jb5LcxRCRYrTpoUryqyOL/oi4mZ2EpnnPLuNQp069saxqYFM0GHUNSd5
i4dAI9uXNGBH89n2iVz7mitAefOCG0E2jO65yFJSymZBFZS6ilkBwn8k94m0BaP3eL8dSsbjnAs8
w45kE+skcEOJ+bs/KGDHfehOCP9iS+WwHxXtPhZ6s9dI9N6ieqOsS/jZZ9tV0mVdKeEHGn320Aw/
iPEO4PfC9pRHtSCy2vIMAzP7OqTDo5wZ6upr1LvOi6WN40ZBmmDnBuqnawGlinEtF2d7xmz2iWaX
G3loDjFVG/JwMCG0glvaImyskUD+o7X5ZGoXOSkbdYiXMoWiLNAfuO8I87yoIIMpyYnFhmVr9QKn
jT8kuqVrOeqmPc99z5qJhozaTkW1h8ioV5+7dcotzQQIsZBdEsKzQ9uxTpFd+JUrOzHFxZ/QCTez
LvgJvHDRen3tL5AHPxAZsL9GHiLwoeaA1qprZW15mncgeS/fKU7gw0VakjOuJTGU5hGscu/m+rMJ
cXrR2MX4rW7UPfhv5Wusm0gxG/6zqAPnPBnjmoABpU1UDb57ok6POnSL51wNu7XVovueZ2a2JQQ7
7nOLJ8yYHmSjEe+7HsluCwmRilea2xTFE8NaszJcQaj7bDQIZurM7pUNfuBmbwYR8MPGEYR3UsC6
SmW2oCF6KtHmJnfTcNtlzbebSR6h9k5me5hr90oKKzw0jfFrqrsnEnHi58YOy720+7M9UpWTEo9P
Q1cZ+56UnVUFkGkZjEH+gHs1f5BHql2hstqNv0bHuSttctRNSIXpvWp6M2vESNAVsx4MMdTHigDQ
Ei3v8ntXKcupEOn7SOH1ptbTbkvtg/5UGP43fWIFTLrofeA21UM+RtWDPNLxfq3YZIslniM+J2Ri
f404AgFugF0Vt2NstwF58liDHUOnKLuTA9J2vYKlh082SzQAt/XB5TFGhm54ivqCmHXpGNcusl39
tevhuIaoURz6akDOYKrGfVP0Jf4ROz5PRdfjj1V562yXKecd2nPd2NEq1tCdLcLIeMkcq8RDh7Zs
9WdXqUS/8UacXOk3aGd8icvUeFb1PHzvDHNYphkZxSZqE5uhbMx9nqj13m3HkBpOtXgkXcNYTqXA
HRwGACjsMjl1rvmahZm6NeaeNAFLSk6J3UZLgKrVBlKgCht/HpbwKqg7/GGr8ugUIrhACwUrK6ir
JKW5fQ/ShHQy0T5rYWcfCjXJl3padu8NVfvA78LhGOpiemp08+imTvuOGnm6GUJw3fJ08ncWCtpN
j6US3cnAPQ4KZyeD9bKxg8y9duVALiP8tzlm4gXov5RrTWnNJ92MQHx3zZeE3+c+Jd0KqZ2g+RIZ
SPr2geJcR/koqZsre/sgR1UqVzIjdZ7NpvTOWUleXzSqxxzKPqlYuXcmSBkdc0E0d+5Jk2yy7H0c
hHEySRQ8T4pbbOPEPatxFq5KPc231BXUr3pqzcj4CuHxuZvow7cGkcoH2cs8HVhpGV1kz1HWvj20
T+jigY0ry5VRCHGox14c5ohVt6D25FdfGsN+AK9XoYF6mygHPnVbOzfIDYMo8c/15LR/m/tv12xK
IoJUZwSsQxLr1Op+eG9UYQPk31HidcK6eRmaUbpW4y+jaMVH0/GzMg3AkTjTTmWYKO+1a1XLyTD8
Sz9/W7teRSAiKfBDo5W50dAhuPcGvL6DlqVUCxKcrriLfPWt6FT5SvEs7WEQ/rJnWgKftvMuevet
ScPgXA643YpiqL6DEnywo8F/tbyaxXrGHqwenfEV+YO9nKCIZL77m8MppEDpIKa24Pfh198zC5Qz
uWlfU0WY6ypy8p0WJP1FDKhMy1OdKPrw9bR4QnnW2JqtnWxqvuPvE8IRcoJRKd5yaCaktYDGPRTG
XJ03v6s+Me+DnPpEAn2AbCNywWUWuGxk/veskbCXR7eBT/M+deXkMkRO3kHQDOYeF71d4NP1bq+h
s6Cf9TyLVSjUeGMBPrmvy7F5d6pN3rXx11oYpMAmfEyRhn4NTh5IhvaILxRhq6wvy7WcBqXl4OJE
efYEWP3MgO0XNmOF5qFd7UM1rve3bjfbIBC0LHDmQ9m/TvznlJutyEGQ5jHadP82OUDA+76yQpLK
KFoOY4NvgY7sTVtHP4LCyo7m3KtGx1oiv4zqp+IZCyXkkRUs8iZFTG52KPHnsVaWCL3fXE7OEO7L
UARXJ5Pj4nmL6vDL1YN0O+HajxR/X8+TrxqBvRXslE5dEu9qA/aO06+j2aaYUfmXaVA7FY4uVFab
bcncyO6tyX0S3xvt583yaRZFgdZyaijOnbeLRZXXl3jOjRvJJSKdr2l3sgsuw2RxGbsrAJzZs6ic
jLwr5R2mhrMojYkSd5QAjooGc1/J3ew9KUE/xJ74GAf71RB+/5r56H6YFYBVNJjUY4uGH0iikaTI
AiiibqdkaHtauEDETzkJs/vVDKbpLHp2LXdCS/yzHGiUvjmp7UZ2xsiEe4syYA9bs9nVLtSVxqeq
31fjnxqleQGc9C4MfiKjS6xHidkVBNN0RChg3FVTn95NDrwOUhORQOMB/T0ZEmZwEmukc1O44k1F
LGXlZtZ4agWJ5MZgrrWw2gSeCz9EmZrvUNhkxnNYOkCp0jJ8EHNWn0ZZDuK5+aOpJBT+mpn+HVDY
KWhi70VrQvPOUoGZE1GuXkzHu9SZKL4OtvUyqWl+scGKX1TbYaFQGqiUzl05gLjUPaSR7kGaFGRd
qfh2z43xhd0yWQBa8aHF9Zcq9Sh2setmY7j+ALkink5sDSn1Dofsh5nvnSkuP9IO2Y7G1eLHxFPK
LW+9vnMJHz8HDcKdcko9ipmb3r9TyiHQELK9w+TqzgEek41w6dS8W116L18XhzhfVNaoF/iYMD5h
1j0MYvrV5CQ77VO/o5zib7vrDBHOpIgM/5JtE4rBf0++zRl7wgX5qFFjHsM09dToLhrK4JWlHoiE
IUjvr12nRlgs4D8hu5MWZcvIS6ad7Fox6uxdrbp7nGnBq9UQ7S+1uDrKUThubzik7QdupeEr2+CH
GYZ7vl6IsLOf+vFFnqghPeWB8nlsoahen9spSWd9rCDCMj+0pQ2IPjHEShxvJmknSa4v8SY3AoXj
IYiai1m1wR3pmt+0piN9tByTcouq6A8Sh6f7Vq3TU17yQylzg1DkCGU7jmv3YyTkqsOkZO1m1A8t
nuSvIZJ1S3Uq24vnzRtBhVRb4fXZ3sV5cVdoWfOIV11F+TCO4B9TuS+8kcyWklzrwrWii2zcNtmq
5AU9XHthjZ9WKFtYMfF1gqNYs1x2B6AcZJ3f6jvFioejbJA0SUZU7uiP7lsH0BClSO819+xg36OR
iaLV5L6G+uhu9MwONvrcdXuotny93K0crYzko8hM50GeaiXdolVxl+H4KC5GYl0nCafQD4URT4hL
cwnUApP7DFmQtdr4a89kaTLNep19PrraZizscg2gTAMZQWEou8KwPqhRTlWaHMpdRKLkfEN+BFTA
ais/SWErsRA6Aemm1NpIH2UvR+3o9Kdd1fvRYu3HXD1JejnXmDXDpImc1d+uIe3SNIRjf8BV9ZKD
3ZGbIaJYAPRbIsq2noZfhim52lN10New6autO9v/nC/tXQW5vvLZcgjD27ddSxb5fKSnpJfrCbU6
SoyzfBgVwBcz/ur6vZ1XniAvjcPUl3tpcmzHPcuvbOXtGiJ827JAp4HwSv/lPy7v5IDeWD+LWgtY
F/2xnrwtD9u41/A9S5jPG06THlaG2gEOiFyUqemCij7hH2UhBIHn6NeEeqTdiEFXqNXEs00V2TOq
2/jreZroxosSpOHeLEyqS1JVeY91MC9eZz0arhE/hG7FRmC2C4eFHFvzAoeW2631vBO7XnW9HV+9
Wfni77qNWgO1m8Rjcy8TXVlvKGdPL/mWU+ghaz+KSK02U68PK2lLbUtfT1Fbr7WyW5OaoZ8rqTCS
2EjVubOmBtWkTzjNVTA5BjCFQjGf5JR/ThhIbmSrDG5AKmQPwIcm3Q4f9VkvO664J+Zp9BwpPRX7
tb3rxITbLmsG7yG1U48yo/Q8WNC0iPqDYkqgXPtiwfqhOY5zcpps9HnjFVv2m9d3qP7KpLV5g4bw
UkJpBTdK8h9jAjSE8JTJU8Cp+qO7yvJW2xnecLx2pa/QjItjWAh9J3vVpHNDdYAOECe8YxHkPcmG
BMcvxiBKygpc72mKgfmxeLfX1dxtPVYsZqF8NRE4rJZ+UQAv08aznJuHrovocqtcrwZVGb+zHVnU
kpbKk6F3+tP0Y+hVgS7JmKsLYYbdbmh6a+NWrtiacNvJVvkLSYoXzbWaNx+Vp5WdiQ8R1uZKj1K2
12HcEMQwxYOqRfVjNesaaEF7NWUIa1xnNENjP8hBOW0+yfG0HbUdxT07QBLKKAd2DrZAOhhWQfik
Vio4ktGfSDWb0x7k8HVmqU3TajCMevnbmXKS5cM66REUGHCrXaraeExNc3ybVLb6uI+6jexSL/A1
4eZ1rsPpOguo/dl2gO33IRvFuWFNw5dx6kij/ceW+VmwJUJaUsbYmMpCTSbUDsh0HSKWpX0d7j3E
QPeyK5sJGVvCSkkOe6WY+T3zRBR8gmAjD2MyUsRSHsozmw3xzeK+qWH5JEFXX/wScYLStLsPEoU4
0LvvoDRJBqiMelb+7Xe+xuMJli2Jdp3yldBE96FH+s6Ltcc0AeqQ+mnro5JpEUIPifY7WRUc8dWx
oOra6QxWvF/rVWa8dFQwpImlokaqGi8DvXjuybGeihs5ps4z57GiirXr2P8/T45pc0bwP+eZUMMX
XYAKSx2jk4kaMhG10Wu35Fz3dzwGiqfccOH/zMk9AiVpE59gJJp1m4bm954socXYpvpZmaoc6H+Z
rzUy2KH7fmjFZHxv/fkjhz5LLDeMH0i6RDZpHtCMYCk0dkxVz4+mqgNjF1oNX9DS5lE4XzuJ+hPc
0/A10HCb6L2W32sNAj+k9MQsek1rF5WpBYi++3U0iPzeU/rg3sjTOQ1mnnIblUe30wKzUKkn86IH
luuLoTTEm2/r412B2MHdgHbX2wBSM8jM9BuPKYiAWor+JLfnZ/5MiBnaxcJHGm9RRlP37FUBqVpx
q25cNFKflSiGjRzUSI/Mo51aU4+IO8LIbK/BBwbqpjXii0V57TN18jiCoWzsb1eqbbK30WPunpm/
oDyt2ldejKS26xpLvwMzU8hubfPhz03nCKMB4cThdeJ8FCvRq8Y3CQjZ3/PkUTn5j+SeUWpfVK/c
9uu/qtnnQGXDB0vebtGFbvKMPAvKW0FbHOohVPdmCEqsQAc0ruzhsbPT8XFIYD5YJApIk2ysoVzq
Qd2eZA8P9vB4HZUnBBUrhA5M0+0alcvtG4H73e0aoemMezeoXqUp5VbyoBU9SUJzKTDp2vYeyI29
b+bm1k0V/0uoIk/ty4piOUCWu9pszLl6WPZlU8PBp1ipRGWWC3y+6m/9KPQvpW46FKRb6b1GRtlK
sxX11dRJwxCN1gFnaRBvQa2V1JsB4ZlJS7bj7Fz3dTKVAnSnNgkKoy+B7cIkagXiQyJLXqKs1LcC
jMty7NXkpbPi4CAyo1pcuwFVSrqbv8heqZDL6pbgQybEoPdVBCxSHt0aJXQIkch+RCzLuc6sYbDu
o6aBOlW0KFEr7bPnWrBu/KZ/Ceuo3lWDEy9lNxIWMp06CLRSTYeXPADF4Jkm9aDzZBut30M3QIVK
hNW/9KFjHUFK/MjmXoa74yGKxlc51pSJcXLD4ixPjH3POI9+sJdjiRlaj6WtbORYXhT2xfMhDcxX
QbxAeWqyn3JoMIP4BZXa2keUYhnF95mdms9yHvLli6jCIypf20YRgDC7swraGkZDK7IXlKXQxCVU
Se58/jIFzRc1d+sHOeZEJMXqEbqscpCfebpM3SoC0cKZio2SlMmKGr4R3bzDT5ANg7oxIxRnweTs
M68Ij8WfzTiuOrXXDtI8tRXEMGFOv6ZFGkVTIBxWrR/qqLvPp6qRwpypmab7RK8ef3XliXJcnh21
kbrxAhOSTQGfoRA96qQkQBQrHtmk9FiJcTBaZ1gqBNMRTDRcPqrZ2JcVEg7XSU5IXrE64Vzs9el4
a6bBV48IvSYAX/WtNvfkoLTHI/5v6sDd6g4mMLD5eTjTqGJf3CbhPw9hzbTzgkb5qyvIbiPkS95q
j5JPPojkIJvAJ026u1YrydZpm/Q6lJbZJRztmcfxzxx5qChRerD5Y+f2OJxiG1gTCjoz1jKqX8OS
p/vgWj7+GLqVXl6mWI3Osme2yWoyuvGJ1QtbjfwQ+yWohqrMV55OgDycFGO+Y5mPQRmPmzFM/VXk
RkGEbDqZWkaX/x9n57HkuK6k4SdiBB1otvK2VCpfvWG0pfeeTz8foT6tc3vMYjYMIgFCUpVEApm/
QU/W5Du3TG0q7b5K3ezW1ir3EqTOdJp9j65yHqfgAZ4Zj9M8Xx6FzYMYPQDYvIQMQT+aDihe/5Kh
W3xK0CwJEP6Wb0LGOgfRNKfz23XQaflGc3GbNOddlLRd9SfYoqZnYFNS1ZdqPsg4kvuzxYxxlkPN
su/Fgr/ULXYfJq/6M1bGU2dEEA8zmmVbhOMXz0PQQMvVjyG0m93Qus0mgtsn475nTR9ONTU7oZbt
xjXRqGOhEpywO+qXTVma2zbtuqfRTnG81naB05hXGWGFgsh9XyqovM9eTVGmqtSURL1XfLt7MgHx
PWrs/2+9AIKg4uDwtJQXB2n8swNYu7LaMX5rB4T4slS/Gm0SQyy0oHFwo9DS0HkNvspgHTrtc4U+
urwgG0hX5FZzlH0W6/2Lq4zvss8nXXvWdfQn2ybUn5xOvPlT9UP38u4lKn3rubA2tdIgG810r4rr
KVjk0GcltY0Gbd7s5NAOKdYtYiU1Nwt608lzT3/m0cdazhPFrFf7EOpwrekXY94ZlfNuqciMZy3q
jbNs+WpDLqgZ+rWSs1lyQ696mMfLznwer9bi7/Hkb/u17PSMqXqwRxMVuQDQUoKt8eQMDvKsIl4U
fWE+8ZAyn5ArwLdmdHFcqQLxlGm6fxmLcCc75bBAG0xcTEnH368S/XMOdesqr9ELo91OMa6494sG
rXpyPD06y2s8JXeQjeWFzfk1/3ph2fSj6BRX4atlddqlElWNgVPgvSGX8sutjOlnYLzkipHAvIZ5
rDn69NmEfgtaxQB8xGNmU1ZiOsa5N8tvswnKQUheQxt7oN52xJtXpDs/65B/GNLnej5UPqbMrgJC
JsuT9BlXkvpBD8VJtuQIu6xtVOPNZi+vcrs0OlWj+802bYHXhp2zZY7LFqSWjbW9jQ+cHgfxQ+cM
+j61uwuIiAHdaHnEytk/a+qnHHELQUSMH2Qbjb41yDj1qM0hGbcmNidZVA4rNW+7S24gkholcfk5
1Ua1KlU0/Ora8N776sVJ9eJz6lVv13dNuxZhXJKDTKCIxFPNLVRRl6VbFE/5fDC9BgHOKSj2MmZo
GglftkGt4z9BS8ufPJKwoDtyTBXnPjmqQOgBmkJ5Fn1nYIPLQWQCoTzRYLQ4N2sNs0HEJIwLAsxX
Ni764R4qjdZ8CLWrXrMuWMjLC6Di/ODTJb9oCCY/JisWJ3lQHJdUlzxFuprT3PQRLmR3tLwPqof2
93DqvYIV6D/NwG/3A5XZvelF37lv/BwQ6yHvOU0nzQtCfsF59wzhF5tYDBe/ZngM4nii/BKdu0G5
HRU1yzIWWOWK5xGbpfWk2NYpMmrtEKKnNMOq/SuSC4io++C0sKEfavszSFJno0Vi2Gpzc7bpRiVJ
vGPhZe+jTkP/NabIjglitkgmz8BlWzHeXT97hXAnHvUhi14mqqsyXMdBdFQCHI5l0zdm2d8uNf/P
i9AmzJZiqkBvkZwutOCbFQh9VTSNwa9hRCQQ4wcaxQf7yk8TfezHzhTiqSy9kwwj893txqqq10iN
lx+zResCaxqLAvMQvlGJuV096DppRDttHxMnPQwUYz5JxaDgAU5okxSj/2mMwaPXg8lTuI1eSOMj
zTfHUbvRVvww5uSmH3yW06aPRPERZJrFQmOKUMsePLYuaKaCtzypHgmUjh3judP0cKnM1e2qJwU0
dkZ0Bjkbv/B4OcoydxUGs/VLI7ayOA7ba9lT5XlrQL0fx6JCAXkuphtwYWCBVdnFRMnjOo7iQ05b
5nG6RgIJKNP8Ku3aab3yE/eyfm9biLvKyno3eZ9Utntyn3XNHXUqEWFk0qlQwpUAHbCvx2+iUxFG
1YzxOYoDY1dQm8y3ge4EuwwG0GkS1BHitnG3ahOY0BqarnloOigMCLIfSa5qGt88GcvDc+MnFNRo
CXP2eCkK3GKtUTlWRY6OVp+6LyG6jhfhJifZig1zepk1T+Yup+vbY56n6LwOEdwaCGunvKJOH7aw
+TzNVPl25cFH6rjfi04oPzyvXlKsCINFw0LH6avxO7xjpGDDXryhHRPOAKMSaO7QrftwqJ4nZRiR
0iqRnJibHTzdR1cNVqOmNaS3DdCaGFewyzE876HQne7ZB1rFjfwpHHoafVquYnx/t7JPCYrhHJgl
lEU6gzpmRKz9iN0xPsVQCja8LkWt2GiWRcf+YipT81K0qnYDgelD+StTxxT9AIpqNgvclQSHad2A
d5OVv2tVXewMU4B5Gwzrs8pJudb1V37FwzoJIFdza/2le8EIkx19TbQcKmNVGyN3YJRxFW2wD/IA
fQNApjxlIKf5aNmHcj783f+voffrccnrfl8vg/LyW3eF+alfZvrVwTVtMRRx99VWgYXY+BUt4gen
RFsCoHZwCV0l+Kr7s9xsZ7ovVQn/GSSMeiE9rm1d+KMosFX1UYlQLzbwWjtU+LhckZzqtoEbsGIe
GuxT51gPG2LJd9nYdBmaqTAY+B4m6O9gTlBuWyDPH2NlfXXyMn6soDA8Z6mxRYO5ZLeK+0w8WSCR
ue9Z63YgSQSKoT15et0757EAxuAG/UqMFCAzsB9PDSCJnRro+Q7cjfIU9PyGCtZNr0aM8LVm1Cm1
Na96nwpEt3VLxGcxNxWElEsnD1+R/AFi2tlPMtxkg4srehqsPNYK7zzj8cb0jG4nex1X/IKk6j7I
ThmSzSbvjyb899dh6Ked28fO2uxb7ZOM2LntPPGsZ5p/toP6JR4ce5GrXTSDHHhxXYs2bT646J7S
BGNX7VDVjaFm0oSYoBwUj0o4AlfhqxEW/oMWkNdXxGeWB++qGMVLXWf6BqxYvq75A7wY3oyktatg
2dWKeHEoTjyYRfSa9DUqxE0/bJTKOLUC0ZluRnhmCNQA8I3i4ziDRFGT8vdTgkei7JXjogaTDBaA
V9nqRx11hBTIpVO6V0DCxQGcnfUYAAXge1sP37UWUfUuS794ZhSsWduzvNEd9aEthL6UIwpU5ZQ8
+t6QtVrWDvV4bwLVYVe2vppcZJtqrB97ZXqwyvDkVXX2YUdaAFosRuTf8NKP3nSWPY+h19a2uoe+
CKgh8If46BLhrVmJ6lujGqtF4JMfQfTLX2CWY/3Iu2CdYDb9NdQRprBNQ3mIQHYehoLHDL9/8aL7
iDwbZVFczSSIdqmhKGe3134f1KR8Emhy7O/xBuRlYg74gWe9DgNhGD6VKb+0YJx/eSkOs5aafM9C
MnpWBdgJDmK86Vr2ieqg9kdr4oVVPbWeGtwj0bj2/G92gVy/LsZfhu8dRrIxX2o9r5bq6LsnISJ/
ocRVu1AhG7+FRhYdkOYZl7JZBZa1BbNClW7u1WP0KYLUExvwadUbhdt8ZWu2sxvnXksnYWSZJcmd
uZfFECzehv+EQnLibdI19M+K+CpnKrCytPK6fwGmM76MiFLLa3RDz3ZekVuXdhi+Auhqf+GzYKpN
/ZNicLoYYq14taDTrOvRzM6pRnJfBGm2HcnzXlXgkssRS8avsVPt4Og1v9JS7HsSLV+iAHtVvHOn
a6yHUJyVtDlkRTCeTTXOkbto9VdjLtU6UDd/Wu2S9V/zi1vAj9SK1bcmSWzABG7ONw6GeAIVdTug
Y/AoXBDAemRvRM3fERh/d1CyF0CjWrgv7aY6olZTk9Ma7YgSiRlXR3mQXfempYeAqhx0y/51TZbA
qtBKV9nx+MgfqvlQgzlZaVXfrVCezB/ILwFhk91a7cT/6gnZ07FiZ4zshdXy6rKTaIabp3c+G3vn
IvdZHfXNpuwT8KpzDEFpgBlZrX8imOXtW9msoshBhRDA6jxEFXgskXvsKL5o4ZGK+GzTMJ+Ovjaf
Tlm9zb3u4dZTdl547DqvDDby9F/jA+cykmC5uma9CcmOvE+qkZ2pKQIpm5th49c7w+DmoHmd/662
urEiaTLtZC9P6nIx5W1/lr0U1VHuUtRnMZbl8zzl0GjKm5wybKdmIZtyyp7q10o2fZY3tyllE62E
rTAxzuE3qB7qhmwVBuGUAVI1XNxj8qy3vekg+gp/A9m+H+R196Y8u8dYsOxqtzlT4TGh1r82RQo9
2uicx9a3nUcHLldi5dPpHjeHQV+kCZgJOYL9rfOYzKjEhkwsFap/LtUr/jS61fULOQ69aIOiLPfn
eNsHrXOu5jPNiX6fyRhbpd+9f437n3oBJTi3+fLEP3uouSJWbh+aAT4hSkQwZB0XjeqlPDXNiVWH
PL0NkGMp5umLwOlwaJgvlYdKXi9P/3WRtIkrNNGsxsBOIQoo1S7sAOqmSeU/Tqnvw9nQWFZWwHTK
zKX4+KdjjG3/ATL5Ug67x90YjVnuF7P0dhw4C9ndmPoZVHF/vI9TIj081OH4MQhh7xvPVTd2rQ4H
PXaHQyfMDKm0uT05yTjbNHrm+t5vFhn9cqgM3sbf2rrp6+ACAYGi+rSI1EvmZNNXP7eqtZpkDd5d
Yf+sa82HjHtVsRBYctU6RHWWeYnu+9e01hTMH1FQ48verKraUlh2BEa9o/SI0YqPuzBg38Y6grK8
jZaXsLh0L3HxIhvU/riqFwpWHj7qm/Oc8mAkYIuB8HJXUXGF65x6Tp7OLFls0jKTJE/s8svKFPyS
Yqip/vjqGWlzLbAJuiYFXjFFMX6gIIA64aYMCvW1ecUMvnutvc7gHIOj7lVinX+fWwbCk1i+X6Bp
Ozha5PqmNwqd/RWySUCWflZGa5/0MBlewgqEZqCyewojb3hhqevvWlbgK9mr1Hlyrif3m+xMSkNj
iXQEl5C0y3CqNprhX4yxA9Folu5ZHtKWIvdCeCPuEgqGPLf2vV+e2WW7U81EP7RtrLbbRgm9VZGR
XXWjojuKjlzFwvOU9ijb9hyUZ3/FnERH/IrMJAsxA0EN3QTv4xjhqels/9LOfk/yIGzkgodoKjd/
dUAYQPWpdNTFvYP8nn9JzSw6831Z/hWX03lB/jyiXLGXrcHS8fvB5kMSeiTbZ9L6fC/MHK7WP7Qf
GRds0qCi3YlEjNkbjLuHbmcO7KH7dDIm5/wzVob+ml0P/KNmlfXOHKZYgc2MdIXwWszC8E6FidCO
lOn6PMcIK55PacuzDKXUBXbnJz0ouPvYnvGAoJX5YOqTj6LOuNI6pXiwRg8hYi3MtFWkRBmg+7nX
ZP3Qd1hSTXxRwCrz6aoxfB91vkaZ2aVr2cw8ka+QMin34Iajd0OLfuoztEl2xuKJX4n9yhjvkQLj
Y6kp4TtYRvdgdcgZykH+UFbcrkoddAPz87NOluAh66McPATeuaIcfXUsi3oa3wkZrlNRIUtrhbc3
peNKoihfbtCHIvssYyt+lJAG1ij1lQgMnuTxjnQAg/5XJNc+o7iLHwEL1ze8xP8+z+11avFxn6Mf
IItBVz60GIXnCxLNwbFSvdHCuVcBGjYfYDY2q2xKuE9kRQtdUWmjUwph9STPGhmcJovNuY7W/22Q
7A9rvfk9/jZKXhCnVNQR/gKa+9cksvt2UWQH8ak95OyIjrHb1tuudV9I8CrHwBxEdZanYZ/5MKwI
jvwguWlAagDtZ3dg7CA68j0IPbIhkaccQ7Ijizx7GNwfjeNFqzmNWOBbRtFRViL/56Kk7AIQUB7l
SMUINlhRZgfTHZALgaBa6jOatGJ/fhMlu7X/dNdqr/QPf5pDiE71QiqVaagB1askHpZ9KeLjoEWN
v73rmjXGeHuBSFBlefjTvM2Ans+AeEzaQ+qc+qv2aQlhXOWhsvQWB/YAuH3A3asLamUf2hUmN1lr
XLM6Ma9x6cMYUTz8+P7EXO7Bqzq2KbzOU8mO3K68xahTYbzHVNX6cOOpOcqZZJz76qoGPw6NiCsN
LY8eFbu6vZ4MVY6ZUZ5tn+Q1OLYeyCLp+5A9FuT9YjgZDferznM7Vqgl1hAIdrS8cB9xVCtBsWse
MHr+Simi4eDPFxZykDz1fAqPWuTU6/tqrJpXdvfmX4uze8d9wfZ/D6ljLJ4AdLWboWPjM4Fv8Fu/
unjAmVEbng9W/+iPYji0POYFwDRiZW6/kYE197Jlx1V1yQytvNhu+WPA3XJ/D8kRo47PZ4ui724U
SBHHXaGcUVkNF17Qje/JBJ1yaL3mCc8Qa50Uind2m07bmVqdHHQEnE+1M/lbI2+qR8UU/SpKw/R1
mko2zZ1w3pJ26I5Kq4KPokDiANPk4KdDesL2RMtC96R7Pp1IBf/ulCN0fYxO2N4tVDbGaiKix3wu
LEZhZD84FkZpc0seFO4Ch8RofnS4NUZLuwn7beGWNYwFz1rVVmIeah+yuR8GytYcJwczrYpNa6Yf
GwGmkJL2oxs+2ELEiCFyiHkaXxuke1PHbi6ydYv77oG9oHKiADHNXLv6i2eF4iBHqEmSXB3ElxeU
rsXOtH3Vx6UI67KproLtfXY1RQi0zyic32N5nSjryUjSlZxGTtiW7bilrM4nmt+UmA9DFjf7Igjy
xe0tuKrB2sDSXsx6Gv2lhTLFOWi67f09t5aRPeakT//z0+Hfi4BMCmh+fttyODrst093D/35hPd3
EJkOJZHIt3a3l8zYbgBUYflwf83IttHMzKjA3V+1CxVvDRXu9yeUE1Zh9vsT3v5aYeAg9Tt/utvc
uvBZ7/Dp5Gg5v/yENTJi9zfZz58wbW7/v9ufpcfisIqH359OXq3a4qD4Dqio+Q8hr87T7EukV+Jw
n96m7LgYKiVaAcMrn8EdzXxXtTgXVus8USp7rnXb/YR8g+Jc5gGw1DxcyLRsWVhK+pDjubp2J6wE
Gju/cGMSz5lORi6Y8AEtw5iqZ2LqJ0UzvspOeSgBYxjCHW/jqw7SfEMCdCProX0UtCeniH/cx7sa
+UOe+Sw4HXXVGgprvXKWaU+HYVVHjvYU+Ln+hKLUyRka5RzNrbG0e3xD+dPKTjnM8pCsZ7UdoArJ
EK8JkKNwkDye55AHvSmGddrZxb9iXlxvXMuuL7dXGaOanL+nL+TLyKsaM8QVxCrSg2wO2lg/AG6+
teRVQ4OcUWmViHP+eb8BhlfhpDmPMhQh+LBDQSJf3t8vmuG/cjWpj3JE0kTB2dbr2zuVIbTdyYMO
cUC1jw8kY8Zn7Hft7U8C2L/YqlEKjN/4Mrhnw8uyh1rRILCOfniRZyLBJgg0UbGTTVskKLmXOgiE
0Gyi1V+j3Vgd9hVsx/sEcoQ88ApeNv5+hXvYiosIMv4/r3DvSMr296vkkFDQj2c9pHZoJKtBilmm
QmqbRcdGFwpeaY0f71nOI2Y9ucORqrNDub0qH3D39taDGjRXA3TBinqO9aIEDhajRjZ8iLoPMC43
xm9R3pwrp/N+uRO1miwYWBN2VJVZmvmLxNFZn6jBd9vUfjaYbX0Eqeugl9Vmrzq8nlWK2ugV6hJb
U8NQH3i72tYKOvtoK52zdzOn2g8K31wjt6UNCysvzfvOj2s8AdUqWtyV5qPGkr8xunQvewbDnRlH
GbXkhd6l4+kWtQ13MfAgWIOoyPgXNPyXs2VYN+T7FS3ZtBrLk2WZzeVsjCfj2nwq0R/ahnWxD3GP
Imfq+hfVBQ8CvlhBjrFLlrGeNuepttSnSK1fZdzxY2MVTRWu4EDU4FQaq6ywlU/wrNrG1T2LQjKX
D5jY6S0StL0Z7Plp4J0+h9khHvtyUF+iq5gCBxqYlTRIobrwLDcsE0lCUvFNjv1gJse6Lho4yvPp
pKNa4Qjt0GtY4qHGsQqdrlhPY5a+uhbls3bAHMGxreS1wILqYOXgO2Sza6FcRbn6S7YmpXFQSHfP
8ko0X8QTKulLlIJ5Fs8HJ9uBLGleZKOPiy3K7c1VXptG06vph+qDbPFJ0OX1gugkhyY9IMCWVP2e
9IHykrL/3PNTKNSFWdQhuXoOxqCFS9XOjPUUhr9jUwqfC4XrGqCwIO0nB0aD/k/3PNBqp+LgjTl4
4z/xQsyJhk6NuZFObzFuK8Cqy+S9U0Yd+X+e/LJpFOQ8jcj0Dz4grXfWAG+qKKNH6OrTWytWcpCW
ucnFwHFathw9gs9kaawE5ksSR1DOVzxQAvP8o8bNsbcn5yx7J+rf4JD81xF01VUYzUPVJCkujk54
nJqwIh3PRXk35RsLjMVGXiQKVQHlG7J5wGHliHq/t/FnxqQ8RNKXxw3T9JjMPEwZNMASkh1FCmby
q+o5Iq01xq1+bWOjQns4jNc5f+GN7OxHx7tQZ7y1ZKhqe3+ZYXq3R1ivenYpaR+1RlDxGgoKkMiC
viqtH7FNYCYSwS7GeDsFBPMvTdTfUHYA9hPONHHTLh5jsxRby5tmztyACKDCI9ttrXpmVrv4hbvF
19qGPqXNZXStxSwK6NJ3yyuLRZzm6msRWJRaTF0nkW26ux6FqL2rTDOepAjXKKvmr3XC1owvZf+d
/NrqNlOZxfui78yvsQlTwYIY/tw2ZL2aJEzPhppTuYsHrCdV27sEtpGvHC1O30NL+ZHatviZDNfb
PJheXRWsVj5b0TeArzrl6qL6sPKmCZemIXmdsLV6CfGDeOlqnKBiG/7cHIpqbIJhbYCsnjvLNi03
Oen0tezl3hifOnM2Jp17C9SFX5rjfS7qcXNWK25Ost9203Td2nzJlM/MbbuXsUtXJXLG761wNOAX
obGQTaMQ9sYKWnzJ2a++sxPDyikeoE/Mg43U21D46J41L62eoFbdwoOVBscsn9HR86gk5zcHfWTY
jmorjr2C05yJvfh51qdYqXWAW6Y1DWcZkwegCMM5mQ9T1FgrLJ0YMl/RI2Q7gl2lR7Z1FcHSe7eM
yV7k4EBPZdZRrZNo2faT91Bbvn1uchu/WGNyvpKCO/iDN70VEwYOuVeXWziZ4YdvTnhLJM5XBULz
KtMn8xR2WvSYUb6B1qvbX7NofNcwn/CpbCwCL8PDM+zDx/vBbrxzzULnCJmxdBax48b7SbHwp53H
JaH9e7AfokFsqtk5tmA1LSxSdYtSNDW/f9lmd7EpU/48ocjGxxpBs8PUA+WR7IBuTL5XE8pKkjnQ
0ALSE6DmBKtgdMPvqtWGD5IdMPc188j/x3VyFlMMe0erwos6QRVQagrxnojdp0D07pNTAx9xrKuM
jCpJH2RympXskzHLaTaD20wX2UpEHO/qHuWyABO4bGl59SOitcM5mifLPd3ZTLhIhbqwngI8VhC9
T9mYGI31pOeTc01sYC70yUhtCRy+4bOvkrxGtTGKo7UBAeSsgcp2qipaRlFcvWl59vtMxqBZtc/j
UCzBUIRf3P6XYeXVh11Y2d6G4LaWYc8Pj67dmhR7uVthHYOUQdqHX6JJ/Q5lv7sGcZs/jMZoL+T4
OjOQisjt/sE11PTq6eZPGRdu4bEOKC1ka/iduU55knHurQ3amWm7j0Tqf0Qmxfn57Si9kmwTJNi2
ssm7E3/eXd87wzqf3wUKM8eytX+/u46l1LLXvU2NlEpU9vnP0tYuZGTzjynKxcqKB/XsNW55LDH4
2/R9GL9OHRAF8jT5T9jgy7gZzEtr6OmqNQ0PqUsfE5D57H5IW2XcWh02tlb777gca6rmm286wWvX
mRBvLP3DG0p0yLI4OJdaCz1e9fK1nnr2+6AnFy90tB+RkT+BikvfDZ+P1Ve5coyMqT+jTgFz1Azq
T7Dye5+19w/NK75gzWW+qpWSbZyC5LsRNupD70/hLJrpfYkVfy2HonyEo5Nb1C857O9NZ7b+QYXK
fkE9aljq2siPeDQ7pLhHD1TbZNp7I3J3bDBiKRb0PmVVs+inMfkiivBbkdbeNzIJDzkCHT9LfVqr
3PaDhdudET3Jo0VrIX8DY2QB9WNj5ilm0oH6iJla+83owp9TF4idYrm4auM88uwB3suLZ+Qi8ueu
KtmAjp62kbFuMqsLxLFdlvf5bQRyhf7STUzSGDjMjXn4FGSReylCAYp5PoOJX6/aJA/XjYOcyDpA
YYz/gHusdIrSPF7ZN4oyfrr1Nh68pMhpwnVsI15Eubtlnn8uucX4q94ukfMHWq6toyFsNomDt3ek
JMrFc3r9mIwA5WI/r7520Rv4Y/tbUrXeEult7cw/zDqbyA4vq7mjHb+n8JC/RlYfrf2KfYA1AlEp
1B55tTiyv01mASOjDT6KPu42oROpe6UQ6pMTBVhGzSOGznox4GC+hpnp79AHdQDvWdVrm2rPcgCS
ROkCUT8gZ3VdbXUl1PkTUC8Cigm8rv6wwWTvlCQtNhVGMHYbB2/o3+v7xHT7tTOo4os1tqvQzsZ3
rxrMnaPjGyLjlfqtGcLks8XObdsCP9pqbmh9SdJUfDEcMgpDotrbsu2TzzH5JvtiOM4bttXGDsuW
6X006pWMa4KNalSnOjmvIXgjobyTL0F+x16FSrg1rERZViLA6oy9xFGeFXPzHpMdZlD9tyG96Zrw
KVpz9de1A0j7A6ruOFoi8ScPVQROuQwL41+xLO3zC28CL27fwIvoz2A8qlEGjAwH1Wnx46+43kC5
Dfzm/Ffc8/Ps3IL472JrXNawlpd9379noq6u5cxcdNDwOf4JwXqvr5jT3EJU2SqSSLBiFba1gTlq
qwJHvaufC2PdmAOCJ53rbgrDLM4uO70drNjhqDb8PymLe3vfcotjmgfdrkbl8yw8FHWauKCCoeDi
F6OF/BhENZoAXuU/p1qHQmzEYjTS1QdgAPmlsgx1Y2mdt8gy4bGxvv0t1HGHRgI7U8vKLjImz7zE
FQeYQQ+yZbiRj5RRGpTnmoJUmPTZ5RaLqhQLwVRNVsE4qs+Qwf1DM1UAWD1zLNnrBUsA0P1V9oqk
weU6xB5UNo3Y6U/FmH/Lq1R9rs2qfUBs8ZT4Hqq9ehRS0RXxTjZNU+sXWRF5t96wn7amG3tPVE/9
l0ZvV3KUM7F+qUzW8SpsRYBfaM2MYqJO2HvRKajM5i00q2U8Gsgx22QKJ7Nr17LZNvEPuPHjo5N2
8TVj7ymaBJCoaxrrwiobdC+5KMWtKqdislNz/F1tS9RPlUMW2EzCczsbIsaNCM8dD3/ZJw9+31Tr
Vg+qtWVpUwIQun00haVufRAk+wzj7Ys8aGYZr9TSwtDOyLNbLGymFLaSH+ACagFnnAfLmDyDwVnt
1JYC5z3mKYG3Qu1FW4A8LKbZPZrayKzBk7pteoggNW0T2o9ch5xd17bcoNxXVze8X2Fy4IHh/IxK
75feDupbWikTsKQ6uGCC7uzQRw/RWrTMh16Dv1sYRfmmRUVIfaPsfoLlFYbh/jKq6CV6ySrV5Ak1
WrdDk9oo1HXptYxzLE3/M97NnX/FyG3gP9IuEhH8KoVf6w8ueGYoGeq0NgEWnPPJ0MBGRj+xJBpR
dRnHozy7H2yhpVstbmFRY+/mzoeAdQisx/k0MqqXTqdCfDd6k3FdgacvY7fBf8bJ3vvgodLKdaKa
3k6BjbbFbHUEbWSF77qmKGgHqmIf1X74HsTp19By6wsP7vDdnKvgSf3me/ZAajh9lpdMZa0fKBn2
SzkoYQcL8gu2B1lYnikjj42ph1kkBtt4tSITi+t4rC+Jpic7TS1T8AuGdSqjJNkE1aA92ZDElj10
ks9+sp9Iss9AfpZfFK0WHkz20GMZEphGtYTu2DyZNU+QtNTUk4ZW7SFzFH83lep0KYIM03CMTN/6
nl1y8cE9Jz2ZoqAEENX9ggSXGq+AtyYnf6ZJuS1UyIVsywOQvAiEQzvh0Rj/0yPnkMPlmNs1sq0r
KLb23edYm+k1mKWvtaHPT0NWXmQomkMgEMQ56putDMlDb+rthVzBQl5zj8szfdbEvsUYcRv6Z36k
wba3CdWUPF0a1xcnyPKTHK9OobLxxFQDxDLcrSCxdZzKqDw0ee+Sgm+Ds1MbxgZMXPyIk5WzYuMy
PuejaCgYG+X8zC2wKjL8ldPCOzNjUzui2IKIQTqrhWhVE29kMNIyrODlqeOj0OyRTRuP6qgDQdPY
T+d+Wz93fQIS3PRIVqdqulXbHmHEoTD3Y1qV+2zOTEYoMm4mt0oeC0WmsnX/xVTzdGmpdfmBj3CA
TiipxQ5hUticGUvlcevNm6gFwMJ115dIjXm5vbWdcSFmwEdXKuGBDTh+b3PTDlpvAV9COUVJ2r39
GdbaoAudAcZMHhi/h3m15WFaxjCX2WRczmbNw8C1/HsYqxALnMCUnOKmqbZK4lDcj0f9ObSs6hpw
B7eaQJRLT4cU0KFIcKjcRH+2rUzf5b6AyT8PdrB6ec6g9sxDzSLNlxpYt50cqqlNcmj/i7XzWnKb
V7r2FbGKOZwqZ2mSx35PWI7MOfPq/4eQbc6esneo7z9BEY0GyNFIJNG9ei0JuLbo6laN4KVTqLvO
IiUEbZD8lPgwaxqOEX3IPXY9zaiaH+uQl2H+/crnaDSeQr9WvklpyztXDNE2sYqFTZgrXHjllm0G
oqvgadZVlBQPklTpy6qh1LwMWziamoTQIUmAzxSRnzO/IW4R2juvzOwf5Ode3D4sPuWJkS8tqdAf
NVBymxoe1bMZRtq+GRJth2haexErQvWTQsrlwprd9v7nMuPtlGfXFDu+r1gkoHemFfXWyZfDRFKo
A4vaiz3On3ZB72xkxIqDnxDaHo2dT5FimOl9it7MkKwT+Idg6Za0PHkI6jx7KZriJes09TK4bfrC
VWaAGw0iMtPgKGVQ3dlaeRCjVlOF8Hca7U6MkvUoYHdyTfQ5mUsY1thUxLr7qrmAoSnAv2vxJzuQ
T8akQWJabE881/mY6uZENxo0FyesAGa2isv2vKYgLCraRaVZ9fdx43pS/r2M4x6ACJRYct59orTD
OblS+bOpm2pYx1msLd4NvOuaZcVui+JIYR+DDO4QBwnBZNSdk18ThoZ8nU1raLDDL4L+G29kEDL3
3Q+YDz8gKO5/dBJ4gqkr6q5h3Bu7irocal3s/JqQEF5Bs21uTX1wljze+NinpqHA4GgqNjxyvYa8
uDBmqKIiLD1EZKYNl+fXGCwC3dNPXVW5z67XTT8UtUaYkW7SOuW6bAwkLyZnVALM7ajp0G1MXb9x
4HFGDPm+lJU7zcWXmhcxdWRX/Ajh0dKaXM266Za8+gSbmP0EdZHeGK3ymI1npkm99tok3H6qFfuG
3l8ASe5RfgggHTBWeTR03+VceUrJMn52W7NaqJbpfEDPa1iiuZs8yY0crCGePjqJBU+gP8DZGo7Z
vgeJA/OJImXLumwPvGrY4NkZVSw93kqGHa+yyE2fkqkZyCyQaXgQFtn1To417mWGzr5vOmdVyYwR
3W7Kp2XTTVZAhDp5JcbLgYhw1sJXXDXuOSQuvyz03l6kvvwcWVRfmVAybAfSTxvTTculoBESxEHh
6MGhkeWTdDywVnmsUESM1Q+Wzp9nR+pV9GRC6CCvn9FUrW4KnMOHMkvLlZdaxqehzb5ZiZE85E4l
XaCHJultdPyO0HmYopEPZJOrL4nffDP4zD7xcGnQvgQWEGpNsISx+YbafHfJKGJaB7YNktixkMxU
umpfepRbu/BNDmjnILcjjyd+Lf8oIzdIdEDQf6tbb2M6ICzhewu+OfxjtFJSdpESSjsCgF+GEmLz
RIeAvIAP/WctCwyRqZpbr+iIulukTtKtWeTNg2/m59gdVES5NLb+ZfJVrmF2Iejs36yweOgkP9z3
fWAeIfGGEXJqjPjq5Z+zwq+9hddRL5oF7Y9O3ciavO2DwvnoZ263rjW5PNpsIK4el7gMG16yNBgc
Nqhu69dybLxlRyySaqEihCna8aNF3UQWZZ/yVVOa8bMySaxCnpIuXCvP+UYNm0y2X324dr/YdgCz
SkfBGQ+UcGuWMKO4stG9OiZwrVL326+eMWxLryBx12jPbao7VOlJD56Z7modsoXBgnRkiNRlXSMy
3SW+vY3gJD9mfdXvTFs6uGOWrpXBOY5x1S5kgh4EYpp+0waaucnc5qNvpTUK73awqNIh+AIv0802
Cut7zo8HKmc0YKFB3zhSXR+gfj041DdfcJjEzKlQuKQDuPQIGEjv+eGDaCAoU45SBCv9ZIokCVqx
xDbW5HaUc2cNylnu8o+9nd8KMyUan5XPlI/HV4id5ZdMUiDwUqyLGubVeTDKWxcC5cmTMDwGzvdQ
btKTDOmEE/bD3rNgQAHen+kn6eI2VCr6ZvKpA5WxBZsONdPUlQbzOkW2Hk217S6NWVO4LgFq06Uw
WJVy4x9VpzkrdWPDWT8hDidgou9wxCvCtyj3wUgN0BcIu2goxgJPL1xE3/Grf3jpT2HRHl56tIWu
RRy+1EpWXQi08ksaOzJ8XdV+kO00XFBkkWzLoP1mkwl5QCZYO/e9RWmj7gdL3jayE0cPYhDS+O6h
7S3rkI/RF8L6eHSKMeydIMoX936gWv1iqNQYUF3arvPeLj4UWtisEYXMt6JraiaPH0eBX9YbqX9z
8mHZ1ZSBEmXT0uP90GLXenR1Kv2WE6jiGHn6I6lgael3iBD6ziGthlsxhMbVTkC1dvVad7Rv7OuK
hRzWXzrdaG9jnZB2yqD5LINPY8nvMJTU5dCE1Y9Of+psC5afyHdOBWmmBSxU7aqPKJ5pQqTIA6lx
dwjFEXDi53xLYPK8pdMRaehbosYFRZyYxGCbUSjVddwrRVdW9eQiKeWXCFRPhu7XcxnJLc8gaKFE
1wq88TzYBMt4zj2D+ewekyZbUgZhPueZnCwCYAIkzvu32mrj1I0jjaeub37+k7Sa8BADDo+HvTZw
9t8KbhZM2UMQ/yjc3D70BdyPdoO+DVU3yS7QqbCiPpPK5BJuMrbcw0bLteI62qVFsaXcEMPxbk5d
ZLuMV/VjapOX8/n573iGkJzLoFKA8HC8Qsqcrd0gkB+bMbJQGerk5zx+KEteQCe53oe2DcNdq6MI
H3pOfR2CKfnixOUn1U3PcsEvPYp71NaBMxHl0pampSU3rTH0XeOO8g6sNErmmRrDDm4Ve8VkNcDd
0yOjK8hM815K1fJalUvzu50nT8qATFCVyTKyNdK6M8L8B7u8i8+98JPXcoWdH2VQNAXNrhzqi81P
aRupdrftDXu4yZbtreCAVl9lEpSqmYQ/UvNMJgvoOD/mm9nX1ifLh+e0aJXqkQRTsyniOgPrUoKN
JozFO1d1yyq9WaaVFX0psn7pZ2X8XfZLRBDSIH4xgQZuWqhPjuOowdJigOX1nU4hpz+c1Vq3n23H
Ubhlb4hyFZ8D36C805aLg6t3FnjC7rviRdwobQsovlGZAOGb8AgVcbgmcjNcEsfMF61hfAmV3Hum
FHHYKRCnbiE9dV7Yo0MVmXpfobEAQJgmw+OQ6B1lP6W8KdO2eYUX9SA8ArMeqVojPqd2VbZt+mon
W168hxPC3CvkH078LyNSf7V5hXrCWQUQ+a+bnqD7oAbDKSXsu+gDx302dJ1wUNkfJuxJp8EQXPSg
Bfs6PgcA9aioKet1aSBT7fFZrkz0L/c8XKQPTTj6C7u1SX9Po1Vjozhj6M+yDPkoiQdeimoepCWQ
Ck1vu33TEL0ebSX95MTW9w6k6a1wQv2Waf43xNpTCqCdRQ6OekkdHwwLjmzuEZEatn0bpY+eOkWu
s6b6akKelQSN8p1dzvdCDqyXAuqntaJEn+yhzFfkPZ1bMjVglmFSJXe0c01JleD3qJTVWIJZ8t3S
uQlHxzGB5ocksWdbLvUm0V9uLNMqwi0mrnSz72vfF4tNxHWaa992BJslz1/bWZ6eJa9CgGCMIX5q
tfgE6uIfC8DkOdCMdeZXT1BQB0t1VE9j5Rz1hDiu5djKOUfUfTkOvrIy6rrfOXGl7tEhGa751AS7
dCDkAsog2OWeE6x0s1FfzQE+/bLvf1AMN/odO3ZorV5K4u2LqnaydQdBErfL2BsPZBCWvi4ZCEXl
2k4eALHFhakQq/GsnRtJ6ZKvPL9XJf7oOyo0MDYiMJqcD6eRYtVlopGODk2tX3VGRIReHixK6pqm
XUR18wRZULITtrmhKuyXS2Wr3bqzOm3B28hZJ1XwalcdYRhLDz5MbJSrNjG0W+T4zsanONtNjC0Z
qfFEgVG68wwUbzq1gPEnqM9dqSVPMCrwXo3KHtgrvd8Lm5IAfYFdFjioZN/YCljfFZUw1DjJkdmP
nsZbMmoTn2VJGg6+no0H8Nh8Oi4ZjICi/lMD9ogXweijVJF26CjCXbcQMO+SorcfZOQ9ZUtt2fSg
NE/dK7HSgD2OHzTL2EuCE5jhdB+MBCxsYB6rwhrVleY7LuQu3aNHNNwxTFL4YyiZ5xqEoku92oOU
edkD79JTtTOyEaPJW5MHevfFRAgAOXKfl7y4Ll9Q+SKIHunPfH9MMDpLGN7Tm91MOr3Ni0Ux8o3I
Z3JvCvLSqwKGsPUweYmBsKjcS51/FR2ETuU1CdNoZVnleINhylloSt2TZdHG290mG+ZWjW0d/Csu
YoDdgn41gEhOlrwLo6VsIOBeS0156h2rODVN/PMohmphnRHcn0ivASkLn/shdyK+V7HcbmKehOfS
QN1Xko0c0WfHpaqShq+Bs29qi/h9Op6N0uQBkIQPdSFF/Py5LfIGa6EIC0M3wiaUkJSG9SBstZ0R
aKygLQ1tlW1S5ZKkI6oL6m87ymm6yorh0kAHdJNhNlhqru89+Fz1ltBcTLawgzXfG282YKITP7qq
U1bwCuo8pl396ORqsq1D/VPrt9HZb78RBC8vcTPkG8d2YYsJUCCqXEg3xRGcytDkiMO5qa1LX/QD
oVPkR3pTNhGasOCrluJPLqwo/xjIWywMXao/cL9XlnXoek+FXaLUFpbu1ZT5UgQRpD1BdDQbtHnV
xuDRMnVF00HqQRWkk/XZQgypPXHrtFtJXazetOoxEORMshkjz8MHfOdukgnH7akKI30xUlTCrled
Qn0IuAmCJdEUvsJrgW82G8WTtTuBU1k3iJH2KvxCE4WT8OvQtYIv2jxFGTwCeejFq8ZS9EMdUK/v
AOZ6VnyzemQ7vZD7JHuG+XENTFJ6mF7U3aZSXrXYKU5lErj3rpEnyTIcunADgQsaK2nbS2vES6Vt
DEz3sdKzr5ROgBFLu+7Aby1YdGSqHowsAi/nxOPWcFwAV6X0wUfb6rEbkqXelNWzNwzlc5bYtxwy
4UvuSeWzo3XGsh2GhjssXdtW3C0pinDl1u7FyPLu3OaDe0kRW4efM3z1krDcB7KfU7jhRa9mRGyS
OGSwE6MRddRg5EmViVFXQrgqjaQn2dblR54fO2HurTY9xX4GsomNJgDJ0Ye8gQymoVXxinoI88WI
Iwi8VbjDqagyX5KK2DdAM3llT11jkJVtnvF4lyLLeEmoUgISqsRrMVd1Wm8Lw3ezvs9tQA7ztNdg
+MWZN7xqk42uB08aS0VtH0DaTv2X6KqIVK5h5pc3wjntwKTr0I7eR2UvSgnd+Pn2Prfv3RWEP/JW
OGsUU6xK33bvo7FZNSuLMvudcJaDDtBTO6VhxXlHX1rqdR1twY3uDMtpr603WJskGPOTHR0zInTP
qH21itw9T5U0z0nZfyA/55wzmAV2MDzArq/13bWp4z0l7c7R0iTYWIStVj4XI5VZd1OrddFFB6ng
yrkaQF2a6keyIwe7s7ur8E/LIF6xfw6QL0fdxEo7XvEC8sRyGCNQR+4iUfqvaW60n/PcV5EJ14wr
denhLoA3qiYddmuM6KWRkQoznVQ9EFNvl6HTe68loeONBs/BRowqFbIfsP2hLjKNZjqQviprb15g
ax+az1WReDvVzyAt7wjbhYlZriqpKLcgl3lu2d44HBxkKox1aFi/DuPpUFeSQl2+cXhzqCdKvomm
ai/PeHSHzvtg8udRtDysJGiAPmh82x7cGCGiqScZnX4NveFR9MIxzS4F6DzRA2NlnDQUehbBRK8+
lpA82X0P3/m0KgKd2mZi11qFpqRdB1f+2ejS3pIoOZzNvPDnh9gFTDk5zfZYh3PRHwJz+W4g80J5
UbjJsJ2dhQvxCPY6Jlzzv0/ntmwYjVJRXhAm2FDfPXyyR9NdjbXTnQYllc+ySrirUQEOhuyR/QGy
iWBSFBJNMckKiaNYMyYeDIRhRwtFIWFTfh/F2ZRkbpGnfTcgnMUorL2Ifkwri2lo/nrwKEBksR4B
Ud9XrYgtA3siKdUsQDKvomFMD1kV/GyoDUwPRL7TgziaB2a/eeCd33/hMi8P3AzCe7H+PE90Z5/5
TP+Fy7ul5rl/vcq/nm2+gtnl3fKVJ/26/L+eaV5mdnm3zOzyv30ef13m359JTBOfh9IO6Dv6waMw
zZcxd/96ir+6zAPvPvL/fan5z3i31J+u9J3Ln872zvb/8Ur/utS/v1Lb80veDrUM0d6BV7tg+hmK
5t/03wxFlc+slBzhfda93+hR9rZ/n/Bm2h/PIIxiqfsq/8l/Put81XKHCs16Hnm70n9a7z+dn80M
W+9OD3k7n894X/X95/DW+n897/2Mb/8ScfZ6GG9G0bWb+a+dr+qdbe6+v9C/ThEDby59XkKMxNO/
/J1NDPwXtv/C5X9fynZKqHNL7fMgGcGxkdqJIRGw2TH+3YiRaBiKg6rdhFlYxFElJsy+pluGRzFc
kkDaOzGybFrnPWZaoy+9yqC2qjakhyyIIVCr+2d2wRDZTr04p5KwBd8yjYs5Y6CbB7LvP8S4sLvw
RG3GEkYsYRNN1cOWYeqAwGrI9k/QRV8h9YivhS3F+852EHzuqPO1zejewFAZn/MUBtLJS4silOTE
aGBJwNk8+XS3iWE10r8jR0dAxGqglhFL5X5PnXOuyuu7owur5KoyAhueZIP6kmxEYoedPThMxFQ3
foSWqw3fjUH9fFdcdYIG5O1Dqnum7hBYxbVQ4uKqKI229fQC6LqY3WrVsHMLkA1vZlu9AzA5bT5B
LsiKYmJl5sgSGfXDvJZY2u+0iqCmd7yvFyRFcwrTGFreX6cUbmnf9WeVF4u7mz6yRbPUnSOXPUXM
6AV5k4D9XaweemRK1N8I1zcy9Vfj0G0N/m9HQLneya8mLXsheC+MYvo8XIATcSRHPyRdA6rCzguK
TlOYPjJrnxeWf+84SuCAhpnsOXBcCK4IXt1nCOM8TbLGaEnSo16/mXP3rIZy3cVJenw/cVQGf9+E
0sO7tUTXyMwzkW5jr1QGWvUxQmuj3HmXoEm8izgC7OWh21p6WxfILHltRucB4dc5Y3QeqSydXOeZ
94W09tG2o5i4aaAfRDMSOjugjKwfxBGCacM+kZKFGEx+u4muq+teSsEJMzKKoxGblRatIwMvQ23M
h3isKdRLK0nKRVhbxOTWYGq1pRi4j07u4qgbZULeqncSvrMHGSdzI+VQeoDX+Ok7j0aK/4TIkErA
9l8GtTHTd7pqf57tJnhCFT6tNCPL48pbMTKfzEHDEFRdB4XJdNW/r+veTSnVo9TQXouLMCxP5RMp
Exi2bPcgGiPLUKy/t7O1i0ysGTUhRAsn3wRkC8LXA8p3Y9xJbxbQi5yAQdzF0n3B+6Q3C5Y9XK8S
DA0rFWb0oz41YZg3R9EVR3PzzkadHrSxbMSW88D/tMA87X4OtXc2GdR2KRufsj8lbBFRQFaTmy/7
6S00UnZXIYISYoB4W4QGNSK1GRzp8NLaB0oBxnQh+mBPfxotw39GaEHeCDvoMecwz5h9SyFsKZYR
c2efd93c66nGcOr9KEefpCYlk5EbMLnpYfQUAFDb2xZBA5lv2GvRajvhQQGXw57b8W/WBGNPM6rr
cjMugVRZUPhPcJJ2gpM0A6CefMxNUo/ToTDW04g4mn3ElKrfWD3yTbOrMP+pGwiIyrxSLI8Xt62H
h9ExbnqddM8FG+5Drqvleijj9LOnG6SUAFgROhsgeZtSUHLkfiwMgKtRAf1aWNfuQqqHvQAbCxSy
aOrKdpeG4STr2SZgyylVdesE/NZSDNzhya7jhlvN5qv/BvTs1W20h3nxy92xoYq7CmDMReDKPTiF
4xzYuerpQhyKBi52AwhBhab93VpSpt0XqrHRZk/ITl1kOCcf8kbIxE6NmG4XdQDAkrBAblY9jKEp
hOry6NXI5gTVpczhfRZHosmHhGrbVAfV4VY/B6LfR7EHyAEmZ30rnGVNQw468uFEra3q2qfxh9B1
LMiHYyCnUjygG/LLFpLKuooBfzr6mz3p0w/x7zWi9pmwZX6qnTw6w/0fnZvSWlUOoU9IvX6axOBY
dCN4kkrJ95DQnuTRHrqF8Kk6ENTkPVGGT52I+sBpraStq2ArDuPG+G4HarZ9YxOnCn/k8IKfxLFE
yLTvtQSiO905JFPTmwqMlHNfHKETjC6JWe3e26XWOfzJ1hu+e5AQfULTffK5ryqsoi/miKYdKD1Z
ipGiGOQdWeXWMJWbrvv5h5p4sy8DZDdjX38h6lGbTf7B81IZBfUOXL+cfVCQkL8anfkkZoS5HZ/L
nJfGXCdaazbcaHRKro9+6rtHcZR0+T+DZ5sb0euGwj16FZBkHu6/XMLfR7OtA2aKGo6L+sQ0Og/c
J4t1xIrvTldTrbNK62TixP+XebPzz7mBjAqFFWxkP8i2xah7D5JcwkJfOPFHonefjF5XfiCu7Rg6
qV/bC59iK6o/OW1ESids/Uc/tLlnGqF0NGszPr5bp4H06+h3JXw3fIlPilxZ+07KiT9BO7CoEc85
BchLDOcGVsBNGwK9BItglq9hJDnrGLauhUWgnIRpEq3hHWtOzdSQrHvbzDbhosjKOiptaT/bxYS5
K9yELc01czdGDlpt/7KkkY9vzzDP10LSEXWS3FzDoBAqRtzBgpV8K7qxnCcXJ4kvAGyjfNmkqFl4
PmpbvlbD89WjwKVoQb+AVKsjcf4vTYZeL3qvBtzeCzEUdgo81uIw9xJUYAvCam+MbpGZa60LQbk5
VbMJlEiZSg78J9E0OgQSaN0/iJ5XQIAze3STW4dHYI2/PHhrAv+oIO+tFGm1Iu3onUtBklTUMa/t
btavhRHqTP88CEKkeHISxr/7zHNmn2qiXRIDYah5OxmsHgxCufYCV0jkKvlLW6FE96vza6SQCmmT
Uh1FMcx039O8bB1C5bAUt8H5rpgNMOP608Bsu99HpwF9cAmkT7dV0cxLzQPztHmp2TlDsIl4bZJy
X6/HJ2r9+4VNxv0wRujFqInlkWulpCi23KZYVnCV+I362E+DEGPYy0YBmS18e8k0jkE16d1mWluQ
VgmOdqkGVzEa5PxH0gQac9G1yMxfdK+fhITkp3JYt9THVCDpgCxMcud2pq3cxvT3KUIXp8SChYs9
UR6txCHE4kO1sDOQnZShlpt6SPtqUWjyT9f7+DxVHHXBxMEwsFcRXaLsVDP1gPAiKXu0qTa+uLWm
PA8kPZdaZOl7UFPKs19aNmz3novidA5VmKx3S3PKvhpIvu4NrfhajLLNdnWygWn0AIE15X6c8rCi
0T1F3wd1/VX0milnK3wDSnf+6DutOU8XR2JdJZPKPSxd8bGPuoL6dd6nFD6Hq14CmBG2VqFas3Zc
ZzsWmXTJqdNdD3WL2lzv5cu+SpTDKJq4AuCUTXKCC2F4MzSNZ3B9HLyk/XkkXN54a1HwMc3kcgd6
pzyoMsSSv9UGheSg6GZBdiQt4h+FqRaqhFVC6syU04mC/5c+oXAuTSrnpF4Feoxk4ZsZvZIfDdPy
jvcFxMi8yphCd736fRlDW5EoH714aQT5d1Kp+RMZqOJJkuJ/yPW3J33qKbLR74BMImU1eeSFWjxl
QbOC+ny8CX+lGBEi7imREoOSYVYPak3ofpouJrlurAA4Quv7fgI7Ts5JalDbr+X5siNUsjAjJzsK
Z1AE414dqBQS50chQt4PNmlJiKutVnttqlI7WxLwWNG1PEiVx5qqHNEtHKtayHpknVNPkl9/zmlb
RTtLCTzjbuFor/McXmLDm6qi9ufDaRlY8ZcEDM41mxpSmMrVVxNj3U/qpbNNDCR6hk5ChMqP6IpG
uPh68NSDTjzMJnFEzWhvEpyZ1yF3aB/cFLbf36e7e6rUmru9A9Z1ugTR9JYOg3rqbztXqo8Ge88c
tgG1Pqp9uTM7b9jZSl1DT4spVk2NqhXRF4fCep8jppsVSUSguEW19kfwz02d/WFCJlPzGQXSTmnY
Qogmbj0X1NXUr2RJvRspd/k5PDu+s43TjMZsnJ+TxbCuxepWAZf/fmkjduwEbc9/WTan9GWnDfA3
wgsSryIUZz4qjdPxpNUR6TS97KNiv0CKbH2A2qw8VyGSgVYfpx9Td8jXtkd5OVtsiJ5LeWFlsrJy
JmQ+UtDp0ZiQm+JI2EaA6MCKpxHRZL+PRBeaNIYdI4aWp5sevFm3l3lnPsFL3dwUP2lvqmK4q65D
8Wa2mXLhnavc3QpTR9ElLLMTpas22P1eGEUTQgyxNQF0TDzXzW1uzKewdrMb6EyLraJBEWdWlQ6A
e05YhKZ8TgzQbJSYrkLoNXc52eoPTcUnVIUGksOTEjP1v1RXu0191KduV4NgpULYPYlR0/Y/d4Mz
XMRUELDXpFSLmxiz9Xzb6Gb8KMYCqV6AwImfFUdxXjrkh2F4cUzpOYAp7wZgszpmLojUqZdAbXA/
apwYEQKlrfZioDe88uaUdrODSYv3kcl5Hmh8aS8reoPgBW7CFxybt2k8gCmzr1gdEbki8v377PuY
XwLHkDRlLXmeu3E6Hx6C2MuuopENpKHGGgFd0UXQ+OdAlVdQ08iyt5md02kUyYlu5Uc51HO/V4l6
Jbt6vuqsuyZHIOj3gJhhdETtQsmCjEmXNiZM23vOY+5TBdWYiZxSnqT2kOVCK1jQWs79eRjhQggv
RX+o62JX6RQv+9G4zcj/w/LktTdXU/m+TUdadA7RALySU/5pCd2sm6I+/IOEwzTQ5nVJBQNgUqLF
a1eKqdMPHXgCIaDdd05t3YapoSoXFeCS6FisBNbNTwzrZiiuta37yFrMNl2RlBMVTkdhElOFLzQ2
izpVfTCKrCYGFc8L7qeZbfNpnJaK4xZumqPjW+2ewmyK0+N8fDV55V4lekM8curasFFRtq8/9K1U
PUW6tfVkdQRr0nrHGITpMhBd3YrWceNVOzEaFP3n0J1S9aBzXgq+vcILbhWI79kQIlrB0kWlpBto
OYKt6I5hAYpS8Z2z6ColiE8pfU01v7nwpIrvk9BngXkYpoa18Mo1Q1qUJXh+0U0tCDtVBLf1gq+t
mWcoLUAHtK9yK91y09WeSDZwJ4dI4FtgQr8NIf4XOAL7pYXU9/Wdrw5PAFos+KYxKu+8Pq4o3nVW
tTxqx3ZqxJFoAqSojlbhuwUc6IxIwK0WrRbVEG7SjcrqUXPq8LWLaid8ztOmfs3l5rvSBBvbKoqH
vJPVZ8rSgUeWFW+Kga8996A9Vp7RuVsxGujs91Et0QBg4Dyg/H2MXGBS0eRcEkO8UQJ+EINiflh8
jW12Q8Li5+Enr5RguJ68pRxi/xFiedkw5FXMT+1RNBRfyYb/2Blt/kgx50gsSYbscnSjeGnHbFdT
XYcY9bd/3WZbzTeMi2qp390EQbK+U+Jrl3Gn5HUSdnzQiNdmasRAn6bm3uuTl9osfpmmCWlq5+fS
DJd3/8b0DqE/nhtBUTqRz4ujuan/YBsS4z/5zdPCkO9/JtX9So+9CKy0C+POoFMxPNWcqpWvwhhE
I47anDzJQvTfDYMFDXZ+4J6E/b6CmPLOb7a98cnh6tjwe/iuyIXKSwYnfnOmeYo4en81qU5sqOe1
bvFXR7HivLbw03zJWBfcVWDqRiNg2dmwSvOtjfKNMXFLiz7UJgHgYQCNs63rNTSM3vSniY0wijlz
U9pWeMjzTnoAOGg8tVX6VcqM7iR6hFzVDXszY9XyvXlCOGQXRFl/ShtbQSWHSo3BDFX0TVP1Kmyi
aVMDkktbzdaim0sj2N2iHffEbPn+N6X/ATR0QIWa0qAVmKUb3RmacxRVDnUqgXeQJuZXFiVwDUDI
H0sPDLrnX8WRofK0yZQGduR/HUBljOixa7wKuzkmITQUk4sS/6g6EklijSSzfcghepXbnGSiIEtt
6H1h4VsOJAzcrzHCJMekjrOj1YcPgW4k2/C3SdgLs/TzxfvDnop2rHzQ99li/I3T79WE7e9L5q7z
a/U697aAnOy10jnpuYqDFqIFKg1yakwWgdn631NgnhQR/eA/81GDG+t1VLJ65Sp2fM0ymAQh91N3
g1koV5N3tJXZNvmS0n2H5EM9nnwdePam9CklsiqrX70xikPRaB4A9bbWXOBaYLbBdqvjaR4eoLhv
Fo3Lx4Ru8ud5IIAeFiU2NC/lJHvkacvtGDpS0aNSQj9W2fhJ9ETT5fr0penKtVoN2aOwyQFEMOVo
8+PG5CKaTao2WIsxfTJBf6JuR0lrlrMtSWp7MbSA1eeF+uiLq6Bdfl+VcrADZXLhQqwhbKkDt6wb
9+FG2Hg5CpaFGtQ7eEauWT4g8YHM0mPrmP0Z3sxzOPUoky8eB1j4N5CmjSvRFQ0x/O8A5UOik7jF
leFcXTLeYpIw1VRbb2E2aJclxNDUCfcDSDIXacY+V68x6Hg9H4NLPfWEXfVN/ci7w0H0bHnUQSmq
Q7G1kNxaCOO9qWT16qpIhWkNTHPC5neydtGHcFElZbg2Ham4BLlBdhZq3l1sKdqFv9sG8GwpL61J
AkVudf/bkCvLBDIUirlb/ZDqQfbZLyhctWGlguxIktbRWFgnHYaSg1PJ+tYiKHJrqYdcQcEivxpZ
8IUMV/nDCrcoangb7jPl1qJ67tY4qrnMCg+b2TTOIuPd/NTUzkGMmlIE43088BVHa9TcyWAh9zES
NytNLc0TZfPfoVTwKaBQkPSeTHMz20w42neZ3FBvjoewo6mWt3BZ/5pG7eb/Zbk/nVXYpitk36Wu
PZDy5ZS+rKemmTKvoqHYaBUC+D3NJuHhqYOyaVSZf+jkK2xivuhSCPoI3t3Yi968LlUyKVwg24xy
qUMDrHySWU6eizamWNT6Byp751qRYRuqtNhlqhxc0q6m+tfQzAeiQShPOS7kSv+PsPNabhsJ1+0T
oQo53DJnZVnSDcpyQM5AIzz9WWh6THv2nL190YWOpCkS6P7D+tAhXSCLYX0MVvfUJ3yDlaFZWj0+
Tk75xytf9Q/UqrwcvUxf15VJqsxMVtUNi0JezYUcMs101m62WkdT9nPSy/GOOxqY6yEUnySrHCrS
Kr8EwI225JeLXRX5MTI26qfFd2yXuw74ncIpXgcSkLaeO41rWW2GVqwRasq3supPfbxSLSPey6qn
z/ArhC6OI7fK1wCSFelGoLcqVVXO6D8T15yDX6tUV38ZtPxXtZ7trbLqJZ4Pikz86pXV7L4012Og
/hDT5EF+tVVUh1KTWN82T4iO7jnB2BqKJfxnVpki1LOsySILsxlkof+IeyPP1oOz120M/ZgNDNJh
VON6NW/WSYypepxAJJrJDhMph2svPzWTFKV5dFpb+rrUe9izv7u9yjLKlVzxuiyZtYsx95V1i1TM
UqSiOFhJhk4gcrGrifjzT9UCwqB7H8rUW+tJC6NDV7v5k5EYn4h4ZtsyCIjT6YLiLAvXH9pT797J
ythUVbe6dRpKoC2tGomloav6HUDDVz+vSCb0an3h6Y5yaWfBELwBwV2eQluyNOOP9rLKA3PRu8An
o7bDbsAwOQsCrdhPAqVL3Bfxe6fDqLQt92vbBzzokhJOvCAvo+tbATOi8L6CCfqqlaJ+Mo0xObBV
0tYgnvuvCdvj1PC+mljq8NSWKrGwuvZoTu4POY9zAI9v0k4eBjIe8Ud0Js/dyLoiydThydRs7YOM
UrQ7CRHZy6OjLDKOQqFT8piaT5OyiCrSPtW2QiA8d1xIw+XknEvPXslDqBvPcm15sNT8Vr1rkli9
Kxr/vY4CbS9rspCdceIvenLjzrd2Q9fNU1caU4VUpdp4r/ZkTGfbj8aFUBEVnIDMrT19cLeyminW
i9CLJWqsaGLM2BpTi0M+NT08yatkCrNmIS+DwE2axa1LdVsOLbVGZDhT/hj46xLZv4XZ2h40x2k4
xXMRYIXJV7XRvzmF3W1lB+pbPtInUfHFNnMyDss6bPhb90QPyctwxu7Es6jF/MA5XYuZ5HOtXwd1
uNw0tL4AYs0x0zIquoHnpnH8DB00RuFSK5iK0XOd9F07a/c0hMvzVI+NXZvp+osq/F+9oO/iw9ij
DMc+wV2QSxd8Tk6yrWPT/Alhf9/EHUY+IA0cH/293TjFvTTkp3o1LdQgD4+yGmhhuK5U0GRu4rw0
w4Q+UjJ92L5bbtJ2wPjoOfXb3F5U+vhByixYVr7CuHeWFRFSh0IdojfTTYAZe81zN0KBzCLxQza7
WR9uS2NYWNnO5ox2gNwNqXm+Mv+ujsrQz/KFdF8vr8NDwq3Migfnbc6/1rmO1pAXyBe3NQPPeXDI
g9jWudOflKDoEbxHysrqtbsOLXMTMV/aZG+iDv1JFkWdPytD4GyTJrb9s2wDDUIMjV7WCzmDIJMI
8/S8apVPyU7D/1Mi/orWNzlJZdpvkt/JXPwBnWkhe60ofi8atdtNraaT1TDPiMIWT1BpR2Tp/R4o
s8BA+tgnq/3KMTZJQFsKNjQlm5C6xYmxVerE3pTwzKBd65q6CoL2Z1liylfSCp1A8l7IrPhH7J3/
K7LvXf+rQwrAX9tmQsa/OtzcIfn1towcLVXir8Lxf6//X8vc2q7y8b9n5BZkFX67vJtofjfRLA8t
R9/eqxXqj4GZGwtNaaoVNobiHoWx/N6Zr4gvIIHJvpMtsphCVOTq3nb+GOql7ch5aHed8nuFoRoz
bmN+t5Yz5dKmq4rLiC1LNpmZCFG8sEzMyFEYb6bYCryFxnP1XLr9WpNVOS8r0wJ3pmpu1IC0cdL8
RHeKiAi9vTP56uT7OtzwJ7G9dXhtJ44NRsfr2zDVWQRMWSHk7DxkmJ06D0OpblXuQ9p45pm4l4Ps
U+emoncAdRgju6O5KjvasuvXteZ5Kz1mH77kBOcvGvpnNWjnOoY/6p0NvOckV+Gu0D2gZnPrJ/av
3UN1OTtusnOjzrq0VpHyfM1wgWqNSogOZINLPJnWRV65QW3sg7Z9uo6TU4I+/Z77+bTL+Gdg+GaG
w09i1zZGtLDnVeW421JzXOjolMXh+pIarIyIrKxVP3sbe9EFpOCV5U5W0TpHCNgiFUlW3QzUR909
IRjgHtGXcK7Fv6qyQ7YJL4425RjGkAeJ/TPiPl2gb1M/oDFXP0QxPi+z1Mn46seaj5mCPJM/2+Rg
noLtKu2hdciqHCfntjF7DxMD83Xuv9ZrmrDdlg252Bqq50ezEL8Kr3OOPZsGUuAhLZFM9U/HLFle
IYQAjtOKm6LewC6HOQFmsNKqYCVX+ONSLitHyx4fggg/NKSRJhXxKMQ3kcQsMzTh29g7kTKNka23
UEsv+0xdXetkobqn66jRCyBY2OHnHz2WnFTM86Gec/wmT5BteMp+xax95TiRVcj+isJKSgUZZrx+
AH107ZAMZXSKyHOFPm8c4izdBNg4d7FDWtVUVtYBn629C8z+UTF6sqyhIi+MSbQbDlDjR4IVgfzT
8U0PYCLwDWk3dSqu7bldT9f2PtP/aJfjJ8JJruPNtFPOqCqCZBnAJ/VVdalndd004XjclmN0mGbt
3d5BWkBDQG/TzGK7BgeXHb+ocCV7A9CsJ99OeEDNc6t8tO9VJdp181g0DtyDG/ivIEynh8YWxqKp
ofbAgkPGwTK+GlqHPEYgInDmJimueqMv0thLLiIq0ycUl+4qaOLvhFnlGztoFABrXvnukcmM/agk
2Q+Ndhz+qCZmZ1I06zPoagSEKkSAere+NgV2CKAIT3591moFW1pGeLYcLMfIDlmVRemQx+4HKPIE
4cx8uQ2UV8qMdC76b7flZbNc5NbWh9FH57ynQzFtaqMJtE012SQtKhzXVgiRVkvuow3bqLnLipPq
NHQGd/HMi9MNBqRs8T9mEUsVHwzPWF0XketdB5mJ+KIpRr2LjTi63Aq7IIq6H5e3FvBI0QWOJVoJ
U2Q9Y5IM9rLtNkReNaU7LX1NU1a3Dm10mYbVNNhaIiPvcH6xa6O8LGoiO6A3rYzU/PNdGA6muK7s
vrp10h8CfxQHT3V+FbJNVmXHrfrHkLhS0sUf9d/LKJNvLn1ktZay9zb5/7uWM7+w0pbhDs3mPWiP
aRsNTrioZ4RWC9kfFIBbrkrFM4556IHekqitBGjUOcG/sxytCGOvX48qKpfMUQv+KOOkH+UQ8AMR
ZCUEmIKgtHZD6jjsHmvlve+1PZlz0LjVcMD5NbPL5/Zqqn4YCaSOKA71S9mahybsNr0iDnFjFZ9h
5jY8JQ3lJYrNajU0Sn9vq1a0dWBrHF2kJ5ZdOpZI2+nA79v2a9Y48YtRKs59QSJxDu7txccf81wE
B9klC9APhDSrDbqBjGZf8dA05gLN3W8VWsHPiaHz/DSUpaxZiBk9OwM/MjfpViN77ZVjLGwlSp6C
sBNPyZDFKzfz222a2eJJLYr4zB3wVXbKYgj8D5fd4knWwHE428YkdzNWMQstWcydF/Oc8NdiU5N2
WwzB57FrcfhNBXuYGeIjIGQTczJXIZ+snVbfVik0oChSeh7C/yjxSGEcLW0AO1vEl946qqb8isyL
A2IZK4CShXiZhuReRloRZXhXtVlyL4Ow5r5mrsm+II7vGjVVF2PLrsOx2hJ3YaIuiNUvH53CLB7Z
S5MskU/5VlZlh1GQJxzHzkU2NZaoT3rrPF/Hz5MCZZZLDTj0pKOI02Vvtp+xF3RHOQRPhnvXTvby
NkFT26XKTfLUaOYicdgEJ2UkLFDBqb/3MuUurgOFwxKBnxcky8Ql6xv8/2pK0ooPynNrOOQsoFFU
b31fM/gQ/WZZWSEusvlhmuoJbOMY2Z+5JgvZWcwjbsP+97ZRoMI3NCT3Jsq6sF3ohJypXXAj6zHO
3OMwhNUdGiXVEpXW7Nv/PSJjjeHvNTqtQpPEKIJdlaTtUzMqbz7v8VTMtTrvwt3UD9pSUczmySiG
9ilJ33QzTR5li4XGCEqGVr+RfdHoORdzgJMUNO1DGuuENVfmhbMpytyZEJ89j+zQUuK31vGMTeMZ
0b5IVPvScTOwe9c/1jzmatJ1uRwmT1m7JQGQqL674DAnxJamVn8ZQS9dq7qw9ZdO+M4f1VuvHPxf
c3NsfzuYt9mktydZeCrkAx66BSjHf9rkldpBvMAU7OMFyecAzzFDVleFLLm6NnZzNGncObvMNqbD
VELHllD2DgUknknOs9AmZTeKjlD9XI/e1cpYAv0MPwmcJBwscl90J0YisSQGJxGAXY3oYvWKfkkg
yJDcxM/klAXl+tppx62ztwP1S0hKA64e/7VouEV49tRtBQI2q8KbjOcqNJsj7g+xkFUdOPh91CSI
9NRKtzSML5pedk+yrwawkChVeJE1rRzLpXuZIm7l9zBw3OOYKMmSAADkRUZ7PItqMpbILYWfjuFs
2ClZX0RbQhXRIWTZoxK+lrMg2DxAzkxmYZJ6gOgkZ7K1jj6nytrko2N96fu+3IpkHQagvycihuvv
UYXO4dhqyqst+s/aqpM7WVP116Zr1RdC6roHnGvnNC1Q/u58PJl6GixlVc/7bEsosL0mTu8tIz9+
X9V2PhFlr0y7kqhrPcU0pM6FFQ4wp35fDRmkDA4D/UZ2yEIrU/s6zgH4cQQatrzNTxucKMgfdQ0E
CD/cODkqWoPbcTKux+TidarOHTPVHiE198ukbFw+9ClYNE5tguMyhmXpBsXR7qrKvV5mflkcNdfC
BO2UEBmVb50BnRuDW4HU0EAY+MhTqjB6ZHG6tn/S/VkzPDPjb6nvLzE9dj+zWNybwKjep5EfjGlU
5X3rJeVO9DY2Qi3TL0ZcqatQw2EPs/urnDS6+xIK0Q/H6rNFqOb1Sy4QWq8dXyzqAAVw/IMCoii/
uWY0612b2N0zNolZa4zYdtlbF2GAk8f8JjudIvCe+GBklyyQO39Fv9s7y5phN+7ScHsizualQRf/
51qys1Im9++1IgRPTEPzzuY8Wa4V689BmpkraXYTVpeibhS1v+x1f9TFoLjLrIM41Mx761aH/THB
g9nBirCeUy12NpXIk3U777VFXIO+VbgDi7mqDsZ0wWqN35eaopX605A8yIlyMccq9yh49Dzz6Ecg
qCJbK/OOci3VGP77lYKXMoh49BiBfy0CvbUIHQ2TaNOJplvIHk9Uv7pl9TpGzRptT5zH/jY5LjlZ
BPCDFtpocButiXE76jbaZoSx4gtMub/OTf6MPVdDbYyQZeLyOjqLCK5VtPgwgchTXe3dUkPCjNvO
3/RBMX4YE+ypf5q7CtKubFad/2z+a7RcJJ9ten+Nls1hHH/3CtjGg+qKHScna5tAo382x+CbsOvx
G5CQRwUA0aupxxbJVZZK5mbN8aebpoUcAWZx0wuPbE4/LAlo774YsTYsDTzwZ3aTkFdVpS3Ost4R
N97PXCiv/8bWGtmuwvyZB+UFXRn3vddr1I4qrNoO9tRtDWfn4DSdchLC09dT0TfPgM17uHLN8K2o
jfnGY/7EMLSFOrzocm96FgS2wCdRifGaPzWrJtzjP9rRUDu3Zqk+By4s2N6yfo2PEIq6jb+1z+PF
PN53GC/Xlx/o3+Nvrxuwzr/Gy/fz9/j/WF++/3p+/85YrAccKM+GZ/0Ija7/1kGBnpIUfRh3QSZd
BPDfyneYDPRv6Kd/H2LTOQC5FWw4LWsHPSje+K4/fsBrA8VWK18cHeZxNbcjXjx+QORZmr/bcxLt
ru3z+Mk1xQ7rSbvIEFw5NmZS14s0U+xj1RsOAh5CX8keWciOW1Ve1Y3BlH91F3F36MJh2N3aR623
sJSF6hOyznCZskR/L0Xz4uJV/QlvN1MceGPd1O8GNGqWAxiWTVp6NWg/CvS06pOsyitZKD3u8sBs
G0goPJIUUrTKqT3LIim99hzNhaz61mAtQby0q1tbbXbYsWU9UKZ4Y5jBtJDz5BTZMZZQZcnprMH7
O+q7mAyk3urgpXCt6CR6R7u2jzGIkyG1kdNUUSThbGBeRA/+JUmzQ+V0qKinRHNtvRx1b9jtyglD
L3lzDqnIkzHz7/LpaYg43ngFxy1nfEIdZHpy0S4gpVQgvji3kXYzIuzKhiOySfOz9XuS28andvBA
4BKWAfnYq6tlMLhkFKT6Rfba0ZxnRZTYWjPC6akDxDWfhtlMtktDNby3OBy/aHAJf6bJvQPJMFjY
NvER05wnCFZ/3aXsW/SCsAOhdh86GW79FuW58AICaj5iGj1SvpC4hp3qhEQGaIDd1Ko8yNqAaeRO
XlV3jaiG67XCM3Zl6Smf2UAgEDn8ZA1lAannFZmJ5zovh2Jbi5EtM0C9Jc7J4WyRtpXDgoL0Y4hP
vymWQzma8G5LZR2oWXRItH56bKwY5Cxgud2gWt7abcNm4w4oxmpKMLy2yQx8bPNwr8fd8Dq6sbbg
AJijw0DvVCU8URDAM7NoQKWk4onxu0AE8leV81F8ULwKHj0soAtpUOKlcbolexG8JrHGbSMJ0MSZ
q+TZA70T+SoeDP5LhjPTNQtiiTHBr+2y0d9KZdYQbxLvDodbfTSJLkEbShHkS4bhhsXbRdWSHZG7
rv4gCzb3d4aqgTIMYJdd28EOmEp53xC5/VCkJKZE+gR2+58pZlT12A3Dt1vTBKRzpxoYtG/L4CdF
2IYn43VqA5hymU5dvtJ8hJBrgnHOyaQbX0DxV4HafiksPbi4wDwXsllNdBQ0TPtNg2qJv9/dIMFO
3FSCQXGl6HO4sprv66T2lFUX15yRitzcTELL7twkyK9FhtQJwtAgsG1CUS4FkZVb1UCHzWq68S4L
hE32jeZ8gGjelGZQ/Cj69q2oteHVdNR+rehxc0LhrT8VbVGter1rn0WV+Stc5NGu0aLpFfsCYTRB
TfJFr42vodt9KMSakCZITQ0s9jdZ/2TmrfmsEjvFn3d6zVHmuQ8n71EOquavDDkP2sKJIC3rebdV
1CHZVCb8PnJfhhdDeCeF5+5X24WDaQwE50QRqpOkZMKlG/r2azWSQlc4qfswQBY79hpxACOR2l8r
jG+G55RfIO+nu8AJom3TWu377DKSA1DphYE75uJQC11/0qPqtcPuug2wBezqGfzaepr2PEccbZLa
iQ6I/pIECcxqidiX/jkoPytdGb8TUMrdj3zxx9Bzop1RRsbObXz1oQ1gewMem74TPwRAS/lWB25K
3E2j3wcOstWNcJCcJdQhL5r46M0EaVn446SeiP3JNuMcWnFru165QKbdli/UtceaB4YaH7FjmDQ6
v9fhs7ERQkVerSrz4RBMDqbFf1/Kuix00xwOKmkk/3OQ2ioqbuegHw5WXLEKAYwhMUKgElSCzIxI
E5egjqyHsh7Efex9jU0DWfU0C/NTMPqPss/xWushLIW6q3NiUntSCuJlYoXmWhS2hg9rrgdQZpfc
mguwbwz3TBiPpbvNKih/Y6lru6nGJU0yu8M+WMPj00zEfyNgKbr7pokI+1f7i6wBvO3uS9vFwpwn
+lq2yWLmKaBVoF0QMmEp2db6+lumKe3hOsJ607PggIVigiUqyN0qiLVAO2aOf6x05wHvfXyXqh4i
M6H7kBmV85BnVntAUztayGrgDPodaoqY8IQ7fW20/jDoRLooXjLtWsU0N2w61HcCEMGfKvtmUB6w
PImHwamSg2vp3iLwg59mmcxbvlnD2nqyK/YmLX6zxQBB+UVP4nTV+FXD66cIARAleHYaNiyOQ8q6
mtXusQvVBo9tIe78Wa4AROz41HVECY6mkr0FAbLNjgOozrahC5Dn/VD6TfKJil+wEJmJsEcPUi1x
Gx0xiJjQDEdkz+Bi0cLqYuehw/C3HgfCD0kb1zZt1ZCNQeDBzs514yjY9O4DwcfoqvM9QrXbnTn1
yZn0b25F9pDcIbXIY5FTwMM4i5lUQTk9IW+mYh5BkG1wXAv2yqC9oZ+QkHHIj9oBZNuGTvXdVMd9
mc8Qft8iY7ibkDjIwnFhC815mWzkcaOu5lAd1GRI68nKa4L6jQgklCGMAviw4dRvZbrgLBS8japd
nECJpEs5KnXI+TZSF9mReRLIl5Wb5mBR9UZcrMav+U3bNVKolfLqhh5JkR7WiUIXT1agLNXxFFoX
kZYRmjVDftCRUPpmlPl3S7Xid1UjfDGKXXRlNRu/a5pOBMraoC6yoL5IuR4daL9ju1VpLNS+EXfu
nEYmM2llxi2xmAIcvnh053Rc2dQnAXSWVOgHz03Lp4ncxQMi02JR1YnYDcTEbZBHUu+SNorgV2gX
WSNSlsCUuYBc2G4T+MQ8IQMzXldGry+UMrMfwbHoi3Gw/Q/RVXeoQLjBgketPQNtedVzlCdkjlR5
tMmNgidlbyQKwVEpmq567JCY0TpnzFTGtApIuGKf2J2u1Ur4+qa1ADK5uKX5M8Txxk00VT2oSYPO
FpjRRar71VkW2ey8qfnkh2tjku+g15gn2almJvQRbGTrykLMI3WJCmnNIL6kRraxFdD3I3Fg/IwL
8z4WnnEfFqK6kGAI1fWfpma+aiFM+sPoHG/tQ6KYS7sR5UaLkgBONIKdu+ty3BGJ3Rmt61JyYSRH
u1NT9z+1ZoKtP4TFj+zS9G77Q0msbmG61fjk1pPH/9TsD5xsvVXfFp/sAGxUNHAhCzUP8YSRYier
t45rFedV4jX5+V/tg9mpqxiu9koOuxVFgQnDzO9li+lmpbsaRq1b6qaXrwf/oOqBeJRF6PLR+rpQ
97IKqVyD+AuJZ2jEo8K38BHMZb4NXBd1+XmWbIOmSfa6FnsHOa5vSXxJJn9znTAPK/Qw3zSTP67k
rL42xWNdq69IkhYn2TS4aM2KJr7IScTuFaiNhLsSD8VF6zHEjRrKlUbdY4wFy8/dU39XgizYmLYR
HDAra4/aBN5Vjhic5hPrlvrUqG69r62m3/gtWsFqEe+borQMRF50/1K15Pt3nnWCSgLCFS2BlWXO
kCqkCVdgYOs9dkv3zebhEpWO+RpGWnzqiUFblr7tvhlhw61QrWNO2YX1avnIn2RuuGwLIuY1zU32
TWZoJ+LTom0cx/1d0bblGtqo+oi13l6aTRO/VlWkwZfJ4NLb44eCIMS3RsT7MjEMnm3uuI38ySev
hKILuTl7+ahzusEab/uA9dPx3bdSd9lO3nSsEuG8RKm9DsuJdvgrW22Cm2rlxvCe61ilBVhXH0sE
KuQGLpB5+lgQFhaWQ3nXlVP94If9Vzm9dHV7lVlg2XW810mUnTE2G3vPI9S8KwdxMRwnX4eo7T5b
lWaRwppHXxsb9Wh55Kn7fSR6+yeQgxfLTor3qCiqpdpo+mM+jMFGrthz9Liu6MBtvShZj/jUYBfP
1TBYhPZr0VcrFGc90TlEsWJOVMV3DY/X+G3WnjH00H23I4O/R28bJyMLzaewJwyjT5333iCURYE+
sDehSD+pQcopEkDBVKo5gl75NYouyM3uyJ2jW8ooOqJau+WYf/puFSFA5bvLWqv1XeBR7UUKLKnv
UU3GXkMMdWtuIwWJcNk7JJzQQkKyl7LXqEhqd0gtRNvPOiqe7q5gFgefabjm4a99Vp3WItqVqScr
atK7UTHzOVVteJ4jzMpC39eNPb5w1i8PgR6HaxlY9nd7NLfLQLS/20v2C//VLscrQ1njkcysnZrG
wSbztBAJeiN+CYWhbLsE/oHjx8lLryvlwdYRv5S9hZYqnDtGnkhzr+fpqKkP6XnSZidO23zKcA9T
Eemh78EU3KI/ZBv+Ttzxv6M/lMFMD7JNBojIjsbCL9AQHOoYgI49FNrO7mTgRlZi/b1yubM3uo3k
Sfneonj9Ws8AfYyAEM7moekPK9l0BVGN0lJgjp15kVf6fAXQ/25QpvQgm27tRW632/73LNmBQ/zX
VL+1/pilh9P3emrMna5p8V2XJc6qIN1nZZVQ1mWbLAJSG3Z66aFqRRLPXVOLjg0uuX/keZlLMSWC
/+HvKaiDbb2qc4/XcXIt3ydpsp0TV/5oVFTfXjkT8Q6d1UTKSphFvasB3S5SrwkR3JxfIeEV5Npy
nevs+RXMUjirzNewOxmd92BPGpl22lB/94wfZREPn1aZG0s+huwO17J1CBEI2+jI7d6FWmKhkdY4
ayXzOFlqIn+1VUF2TqV3u2Gu5lYNejlx64PsBeYgCGUK+9OoRvmr1WUfXtzbF3K681cz5ijPr+rQ
hnxt1JRXbSa1fCeGD7xRaMaXWPGyJzKH7mS75RYFERokDU8oKr07fbkaPTt/RfbdPJZ99Gu6n4EY
i6CoXww7/c/pAUEt7/ZUXKcDYTePgePpSycziMYwIn+ZeFh7EmPkLOB28Zeme/OAGr20daPcBymO
9MyNv3RG6B4w8bRo2pTJl4FT60Z1GqKl+JssPMVutvroozBn1OFlaFFnH+BD75oRiSQlGMWqDUvr
dYrsn2WKOkWVPpCazBZ7TsIgX2MR28XFNczhJJV2pR7v3MT3HTkO6x+J3t9NdYVmYZ/FPiGsdbev
0+oxhk6tbskJaP+ooh3T7ZGKeqw6tbiESU2Goe9lK8M0ISDORZZ1Hym4lP0oKoQDxzbO7jSI48vY
cbqNrMpx6tyRjTpOxNrIrwvUQ73yjJQoPGGMz4OPFSE2mjcUCCs85KO1IhppNigA3IbJnZ4HHmqv
VpsuEitp30zDVg/+4CpLOSsI9G6ZWchEy171bQTv94ahJTplKUpq5Hi37N7jbDU2fnloItVeYdYM
NyLlCQ5jQNjkMXICc8zrZQGouyEg90T8EFYSgfc/CZtsb8yYnBV7b3fR9jXPdxhlS6yP8YvbJkRm
oZX6I2uI1PPt7zFhCJiNnenJyJGhHQYzOJoW+WygIqK14pBzb9UFekUT5ma86fARrc+euzCuwQC0
JbIJ28EvnT252/alibxq5Y2p/lbr1p18ITMKdwm5kEjD8SAt1YlQg8KP7+SV3VTfFSV0cAT+1V7V
rYeAPeriGabP3aBw4BSqJU7CbvqTvOry+NeV01vKUY0IFWfArflfQ1FH76+9nZi5KnaJYTLBbZZ0
YbbzkLK6us16/kDnSo/fZGc5h4sU0WJM3fRZOr8cxfzKVik/yy70A/KVjr7FVnayBUmva1WRpxyy
AXdymOjBPSJ21gqhJkKbIrLZZZs/X2F3XyuqjrsYlcJre+XrzU7gvV3IEbcJaQRaynOGiijNfxaJ
Mt6KGwH5mV9GtstZiXDNlZcgRy47/lidFzTvolgtHzhKdC9N7p6jURAJMtdcLXtR1Mi7yJrTFN/9
bGZyjJl4cVB0R2uynE7WXC2JZ15UptsTOsFMFWjNUg88ceiaSbwkIhyXGTp5ezkXizfSkrE57eTc
QeWGPfahub2+Bw3CiC9QTZBzXZxcm85Q043s7RPfIvRx1terkOCsMxsJRdGXr74d7yZVdz5sU7FX
KcEPJA+F5TP5g/fXdqgcq4Tz/Ekd8vbRNfWvsl2uE40NdE6vne7tnNxr0U7ux9CZGnfbtr4Lo8S7
2LplY4bQYAi22bBqBmQlKzfs78nC7O+VOT2/5jE5qR4hZ7/bLd0KVzguLXZojJAdgaUhVpFDYJmb
glJVPMCu412OWMlRtmVmEi+4Y1qrat/GBH9r7OLXlaeP+wTH5nNfTA9t3aMT1GILHJ1GPNsOyYgo
BJz6uXZtCqGZ1DBnZS0mXw0t87Q/yurox/k6SMNx4yfEILpdZ29ymbmjhn63KOdLxOM3Zi3CeQtD
Wzdn92jE9ZarNg4JwpnjcLUp2WbedMhLR3lvuaVaGTtyjtY7IKN8u4iIfG8zb4eIWvHCQ6I5Qoid
FXZphxH0bUT1RtWerD4vwtV4H1aVdozYZh8N8mTcDgu5zk17YfVD/ZgrubcLx3jYDnE6Pmf68A3T
v/0ttrmPwEv4UpRmunGJvDhgTI/uQeCCk7ET+5ubP9rq0H22OhK/jm+nF08jKKBpiHpVnMw8wkZo
Fj77Hm5zVGXhJ715nA0zhPvPjX9cerLV6Kpsg38Y5uPc31pasvTmoybb+yWCBP4J+7XprnpHjVaR
ojirLmudCwreHWeemF9LWFY7YRgO8TV0BFZDwKiwBpIUuVnvZCMeLffabYUhySaeLRYDpK5Vp8E7
UQ17ekQ719rOwlJIeI1txt14+IG4S41MQzw9Bh4HTiArF1mTE/AeqqthPqqqStllbGy7ZZU29b0c
4vMM20+FZi8MaMCP1lwEOvCNIE+8vawaIkgvoboj4/melHvM+vWrBX0hWJA4/6jylt/DIEmQS4qK
J5XclbWaITFQQmXZO/4U7jktBZfUi9BDwvbyFAaVsuCH336IKv21oo4P5J8VG7hZW2/K1TVSofrO
1BKYFnXtvwFi/lHbRn0fkknw/zg7ryW5jbRN38qEjhex8OaPnT0o70375gmCFFvw3uPq90EWR0W2
JqSI1UEqHVDsQgHI/L7XYPfovIjuQZMJrySjs7anWbmlrQ01UJ7YbY+YvqsG15r+Fn3cRQ+We4cz
VfWWJgvx/yA+dL2pseWFTmdlOVzsuP+5ibulNCMJZc6TYcRoqdPLQyhBOF0NU7WdrIBEUSmFhXcI
c3IEUOqZ6LzP0VDuXRt5Is+DlLCjcAZW1GGT1iSqQu7JmQFG83mwYpU80AgP2Mu8ZVfW9kttTr+g
7BVjMefkdcEftxagzU3Fam/h6032OhRJzaPVTbeeKwUL23XblVSAu1YdnLqSljeV27VrfrLZW4ro
STMFbnUoMIsoj7D/RIj2anhWNMPabPzagCTlDZbEVzWKYtKnHmzFP6UaRU0ILt5UGW8jbLRZ5bqr
+7w27JJ5YCbaPMWbr2vS7jJMRVzYxNG9/KNJ0AARLdGveQEs0mJgLYr+8m2aE5fFOTfexKx7dz2w
wDHULNncB4qcAFZoAWAUZxOfV8mtAt5VS6OveectdR4Np7jq8blqhuAhBcszV01QqEMJgKHzs+KL
otQvmF4GH6lGNlRteOo6yjptlJwtoO7tVLvCVEoyPrTB196cYvCJ4CT9k9pF/SLNC/3SIgGzUquw
OjYqjBK10ydCZ9cu7nj51u+buZ07UPRImJFh6fzqKIYr+KA4w3QfFRvEdUE4GCmeLMImLruOjYmP
jgKMK5VyYu+RivkbRpNc7aDeNeDx3mDmiekhcZZt1Fb+vKy6bMNTCtnFKtQX/vTAFUVdh7l/a0dG
mZYzrYJJ/tu//vf//T+/9//jfWQXQilelv4rbZJLFqR19e/fTPu3f+W37u33f/+mWwqrTfLDjiY7
qmUousz4718fAkCH//5N+V82K+POxdH2W6ywuulTnk+iMGykFVWp2npZ2R8lQ9O7hZIp/VHJwlPl
pPX2Plf0y7n6zA+V2L3tcl2MQoZ41ltPeKLEGxLI8UI0G8VQ9yXmO3zljIJMcM+aGx5Eq6tc6wna
O3ij26jGyhLJy7MYyNQealWRoWtmI9Slt/GyqbX8zbMDe2uPcb0QTbQG03lpJ+Gh1/P8rVmAqE7e
Io1kUDwq8VxMkqO2XTiEQrd6Gjyndnoa6768KLqbbxwva2eKlkEfF51pYUNX892DaBFSLS+lIg3L
tHKihV0k5SWz2q9/f13E9/75utjIfNq2rqi2Zam/XpchRw2F0Gz9rUY5B0xdds2Hsr12UvYsTOG1
FExROhrmSljMh638Imaxm4jZTLMj8JT0I584M6IwWqXB0yf6AJpXXrnk9IdRs/tzljFFSv7skj1T
R5VXbua5F/YvMboVo0u6QLTABkNGCV78Om4e0tGGzMscT3KrU2joREUu//BlaJ9/pJqmyoruKLKm
K/Dw9F+/jL50k9rrLONr77pLbVLDVqaC/VPD4o2agUSRC8LgP52F3fuLkiTHT31idkOOfx9lkg5n
fDpatEXN7xEHlseEEOKoIRBVNytiGDELATM6lX4c34q2T0NUz0UH5FhZRk6BWaLtlQ7YcK/di2NE
/20KieBnVEk8dBEqRZ5lRgorQcOu9O+/J9P6/D2xV7NV1dFsRVVsTZ5u9p9uZhVw6Niypf42llW9
UvQmWemsobeEe+PnsMvOth7KX1M7IRHVGAFxfz88+04szcRAbuvPaBC7j9Cyw12bOMMy6gvsCMv6
EZNWrD3H2H9o6zDe3pr+lGIReRaZwPW6kUIMevy4gav654jIxQzo3kcdlm73zIyoqZJmHe/HiqPu
J/1pMseLzxUz7v1uD+wXiUWeC0Be9nk6eHsLRn52a/sadp98W2sxak5T7vMQEvRvRzjiiPtwHCap
Oe801fuHp62qTo/TX29rR7MUzVCtKchga+avV6iSlQrdd0jwrRQUqy6RHVyW0EmyHYinhGPYv2Mh
dwrdsj3ktYOYQZvVb1alBnstbtNrYITpVYlxSY07R9+KvlvRwpDx/Bzj1mme6EMEOCHG0zZr0WwG
M712uWoTbI7r1SA+3HVzkt9Z0S6hzrjIhUDnjnQtrWd9KaFfrUVUC5gHhJLtah5ZSn5w4hy+0E/V
GmHmTTi6F1euYAWEKd94FxsbnmHmYeyLaN13WnDOwlhdAq/triFPjgWGldGT1xLKI5rhvkh5BxWv
H6X32Pe/STIgfUm1D+hyj09w1h5KXak3IwAywsFNdFGJCV9EDU7Rd06AguWfXVmNGGRYJy+6M/b2
7YC88GCwJuBn78fXLfRLl3BlIPHUyiZhvNHMiugr4ScI3BZiVJ5cWHPd6PBDVg3o0VMtskYk7UW1
GgPn1imaAPL1Xf2HEZEj9+Zg2qMpbBovndoH6i0KL9ro9iBtSQJHKH1LlTZXbB+rBMQGDlgFuIdY
qts9cXmEAmiJftMr2Wv8VAX8vUS1ftzd52QOi9uFaJuq+S3UvWrtZvU2kHP/2ZebfGGQozhko26f
HPLoc21KCjTJZLwZG2+8irMVWVZ9i3E5eWS3Ia9bmsONziAYDL3rYWVoQ3mdCA9D6xCProBliUFA
yuG5K9FFMNwxn+tlMswGOcQmbJqs1Q7p6DT4YmlWfRidTj6BKv1RpClGPcQErDX7+VGdVW0in0IF
+CLy9isxz1Q+5KH2z1Yd2cchxcK+d03/i9PBjokGg21ZWxkXq0fvzsm04EvZZhC0XDsGR6RLj6Tj
Tnrrus/ErtqZE+7IpQ0nyS1lb9nisUn6F7idU+RnTYJfgXQvFuPJWOxFXwrmFU1QJT8T0XnucjQ2
Snbq3pKtMAEwMLCbATFnb5kbLG6lFPyIOE4cImqOH0I4ivlr7ucabYTzY26WZezHfLEhGLylPrr+
wmJbsVRqlRUO6von2CDZ3nBL81xZqnkeQlCHf//mEMuJX55Lmmlpjm2YtqOoui2WiT+9OYwixN1Y
MvOvkh6mc4uo0DorcrxFATK9twYKdujavWS23eyJJ6NfMPXbIUqJcm6M53iU3Itn6N+73BzwqWX/
wnKi2hlqL7+GRT4T/b6rBRuioflKNJUUi1AQHE9E7bSD7vfl7bSFkrMgr+XkNBp+sopVpcN4IQ5W
qu3ZPFMi67VD3iiaQLGf+hNvrudN9sUbInvZYQy0jdFdfA3k7AYwDtEqvfXjZt68xsSTBdD30/yU
fgEYdgIpRMdhH5R29jjlJRd5Gugr0ZSGOjvDSt1ExLtyhJdVGN5+m23DJssfMcgmw1JXH8MgKcu/
v1r2X97zvEMsEmEG18tQSWP8+hYpi0qzyWL6X1u/wQlayV5Hs3KvYVJYpy4ru1ltNN173/jgBzzH
hK1sK89o5KywxO7ejbaP13ajBmtDT+pl5YN00cCX7JWpsMms7UVT1ESfb6jkaixrF6pReuE9jqSL
zIKrwAv5glggdrE9N01XyPnBVYbukGOW8VwPxtkvw/GMKFH27KjGB/mO+iha/hSkrHO/2otm0gTd
vHSsbltORxYeWzVv1Ky1GA3AjS+1pKxWnqMmO3+CnIGBbA7txCcyJ+34Zl5XXXUAtQfUUvSIsfus
olOREbfZLaQVSlNN2H3nYWZO+b1ENcmPEdt84Pmcb6KwIpgSy4QwIpmpWtROU6va21gu5MzKGayj
hZTbODP0zDpmpX4qM2PYFtOAGBX9Sm1a/3DhxYX9+TZViVEaimxpss5mTfm8wOuQom47x9O+DKpX
LjIzB1FrSN2tiPjBo0bivGRlaK7YUoRHs7DNazIivGshsCha5MHjs9HqwEHZAk+mUu0yc/Vgllbg
aoYOKTNRoBWVnmyLZ5pX6xKLLDzHbVSnCLX0p5al3vbvf9T650W+amgyP2dNhgmraZryaWkU6UZh
a0qofLEU97WC1Hysecr8VPQd6nzwHRUWKKM1SxCXPoIa6RZ66jqXIlGzVcT2HiMlNEiNNHN3hR2Y
OxkIzaaNx/Hotn25yrFmvkA/62adNtT7PFCIxet5tQF0DUooHpe2m7hbHfzeTtRyOWxvtfTP2n8b
vffd55FYi/7hUf2Xm181HFO1Fd3WDGfavH/aDLEwGdmzD+WXMEk+0vRMeN499mFonoIJyyPwOYaa
RAsUj4zFvU/UosZWDwoGW7cDCjRqZqIajhOIWCuGlTiBmCwGULKZoh/ufiBpPfyAercoDBT+4KO1
YnfHG/xbVOW+mqSahnjZEQMFdwBhVAXQAzdMrc6W0DGZ+qygUY63KaC+bk1tmuKhuTJDa3ZABrZK
L2WVPKm2oe+E2RBOxOnFk416YyCiCwGLpijE3CyJbnMT8P72zCj8ZuNJ/aoL1Qq6r90os6YvjiDl
7S++HGNPbwPGI0JisYk13vTac76YnVXPYS6gLqJ09qWMEWNVpwHEhggHZ356BlnjnfPRRXRzGkgH
1i61O2AGbvjZsenlKTzEQDjmrzqAyL+/TSxxH/zyDDDZDTsAWy3LBoSofY4MIFkZK2jZfjF7kONF
FRD8wl1gGUqd9VLobrcwqsrc+FNT6sBwy1qdHsUor27ce4kKD7lhPKUsnUT3YIKd4uX2DTVQ66VR
wH/YmS7PxaCjYsPicqtQTKN2dvW77gl3ouJkFIZ1NLxAnTcoK38D5g6jShvexioH9YdryjYNvPyp
lMpXMaGV0mpmNkN9Re4x2vveGC9jt5e+1sFMTMjU1Fnkjj/s3Tx18Il3efVPp8ZP74n1rfnEKkbb
9JqEG5kgXtqJSdjP67i+yBytZSWsrsNUQP/50VemenkVBVIpP/eJyfdjpbCtbvPufWqIUhJril/O
9fn8hQUqiG2SSvb80bLkkw8n5D3WsBeKij7dZpVkvXUhuvGV9d7WcOjiVi5Ra3LNd6vADhzKIgvT
FlwJBiOInNEPvRJqQpWalzbt0byOoYY6TrFtcxJ/CIXE3Caah100dP8Q+lw5dHsWHp3/4mT1o62C
fVGz6sWBIHAc9dp+BM6mLTsHcbcAN+LHwStbbO7wPQqRrpizcAFh3jdnMbcfcfCKS8mFtcpcTyEZ
VmZjPBOjtyKr57oTjteYDdHB6BVtrf4plCL0Tj7Jn9xFVjDSHtdYMV/uXeKAT8d/an46XQOjb1EY
qjkTxwqZlfv5EizHdnKOpVFm1cu2y7SLkSs1CQ4+Vptq/dQnRuXcUW+1v5+XoRm+cmRybO6EcTcF
3F1Uvcx91hpTvw0Qm1YOjkDIi1F7mi1qee8BTmFeRI5o1CBBjKzFQFHL4VUUmVsjZuAGyXxC09z6
akMft1Y6wYWnec1UyHUDvyVSz/dDQ6uRTurYzLtwUJeoGz3rtjNcLXms5krXVmvRFEWfKs2sa+1k
29b5eBV9SgI8WIL0JFqiPx+cbWbnw/He1Rgh+vlNeEk1o74Y6YerkCquYhyNCLUOb9h6fZBv9C6O
pOgPveKf6sHq34zC1EDToN6EQ8rPs7qIJw3UytOQ5ODyYQzOw0FLinnsnVykzR4cWeofKy9kF03K
cO21Y/+oFoN2mPiHttOmBfFJPKDAuYAUZG6bSTZkFF5OSvSo8o5Al3+4sg3MH+U+aZam0qlL0Ryc
KLimQzEXrduMoVDmuqdKaxjLhM489sgIe1nlSnN1bR+oLau/Lt1gE2ltDN3sqq0YEEXcAftcOYY2
aVl15UzMFiO1JR/9OC8eFAfx7KI2umNk2crJbQAkASItvsUIkCXIOr5mSZKuU/QUN4ac5c9Yf13F
hC+B6lk736qkADU6eB1OrR972+6JqQz9GQpscoIMMLvNUFjJ7KVIP9xniGlenuKiZtYgk3XZZrFc
2uyOfazJe6OfvrO43CseIvJ+QjM2a3ebpp22RK2hQFmTQIXVu8k3DQGdIjL77xgVASzGUvOhHT3k
cZLa3LihPPDsta3blJh7zjGt302SyoJdcUnTZNjyPk5QrHhtYHph0tcjAFhlPwpnat778kTnMk5E
yxUIN2fmk8t9w6pvLpQDktJCd08GiBkWmXX2ZV7LQjFgHOIHKynUQ97xLY95h+Izqo1fRnuiLClS
f0pkQlU6ZiKqziYV5Pc8r5XiC7wh0Ee+k8GlaZp3qLlmnBZfRkD+a7ca87Voxuou713gYf1QbMZB
r1biYCQh5xk8t9dOkpB3cqNhKfr9KtjUoWI856Pc7uJONxbiNEppneSYMJibdkgHNOhOxoapwxZ0
+3cdG+NZYQmDonG4YuT+RfQrHtht8N3C2KB/i/q9P01Xa0neOBj2LcWsXDbOemWS8gUBfdTMXEKx
s+vfB6NGAqCYRfitzbvINp5NubFmfV2Nb7VXRbg9BcNXI/TgrZfqdy1MN6RJPECY0h8Z3MiQQMW5
YMfuz0hzr7osKT8iL7lKfatdRy9IYUwb/SUFNj+HMOGuokidtH2lxt0Map2x1uv9aumG8axEP/Hs
GFLqzjQFhmDJV7qKUg+V/PBd9WWHHVZRSke3U6Rjb6EDFqnFXnTd+0VN7tyOP4oF56cB3dek5ciH
rcvexKFrjM52HCDbo0vu85BqMYhmR7o4We5d2eHYMw0KB5lY+kyvS0+G6l9JUR5CWev2Wq/oZ7n2
jDN+IdEky7YUXaJIANpg09I3O1KRRGYblgyOrPjPXQTgFuhLBIqkCZ5R6rDOUVvwvGLQdKP+0dM+
siIInnNZLRf2kOB55PT1sZ+KXA2Rd0jLjeym9VG2LYqpJgbFtELX8rkBiW8p+j7NK+Ie20vzCdKO
cihVedx3TlJgoFOFT2NPGtwDfPER4JtR6+5Ha/jBzEV6inyrNy49EGO3gyDwFaswVmYGUOm9pSIc
q8BIaxGs1NqNpNeXWxNVef0wVKjDzKylDt/uuU4xMChzbpPQSMrnAqLgEmMwf217ZvGcashZ8lS3
cIuhqRY6RqJ2hujl1Awsy9r4aEnPRdNu2mLHAjO8NVFUdPbwEsEfTZOT0ZSPau59j9UnNxrlr0DB
fw+BaL73VeHOvNKwnuJSrRaZbfpX2H/ZKux6+dhLRU/wepB38cBFis0ciRX8fOamrDYXGLbRRua/
rakM9QlSnrHwykFhk91+VxS/+4NbQyrj+I+Qld0swhrhpQgGf1nmQIT/sFM1WURmzB0gh6Zz6Ap1
g80iN0Cumy9pkWq73B2Gy9Qq6pxvyvPTZ1DA8UxStBERUzl5tjwdSLQnlTsx6igpmovo2gOJZ1Rt
+w6VO2dciSZZ43DdEdBbjkOaPKNHpc+SRooOTlb5Z1VV/uBh2L4GfpJtcng2SxNhylcvcxTCfrmM
KgujTusfVL/OHuqUJ4jhIWwzdVuFXu5hM4sHavtao3e7zPtKXotRfiyo3MdlDD6LU3bdogSm9KIj
o3e2Ov2nz4UUmCzFMVrTr1TsGU25rR5wHMuAJhdYdkVmcPKQWlzYZVK9Ipf+CjOJ32fYzcl4O9/s
0QWoNR1kwD1Z976BVfh0kG+D1NKwNX4d/fh2kGl3c7vM7W9elyBQYYXVgzd9UqL6P38SILjqNS29
V1PypI+kaH/6JFi9m1EyZzxLDVCiUzJepOhFUSb16h82eVOsIxPJ+ltWnvSQqssmgTMASH+N8zSp
m/uSDJ/CCn0N4c8m2qtlqr4kavg+emF1RvhPffG1CARrVT71BUufbnAXYhJcbGyNgVrfDvHrYRfq
oIpEcwJMrlGh07hwnMLupW6BNom2EWdEIhKURR6RfJpGhyA8R1jQXBR25TuiP8Epy9x048f4LLBa
Q/jDGIOD58TZzA/ZUmZBD7s06XHGis0nMcPrX9F8ax/FuI/tCJ9dn0QrUHgVJYMc7wbHf7Erx0Qw
RWM3Lptrt9SkCUhoH+CWQg+ampWUhpsoCkPwRjSduOiR13SsjWjqtQkzNK/VvW8PjzyIX1TbTB+s
qE0fIrYcIDGJ0Lc598LcC7l5gzTZi1EQI83x76+gov0lnEWGz3Fkg1iNCUvI+BTOCi2eJkVld+zw
+mFNgHDUyEqOPBjdBHGsGjPt8NgYsr43y5QfFX8rRDuXBKo5GBc3/abKdviQl1n0UGBivbUjoyY9
FkIsd9ASlREmXldyIC2HLG/f5JYXc5No9dmrbNRW8nEbS2r7NrbduBkNYJw+4nBvhYbyxkgI7GTq
OOSAD78dDj2k3toVt043nS1vYMg6tlkcO+xJXgbg2eLwKh+zXU52GAMuphUTnCLVk/KQgD59tX98
puNU0d52Un0uZnkGgn4KT8e9OAeaSCTrhoVkh/28JxJ4UVGYu+SYL3g83k73LscAE6P1iLaJPlG4
WPGsdNR1b4ci56wc9MJ8lTHRPXj4K24yLUHvbard+/5b7e/nWaHz43zOn7VPZ4kCx1gDnSaHKF+r
VnLXoR8EczZo47RLG69K4scro2mzxb3PU5px0TaKthSHiYFWV4u5nljt+t5nGTaCaYNarIxu/A4O
HHnMSjG48zx5a2iEsUajQ6m6CuwH9N+zuZn6zbvaGk/gx3xAONKSDghMsl2ctKKtvvz97/sviWxN
Y48AIMOEhU7YVoz/lDBKTTY5gVr77wjVBNHOtDaVlj5B8Ko/TLtZG0OlfJE925j7qqWdCzT1t6U/
mmvI/tkhQ/1+lgEcnIGw4kc+FRKy/gszAgkqmmpVn/7+n6x9zppolmNYGsFNU7N1Wzc+Bc5MRfYC
n6zUl3HoF6EzVkAfKPQ4x/PZsuoN2+Ro1snujz65t7D4xs9upiZ6+26l1R5qH3BzBYoVaQTIU0nS
vXvg9WeJkcjHDs2wR2lIzmYid+95yQVSsZTZJP4C2nTupepxqEtCm72Ov3YW85I3HVvBNpERUROF
mEgGvsO3Ksj+AYKg2Z8eTPzhtmUiomxaOngaECq/Jo9g0YMwSCf7AZMHphEX2YH8jDcZeVO1piJR
vezg5nDOCWBvP/WLpphxnyv6YiNDqzXW8fqbTvJp3r15PzZzIO7AagrRhNW7Bw1x871vOO8QB4iB
VPqAQYPlGStbrxidpsAEnfcw5y+iC7RWv+VJOqJNy6A4SSdj41TZgb5Bjq5/kPOiQ0zjYoQZp5Ra
fpte2aDaMh0gTiK5hT8DFuDtxUlgmA2nCOs4MWhUTbR0804XiZJ9TIyQJSfp+WgqRK2u9GyGzHKz
/DSQJmi1z8REk1tlrioIyZZNbiGnF41zXwvaJys2hxNfyEOTtKh7TUXRv8OYih5v4yahURbJ1UGM
Ac5Q07Q+ZDGeN2ZRo+Xq+QqeDZp8iJXiR030iSKaRj9NFn1itKp1a2t4qNN0o5fvZach+DDEV0PJ
c+Li/ynE4GgjeL/K9CHfi/Z9WA6RNCZp0JOkdfDblUZppU1vXmUqZHAZodIkJ3t6DwMPiY5jnZ67
22sYkPwKs9aG/Ps0Orn5IMGZkkkELSBO0haJfDWalRgTs4JkLLeorg4sVKZ3+X/7VKUdtoGr//jU
MOnlud0bQBGScURBF4PGGMm99wokC6y03DlD3LTPotmpg/SudkTxNQQYDm2vpuckrb/iL6ydUJXX
T6Jmujo7QFwyzCLX2SaOgEvEQMg+HxuJqliK5r0QR5Tout67ZJIPs0aJkEmpO+kIwAUxNjW1V75s
SkfRdy980/PnXh7EO6LH0R4NLxwAp5ooKskdspmokrWKV2ijnsPGjw+hl6KAZefp0uYyLMowL5cJ
MhuoSqAHTZCrh/jW/OEVGfoZXZs+VjVx625Q5eWtWTXN1cE2SNV0N5sbaUnopchb/OiY7Dtdc0rD
8UDwJz565PCQPTXsmVvr2mvfq+ayMapxLZoZ5oAzfRyic+FX3kvJikVxYv01HocWwvIvR5ntJYEk
w3KzDokLqNU37ubdAGjt1TWzcp11bH+yzM9RtAwexASU3oaZ5bvmpQ+cdm/kGRLCvZN/Aw06ncDO
JXuRAgjaIyykXppBH2diAAjUlUhJ/dy6Xo66DIKyUQp6PbDVnZhgFGhSSwRdWhs/1XweJa7ePnUO
m1YXjTZ2zuVqIuF87RcIJwIeiiCwsWTWNm6g6i96BeRoGg7tCDS3yX4l6UpzaftGv5vAxfC+kJ6T
fGlfCMW5Xl6kFuJZgpjh5dHWr/IEXq5T7/vM+0HYUPv2O/mE/IoH2nAqi4L0FBDM90ofl0pQS2f0
FoaHwSGulIMh3USp2j+oqCxeG/0gxkRPqVg5qBvfnIsmsYurruvmDk9Ff1sFmraKZCV7G9JqJb4L
s2/auV+P1SmJC1J4g2Hcvl6EmBdpmqXvisZNjSuPvO39vng0MHwSR6ZKhARabsBJqADgSLrnLJ1+
8L/A1bhdCNVFZK+z0ejU8Oo4y3GRzs0SYQSpRfIy1dE2rQp4cpBbC+dWGUQFJ6Fb5c+hQf7/mfPX
j+A8adWU07Lg/hGSpxr/8FpW//pWxplKkwFv6pZmOp/fyobh1U5iNv2zro/2OYqbM/YdxbvS4I/Z
otGyFs0U2Q6zVAmYlWQG511DCHLoFm7mSW3E12Pl8xRBPEiCUggk/j81SbccVhlDuBa122hh/kNq
EpmSX7et08qKtKRpYZALhEj7vOdh71AVORjqJ73sEN5EdVcuNWVj6Yhxitq9z/kvfWKek51xDZ0N
UkJWCs2YeBsQnN61Y0HkMXbcXavm2yEdQ22t9K61GhrePLc27jQr9IzRROnj97ap44VWldaucBAU
NarH0JJiVmVmug38IOHxTDMc2u+4LyoXqEwapL/gu5hFBCBZajZOZqJZuk8WkJbXHLjgqq3s0jzF
fVqgNRfkr2rD+qPya/wfp2aQZwtPc8snLxn1K/cfa74JoDNYOC9lDo6bPjs9O3LjtY+S07kjy3uw
3H4lWkPUOGdRKxtbRmUMP73IQn56JjolM3lHQcvd3ieL44lSreTp0NtccWzc8DYWnW2P63jgabBk
NcVde4FcsFbp8ldCwBZIgDzeib8kdJwHMpc6wdugfW7rlAgvf5GJX8EcTnmP4lZqGe95Enz1wzH5
PRjDd73MdJb9vcsP1AbZiDnk0zQh4D3xHBgFj7rOAWw9LZduVbGGUoeIK6sMTTXXNf4R94VVqTS5
O78vpVAoxXMBdtx6bPRkZQdjsWU9bj+RJr5qWqB9zQ03QjHR006a5ucnr6h4CU0DjT+ecm6sZ0dO
va0VlO2q6HjgVOHvYpzUs78cYyzp9VqevBncbqmx/D/FMeuKTnHyr6oTvsLyapH1U40diVxpIfr5
1uch9sBvk5bqumusam3ljvTmI14jJsT4Ry3VTit36KuHT2lAgGY6oezp5dweRvsIe1g7V3lLSmYa
aFwSvihZSVfVrdz9mCTFwkwM5xJ2MFzQJX2pyqxCviz3ng32BrmnDK+tZeWHodTRTxrS4RWaR7Cq
Ay0Fkc9okCOsKmH9dBKjJZwnS09fUVnqTyW2CWxJmBUF47gePAkxpCYYX+uwieYy9jd7cZDleMsG
6bYnqeqki5XiJCs+GN7L1nL8diEOwnQxXtSubW6RNKuOZYg2yziMADuqadcUhNrzvYlP1I9mkbvl
ntDSz00xGpSEHMSx9eSuFBQeId2E3KOjk/g3fHcXeK3xo8qrr538qQt3p0DjlpZ/GRNHSK6x1CJT
BhOyjVLXNd6KviqR7EBwDgAmIfuIBE2rmts4m6Tp3FzGV8oK9/ngGo/RaD/c+mPHJOoGQtaue/fK
avpD9FcsSeZJhSAApKX4ktR5PfMnqIk0YNeS+LZ+NseiO4H/xA8iRFa3bQDWIM67tNLa2t2q+NVY
O9F2Scassd1EI4eXLGI4+jEdkLGsCqx6bn1FYR4DeZR2P4Frpj5PuQ5AtV0eFixfQbm1YfCt7LwH
K3SDj7Yr1jgVZ/4sT74lGISHs7w5szM2/FkWhShaeONHNbhns7S7b7jvfB/LTHlXR71HFQyBu56w
9wyVeGR2XctCUjBmBwGBzeE9JLvoabY2Qa6pKiaJWqXVeEXZdjIXfVIJZWYm+ZwjEecggxCs0e/8
Qwzfj7M7rMd8f8yWrZv0MweZc7imkbeUzEI/sceVYbMqyjZ1wuYIbguZOMOvHiWftbI9lu0XlOLO
rgdacSYtvLRtb+ymYCI1CWaTYDF5XqLs/RHkz8R/qgesKUwtyWZt2VsA0CgI9kF/yPGsc7yQhQhk
VpXTX1BQa3eeX70pkz+bKJyJSdx4yRGDeGkvusRU00cU0kXndHGfa/k4DyqGv4nD0lio6uCd1aQe
ca8yB5zpYv1Yh3K7VJ0sfcIXS4V7q3nftB4ITMUaetZG+SJC1uf3rI8mBT5Ff3YCxA/FmUpP+XGm
bDJo1UxJXZtSaRwJbWVG4B/tqRGzDD0m3Rgj7NYVwaqypMkXgREr1kN4iPhzzkFCEjUJ6w2V5NBP
tVApkoOXl/Umw4HwVvP/7Ps0mnlVt/x/3J1Zb9xYlq3/SiPfqcvDmcCtfiAZc4TmwfYLYcsy53nm
r78fQ84qW5nlzG4D3cY1CkIpLUsKxuHhPnuv9S0ZKz/qAHlv0xvFVbL839CQ5b2k8+H86fmDrlq5
sXr9IsiGukLQBl9qJYZwC1FG1z3ozdRS0yckP8re0rrGUwyszvAyIIOFdAewq2XXVqqSw7r8BTy0
0hvsztpXQWg/1mnnpoY2kpGC9D8f+ml9/hTd144kOf2ebJ+YcTEGsBT6dkeeK5ea6ruIGv8Doe2R
mxULoExS63WeRvkRLC9aZrC7m2oO+hthz5MbhrjX5ZThg7p0mIKl19QOkbaz8vrpX//p/P+satC8
aEkzlAn8EUlmHUkktzj045uDNKe7yvLp+b+dP8wllYuD55CISAs4H8Sgm5oGmCuYhwHSLUEpnD+f
l8/HJkDFdP6cp/jvnwdZ/aTJOcyvXH4nox/Oajn/wgERaGeuc15CaBAmmnGLVthYh1YZHQwzC06d
tQycpLZ+6Ioc+gVk35fuU5omxZdcQUNa14r1ILHtIRxI21Mw1Mq+MLNkk1ZddcupE8RHVqWfegI3
z/9K9OVVMLFbIdzzXbbWzY87f4r+ve2GKaFmm4pMW9jWdVVmOX3f86JHGfaWXPrPerHgD2Y1OGT0
+vB2fFGaoPmUJfPqnd6BuY4JWHeT6DQpROOJBluxpIvoqlPGHUlIRP5VvkpFVlxGcd3sOttTzTLa
ZGUR3ob5bZq0V4UaaHtZ0tU93QICXYoydaO+QwGjYTbg1KR5hTxB/RpTma2Db4eDFsbnunsSmqR5
7QS/jb5du8FWQTtZrbGKtCGxFmJvLOIbU8YVBFD6nSKAa+Xqu/gF5ax6PRcPhNHZKH0gGCvMN0mO
svKjLHyxyeruQbJngooCBph47fUt09TMxVgpHcz4jqYHVG9laK70iSQuv8dmE0GRPkiyycgdQqqT
k9O6zlCmeoNPPpUVpq6vi2KNhUteD36qrmf9udOUfNfTalmZ9MddHZDpmg746Jp1Se2tdzt/jtIt
Xly0MjO6oUQvHBC9GDrJUJMifuWmYMaT6DCcs8oZ5Wi+G4BGxxLpjVPIMx97L0wRJTFX6JikFcK7
cj2pluIk4cDoPmkrTwbIRvIDLBlpUD4mBci+3sirVR74uSNJVeZlgVLexqgBkRQoJyDWyqnF45SI
qCORIXQh3Ix7BMf2gQRDwOcNBilmhuFdgmnSTUeFliO5bogQq3oHh8+Dh8kwP253Mxx7YA2lY4x0
DOK5e87kSj0in/kUhOrGDKmZjKqIc8fvp2pPNzxog+yYqdrjGBvqPmhl00t08L1ULYEbC7slO9Jo
mLHcc6rLjpj5s2PFJj2FQF87HBl17Jd3oVbe63qb7fWIUbWvHWhfX4HFMt6x9+5Ci3B3csetMD8V
qhE/1VK6EeYwEGoVNW7BOPJGQ0zX15qThibqhzIkAI4EPZyysdP3fXvqjP2MDGK10DzXhPqeutSa
T2GBQEUymYpjzTqWPimzMo6stTlq+r6s4sci84eTP9GUTWBmWKL2t92k3FicRx22ZGsHthQotDLe
ibjuLs8fFBNy4ljlRPCFNaKrSlYP6tQglVPNY8k09mpAieJNRgi+3ySGFrGtO/iz08qnoLL0R+yH
jhWGh4ou9l7KpHE32f37DP/4SVNGtNEqb6OKwNVVVIKFOdEjbkQ/6fU1gAR/tpTNSCXrZYrpRpL6
LA/VSokUHi/TOJ7kPLtu8eSRTo++FpM8eIxJbb0k7whCz8IVDQt7kwZm4QFR9owx+Ggoav8X25r4
/rjNrqYL3dSxe9I1IALmrRIYEllu2rWdf0Z2pDwVE3oqsmPMXsKQ05oShy5MyzCkVqUfY63v9fIL
uRnmJuSJRk5KQnx6kuwTpuxd1E+4hrm3/2Ln/X6Qza9oanQDkCsLhUmEqb1xqghZSeusKuOXkWQo
kN5kDg5ycVOloiCzdhq2ikmKSkkfyC05O65T0TjqgNLqjBEuZ6gc8QRUXE3XqjCaNQMXji1Rm90U
cm6v5DlU1vOy1+bJELm2kaorLdPJACrCp3aS/+qKf9+lOV9xhNdCR36PKeQP9k16mXaR4Gz7nAE0
28NcNA4odjxy5GNCmVJ4WIS1+E6O39WhXeuTfJ4Saa5YOA91y/3xxbXFd+2W829DLjuIXNsWDJvf
evdHRP5Kz4by2eYUAvekqwnwLl56K1xMS1PrzZqdOEYMqcUarS+qlDx3bTseu8Ged4VmbSrZ5MxC
23BLbTjufSlEcNZG5lqEFVz5GZpk14fv0IDJl80cXiaNKRB39NEp65R005HEoa/O7Q+iKp+kIvId
pYzvo6664ylmr4JyyEg0S/VNLatPUUrQY6xBbdOMBGrcMmCIO7vjcgEh6ipDXomg32VZo7ihLvfu
FIiarC4TG9HyaW0Y6aoZzEOA9Yvch8zJRtIgAXV+sdso3OhR+17JZ9CKZXFbWJq9VwKxHyLpDjZY
/Jhw1zrCsj9lBbBAderkA7ocbZsHPEAKKY03uq/UB+6UetE1d90XfdKu2A9wwdXpahrgx9Z+0h0V
uW3R1NqENsjloa269pRmxDEbQdG58IoTJ5GtiD6RuCY8QWJ+E5FU2kzzlx+//+IPVQ0rkRGezp2v
KaZpvalqCkipZqUH+efclMfrvrZL4rV8bXCZ69w1ocKxqKSrriyrs6yK8EZnL/jx76D8YQ0us180
KixElZHq2zmwkMxmxM46fxZF+kyqW3tEvZFCl8sCVKqQYs7DaSWpTwg9NpzAgl04iXFFSxv581BY
60hXPhFM0J1GwnJBw0zSIYUpEE+57A1DrxzngVjQH//a4k2r8rwxETOg2ZYi7GUW+kaeIRKOk+ia
zM9RzeKTE/2j3Q2KR/AgkBA/qHa5aSCRmdtHPVzRvN8BT1c/FNa449GNWZUcQoqQcriU+tKh+2rv
G3NKndgim4AwA1fwnlEKW+I+qoS8msJiCx9K9tomOAgL9oRPhKHRZB75KcZuDObGo3NqbQaLXt/Q
pnBWMvJCCWdaMN/pky+N+docoDGHzKoPFfLRVeX7kFiCqD+axsQ8hzEyVlwiSbsibpwqnj7lGrPN
EEekm0hTt5qC0VwXuhVyDi16r4n7CjfkZK+DTl2HhV7fqEOb4Z1PzdVIbtfa17SYisSmWtWDge7e
3OJ3Uyuv1oLW9UsKVzv+iDEwbKpPkqbpJ3Z23ZMk4nuFRXBohU3dMeNoohfm32OVs3eDFn3pqPtw
LZ1r53HageAtt2XToiam67KhYhB7GLoR0OBnWSXWF0CIWvfkahVtuDOWWZvGcZv0y4iEyVDbNUMw
rgYQZjwC9PzOhsq+tfvuRQelmFHUKGIrMMRdlw2V6hUCJM53MrrZvT8dbaVMtmE1CGfqtWimW5K7
epW6E9Hn16opEStbwbIcZDvMHSYX0k2Uv8s1BAwkUYjsQN4mtWEuvGD4Amw8u2sKzdhqfTO7LS1o
WRfXAO6XmCPchMXcNn/xGHhjCHpdyhrYB5P2uw12740hrJN9m/vS9D8bdRRSTfW5k5iSvU5QIK2F
HHUMnfv+0jD0/lILBPmecXAoUqztFA/rUevv+iVwEOfifcab8uM77Y8bBBWArdsIDoShmH8AzKjK
MM/JOCQvQ9RdIRsWd8JG7l6jMHZ99m1v6ur0uoWGhk6id4Uy4UgTlnBbnRJGUkn1bhpRfBitDgVt
YqqIIOP+zhzu7cL6NAVTeR8w8/8rsYj99tlKraIqTGJU1bI17rzvT4yGiJqsIbLgRQoA38wgFYfC
fGjTmAcX+NK1MSqjE0p+scOzw3gIWewdtOFrM7X3uTD03fkw1cvqSWpG9Hr5ThlIyyo6zjuCfAon
QF1ptkNzUkW5i2kcboQVLCAOjDUQ0+x9Pcyyo/rNhmig5wml2Hs1sRCutPUpzvx6Q284uc/6mrYZ
u0/bjU8/fufeKNjO68rSOLxZsq6gdbXf6GXmrIMIMCbxi5UpzcpOjIDniY/tu7Fu1KhMDsYojBVe
qZdJIiiqG/fS1OiHbKxXuJcAEA/hSR3l+qhnYQnfWrwzCa6/Vi1pR2JhL7XaI2Zf0iAxa3ioFyOn
atLepakC0yMOqss59z90csem5nOowuf64OPrOdQdLPIfv1bWzx/eb/Q/PEIVi0VqCOPNTVQPmd5Y
QZ6/pLoueyhph0vcwDZB231g7iKKnqssSjx0MvnJnoM7rQ2/+NWsuIms6OtUs4PT+UNh09qF3APE
QEdZid0q7rrkhq3K35VW854I5vEo0e612mwVSfUlgcojAAbao7gbLzV+t2sN4FDE2traWkCmfSpp
1yPjvsskfx+ZOyI1UtIsyXGAh5PbqqOXFnZXWX2ojG7lM6NXE00cCCVHy9/2MqRdUsI6dDM59vjS
5FlC32vrB3HodoSGOE2QL8MPjljzrZ7lzqQZEqEmGQgQDDpX4AzyY7tQj4LMroiwBwiOloZfTO+k
R2lKK48RxRX6xeJSGe/bdo62HDkD+vQGpu4sL0kZ7lMXIbjizuoDBQoSz2Z46YzuYFc1WT7s1sDA
HYaKyVVKUefMCFpXMYknTrZw+A29Jqq4yi+pIO2DZRTRgSFW4bSJpm9F6I/7yZq+jFGnMHXIxd5f
El19JX8JuwqEA31Mh9CA8ViS0uFX5FK2sP1GtsK1TpmCRY6Ghwy0ZmmFavrSget70yF65jD2NVCx
OH00tJpMyyWBV7HouaEZwhsjDk04NSet/8KAvr1KqR4c8Bg7WG/DRvPr5BGh/96v6REX0ycrlYIj
h55qPQZQvWukdU48QR2iNy4f9OUDDmmHhNbyGPjlJ9g7LzU+8K0o9EvAztqt1nXj1oSmOsClvVIi
JJWjnj3nXX3SDKj0rRVcD+RsXQNLdRuR3ZIcUXwxA56FxiW9ffMpF7PhTIweDrmsXI66UO4mEW4m
q0yuB048MM+mdsu2RH97CAcihEKctOj1tkZE6x88KQ/jMrNXMY/yA4r36RR0tKpmy26uA/LP/qK+
NP9Q45qG0FWd86NpC/SGb/bhnmRKVp3WvRjEx7hJOFH2ZPiyLLtjD6VkuLKsigXZrBWy3EsnDgB5
GCLwQoIZN0Y0P2djpG/SBOB8rAMe/0DXw3TAZNm7JF46VNTxPP+OJERiBgGFxxYXnPBmOImRD6S/
+IajqNikg2GyPBFM4PuzYTrKzYckzbcqos9bEAEFAYJ5d4Jepa/jQnw502BwjWzILlF3+sgMCHxZ
8j5r+tTDOsZTpAs5mPOzhizS13hilA3mAbyhQVQcBqBayZL3mTd1d9fFinDn/j5j8gV3bYxXcg4a
KJzzl9FCaWSMfbsJfAZKybKE/Tq67ON+OkWGft3OZf16qv8/31HjmjNF7rkAK4YYrH3z6X/eFxn/
+7/Lv/nn13z/L/7zFD0zkSy+tD/8qs1Lcfkxe2neftF335mf/vW38z62H7/7ZJW3UTvddC/1dPvS
dGn7O/1u+cq/+5f/8XL+LvdT+fKP3z5+zqLci5q2jp7b377+1aLLF6qxSBr+yddbfsLXv15ewj9+
234cPkbRn/yTl49N+4/fJKFrFxw2QNypPFj13/4DSuD5vxvyhaIZlBmoU3VTVnk65UXdhv/4TVEu
OF3RQ9FlNnbE5BQqDZml/JWwLmwa2jyzYCYAiaM/8Ptr/0r+e33T/pwEKNTlEfeN6cC2EDRoIJF5
2EOd0yx+v2/pYUh90znWA+VOLmNpm05pt5XQGTpxLsC8J9JTSs60Uw75QbSd9mAhC3AUu572SVba
G6J7H6GhCDDfOeOBSBaezMhwD8fFa5MKErTcFTRFRL3p7cZ3xxYjUNm2u6FTM5rLOhWWJeVHNWnu
I5y7chshHGml/UQXay/76eBJDIBaWyqxQJL90wn6FuzbzSoYmi1nSuODZWN7RiyBnsDmeWKRvLeN
ltE+zjdUl7mfr2zq8ut5rHNHNorWK0ISvxKru6mCPnZnntvrDj6X0zaxdWq7YDU3xkOVh55iN3dV
MW41wy9Xs9TqdCH01dgFW5QoM8xAs3Fy04HtSjAtD4w1a6l2ZeIXMCvgUfTNXmakNGgE6A3PTV2i
7i41Ortlx/SAkM1BMj61+vRk4Va/JKbwRtHq8qpvsSumjFKGKslu8O6lyPRNYpNjW3OgXOm3Qxl7
WmW2T43lf6lKhHpGYmfrkXGfI6NtXkXMMKpMeMkimVPsbloBISPDJqaJ26Pe0zVyAka/R+pSedg2
NHrS45eCcfbV0EnvpEi+bojXuc10mnRd0gR3eVSvW9MY3bDSylPPnJG2DwN02kRfYEcPhyiUn+PW
Ni5rMw09H4WJF9A02VbzjLzVpAppQzQKhVld04aM/uJAZCyF6ZuFbBiWyc0hy+inz7XeN9p0dDda
DIzQuMsrIr5kv9vqaqevFmXvigAjf6eLsl3xc8MsjT/I+hKowLTXok54HaX3dlF6EioAzxiKzZD0
4sbkJO41c49ICIeGHdyLogSYMVnB3iz7myiR+w00PSZaI2xRAQF+6MRlKpJyR2MTChud+XEiXGyo
TEC4M6eAyow8lZDKY29z+AQBLUtNc0kyyiacKH+Y9USu0abPZpl8NHvMSQ0zcoYmj33a6bdhKVb9
PHxQsjzwSL8NCEgzgIipxVUspttGs+jgdciEzWBQ7uu0qNARy5ACIMTcfbPJfd1KvoWIKvL3bV66
KBrMFjYhyyKhTdPfnpZK1GCBL5f5nQkO3Asn9AyUBquhD9WTGnAq9/WnPAiDq/TIoLo/xJN0PZb9
h1ZGUJNE5ehh6g7QIdTPeoe5CrwOj1aBs2RairpEOUUiIgfVUgifWD4EiySTh/G8aspB7ONxQIbo
d67UIeMisHBHbo21j8ZPQa4l+7Tsn5pEsrZxGiHygtElR2YI/yN7BHLg0DyIHpSyEAeuUn6UFBU8
En7rlHxbNajGa93yHwNtVDakH0R7AzQIasmhd81oFs5slhCvmmOalvkm62Zpo4ESK2dov2zxq8oe
iYa0yveR3FjXxqDtEc9lW3lWP+dGd2Q4ikCOzW0iz2GT9aIiPTPGcxMMR7jRHr4Cc9UybfVU/EOM
Xss1KDFCiWJEWZgp7MNE16MbyJ2KwgINMnk0YJoEqcSI1OQ5csREC0lt9U2oDLssMl1B4B1izp6J
TGy/M/XuucDElYSqfyy1h6wpIkSb/S5pG9lNG47pgZpsQgacrUUkNIkbJNUPMc33LpC3md1tYi33
mjYn41Vuai9OpcsewzNM5Fk/lIZ4IAT1qtPI4pZRHnkQvxTm6tGwtplKbaOoQd8VmhmreTrIc624
CkRqryyrbZUm2mUHJXyhW0ihxZOk55aeaW4fqojTcakUe9MoPWsIup1GVoNvM28nM2dcV6Zk7XPE
5U4gyo7DiKbfWfD9yr6b9tMUnPpezzbc6J9bI1GcWuklp1PsCB5A8pyHDTkMuEX3tOzSlqkS6wrC
CPgjZU6OFROGEFL/oWMzUco5P0HXyNeTEGuf9IV11eAzHqcbNcy0a7+LIJD7+oY6dF51k46FHCAo
hg8+AHagNdtVe44k1QL1LrcESeSOrbcnLcUmNQ/WB1WJgjWUTFB4pbHlJki2dL/Jc9CbDeFNmpMP
ChZWWbWZCwfJXm2IlVACQljmJY9yphcWJMExHBYoiFVet0bz3NXh8Bf6T1qY3228jNUtlJ90pFUB
hYWhlPp9BUHols/8z5Ru47QGBwYGxVFyqnObsbSHVXA326BYksraT+PA2MTsbBdkRSiZ0Y6bBWtb
Yk+HMZp1zmvcXlnePwZ1U7qCx/uuD8bPxJzqd1G2h3WAO5/QEqxwKd5PC3jdRqpLfZWVZbuXsDtm
IT7DyirfjbaWeNU8drtBZyVjeovcoZ2UI6rCaGUwD8PUbZorkFqM4hUME1EXc6Jo2lWmCLj5av5i
+GoHr6azHNrqrVOUfn+YFUzCiHEnN8iPFVrnNYT/0dFCn+8/RvFKlxV6yS65RZ/GTA22yO6zQ90w
bivGdEsvby+nJqEWJAKvBqmPXA5C0xFINqzxVlJWEzfWEVqJ7bYy3ZEYRSvPnlTbtDDuvW4E5ACf
MyYwWNIP1SQ/9ln4oS+jTzhY7Y3SBxjQDZQOAuQ5c3+k+MRCNSZo+taY16SYWiuTnr5rR/mwr+lX
xiUnqJkb+GDQUnSCXu3Xkd8O6BJb7TTkaulYE7xIyLDUZXoSHKKAt7cdY1odYxqzASQbDiyYviIi
aOwyObXIZby6SHO3CIbkaAXJ54IGzKaabiPJDtecb4ktVKXmVonl7phWxr2au7Sns6MAI7pACI/d
bAbX5w/bse/+YopiLIvyX9XCsmjVhbAsW4YBXA3U8veLdqhEIwVz7d82/mh7dh/YB98obdLKAGLL
mvJY1tmWtvp42+vP8WwDRNEJIkYmwpi/+ij76kbK02QlySlVMIwfL1IKZU28x3hkWtki77+lMRbv
x9aQNkTA3Eg6EWhWTpCbZUOdKzMzdyNbjjYaWK2oarKVbim9i03Tdm2r7gGcEZ1ckXjrAA2d13M0
grUMkCdlxuBv+DU+GdEgCD1AxjI286olQaMfb3LftI5gMhvcgSAeaLgRAuenNUU0b5pBFJ7NiHI2
Z7EFjNO6VILGUR9WJCW115hmMq/wU3NjEmxYRZ20/nHVoC3niTcXXlvONvSFZdUE//b9hc+BIdci
DMzb1JgB8sRivKxKds93WgdKNh/teSNraMZI6V4PbUvWUXgomqg7lrrAW6pJ8W1WXCKOklZVm05r
fIiG1yXlo+zL+qGvyMMk8s++XFD5PFdUp7CEfpnXMpPxMAUhrSU7lPMpPY8Sd1bRmNtCgSJe6BAf
SSZK7gUMjTSx3kP/LvZzH4Zurvg5KZKWAwi0uWsDvyFlhFQwquSdpDX+/sfXiNb3n1wkOuj0DWiA
KNrbizRkdVRjVdNvqRF5YsZAfyJxQ1JVt6/DXt7wM98ZSpy4Rg96Qu7mkeNK3LtwFrRdRlQDqYXg
ppOma6l9x8ElK4qyVqsCrzTLakWMhCBCRBwARc4n2c47es5Zzb6dGzskX/2e4M6TWcVPRSdr26I5
hll/lM2yWDdlKHYDGVvwF7p1a2T2xm7MT1OIuIhdcb43yfGoR9XelSrhf9iLySzMPFFak1PL8byG
qkVIj0WCi7Di6TLV2OSSaAleiWDKEkvuFHah7as2t47gRCIISEOH9n8aHCu5jHFzvuPIDWY4ejqH
OUSdhh0gAbRLPKPXTaF2LwvkBWoyo2Zu6OFQSLCR7ANmZm7MeOkKHVEPUgYdjDKuNUkmW7ERkmuX
MRlNlf7OGLgtB846q3HIdeZ5CE60ogm2Q0ZocJwb4lDs0J0RwWAb0laiaLoW2kBCk13XntSm2Wmo
JxccV+Q1hXEsurS7jWZ5LbU+iJy2Mi5noia8OJLDo61H7zq1YdtoRoL5kk/KOLYfrURxo3bJAtZ9
a5tREyJZNq9RTX8mUHYiD85pmRB6eabpjuhqbXN+Ammw8Rax/JEY98uItPF0ENZVXUn1GulWsdIU
b87ThrTiYVfJkrFfCBAFROB9GrgFBkyyv01pT3b5ToaK8KgmED6NKZpuQA/va4NZfjTJT+RTi4dh
pJmW1o2Xj9LEqVMiM1ZB7dr32IZaycoPsWVet+VDpmBLqypOOViH15AOSbNu2HmCbHPmJTX0fiEv
dAeGhBgf0uHFFJ3pyQXdzTKq8eCgebhXo30YSeGxsoJiXTZphBqZTy0E02aGtr/ICBUbqeK4pTj2
KmTFWXbFmuGyaxBNqJZSettAidWJ8GpCORwTYh+hqQEmXrDqfzFdYDN7exfbqsZxVBCLe27YLNOH
b06kVi6yrqEXfKsbFAdjZsdeqXfmvqGjcslD6XY22PrhSmhXZiLdKeFCF6zABKTDWG0mus2ugBew
0jndjapeH9RYw2/qX0tZjm4rzu91PAJKO98QWRVuI3UClEQ6/YNtNZobWQaSXvJdN4VS3gOQ1Ddy
w3P7vM+qNRPfKF00Yj7BHsQyD2S4+58Rcd/KqWrfB0G+LnibL/vER1eIPosMRFi9PDOtFS670lV6
a9xQ4TLdtqUOG5JI19BYCS2WDH/rE8zhjqExs4H7Ldxyc11Lk3WQZsuirV0E2y4DMl/iKH8Nj9c7
9UBM8xKytBCA8qB7b8IziONkxnu9kMoDOVyRIKy7eXnT5y00WqkIH9S5qrZJxM9NpTG+z/w7A3/x
ikMQ9CAAXztba9JdF5EqXPnsbrIZ3ECjkU8+VDcgUjCkfAN9klXT+dDVp8YAbxBOSnI0SAze9aGW
eQFE65Xdmc8Z0/ZbWt8G6LwI6LwqpU5ZbJnHDAcccCBGYoze6QQiu+zHatFCSLetYCZMD2HTgPZx
ItCtqyjvMB5woBvFTDUfSdU6TftNTrHnZGbmXypVYTsSrBA3JElkY4V15rStlF82Y0JfY5Aeo74g
xH0ZnMOlYY8zOo4ZFB1FoeiHXLmX5RAJZ9ETtON3s+sTJL7qjNCLVOwhczag+utsgi2RqWTgwWqW
TlW1K6vsaEbbQe6EQfwUxgHB7BAnvbRjAJTTZneK1OYM2yD5j43phusAeTJ5HvAY3hXGEgGLFHYf
lXlzZaSpA2Iidtuhyp6hKPHE9T9i55s8v+WODMSQ7pIiUmko+geMu8llZEV7HKPpA4KCTzRsBNIC
Pmsr+2AH821VpeoeVpZyn+ZtsgoEmeZG9Jg1ElQ8pAvXfkjYbFknhFA1MmJLObN4C+3klgHgSL4P
x28t+eLXw6czFjd+VFQpQMcwzOsRVpda3ETS56gNibmtCTMPU6JNAjNXN1OvMweQC+tBm9NsQxex
WklxWmwSgCjM1I1H3AGGBz2nOSaBang+QhY15Pk7NtmEGieL7tNJKd12zONdoOcPIOy6TUda076U
73u1puRBKPfe6rNtVZ/aGTP+DEVj3RbtZ6HG1mHKlMVxOsHySKJ1IMLoUqbBfTME7U6XemMdaFLO
9lpOj4nPsqM4CvFsvoNEwuLBau1lusjdiV2ciMMc21b+vhwzOPcGwCUl1o+9VjLLHovZkaBFX5da
fdcxXVqndiWhILFJYe3w7ts+7ck+GqnJpGbaB6RY5hilVoBVe7ez7GyT5Tgn86APHV0R4btMmJWL
qse8jvWSnkP9mT6FcklwBUizKMLcmYTzGu0/pIhea9yWwKEoaK37bU5tdLuEXkn5LI6WFj7Efiut
ygDvRFtvqwlyJgj47GCUE2Ug5yenkzR/m0lWsxY1uGQ1Fv2tKNeA34qV3DaEwZHxODtZ7V+POo1T
rc/TXRb0BMloqr/XkqzmQhEpZgpCnvMmUth1iAlqq+EuKNL0pFjTuFGRTmbIup1z2TzpH9u0rHcc
3u8AryXuNNlYMSWQPFHkpfa0Kbv4OSUteI03QD4qlezMYAm8wfRDtyjIbTEm/ygN1Xw59Eng2OXi
7NU0illZWNtZqJAoTKTpzXtTzMpWzqZxZwuKhKSNcfFG5oCGFmAdzWIiyTLZ6S24CYpqc9Hsa26W
eh/L3XCZQm6i16R+SStQX8mIFUyb8qugDhVHIyzhYKL/vk1qY23bj4Lo73cWvXNS43XZGcOu2RrU
7q9Pyv9vJkvfDKH+MFr657BlGQud85bui//eF/0+xfnzb/T3ZlUqs6K3s6rzL3WelP3oe6QfGah1
nxlnqfYFEhhEETIK0+UPR+O0yIOvf42vSlwYJsojxXj9Ud9cnn93AX782v44wfvj9/nR7/46xjvP
6mydIuu7Ud1/+eUzrLMRB6ri68tn9vzty7eVC1S3HDAYwZ3/cMDlB/7PX4TnosvbZfzJZDj/dvqo
aMz4/s41ePMdvlsC+oKahmP15sXbF2w3qsJrf10bnN7/V178v5/WyvLr7/Q61v7nzfRfuQGUC9Mw
kHovk6TlD9/w2xVgGReWRrsTBezrRWA4+4tdBHtpu/ydJfDmOn6zBLSLs8UAzfvri/yzXcDQoNLr
xvkivd53//O3wZtX8K+9QKEM/NmloMlsBgb8pfNL5AOv8tulYJoXzM8tG7z361Vis/i1loItVJpL
P7cUFsWBthgPvq73N0uBi7CoPC3L/Lpj/m/tiP92KVg0e3/2IrDzwVllSX19kdz0360E/UJDqaZB
GntdCb/cRaAJ8bpR/cTOaF4oEK6RqH3dGd/cDkLYFwayFYbwX3eNX+12oAf40/URtwOZSTAalddd
4e1FkPULXTOxCf16D0emdDSpfmo3UKwLullIBNU3d4BFYWSZqoat6fW6/HIv3zTt1/35v38HaOIC
8x3aRMSJ5z9v3nyT2gHXKUmMv9z9L1iuf7MwfLORflMVKBfIQZet/s8fBZZ6AScKxx/y8fOfX24N
4FlaHFU/dQuoKg9EnHcKEMzfX+W3zwJrqRq4BJyUXp8Fv945idnST9dG2gUmCdlUtK+v8s1BSQjt
wtBtrATa657zK9WGS4H/k6uArYCiB4nm1wf+srd8uwpMtopFGrUUyec/v9y9gL9lUVb/1L1AhSxY
Aejj/1UBf3sVLPuCH2OoOlSO1z/nH/grrQVCsKlof+4qqBeEmBnC/v2xwHv97VVY1oJJ8XgWJy5b
xi93R/AmWT9bGtA5ojLElP51Kfw/5s5tt20jCMOvoicgxIMo8SZA4RSIW8QtekjRS1piLEKyaJBO
HPfp+83uUuGulMbwCOgyufFptLvcOf1zEntzego4zmhGOIK0ZvNYFozoLlAVKvXUuruwSIDh4PrR
UwjcpbJKMup5yJ10NnJ8p0Bqp5ojsoQN0su+KOy7DjiiyhO5BOSNuZ9HpyOpsFbriHyJDoDrxRww
T3AKy1VCwl9JIbezJKybGhNHlAwVV3JEvsIzkI4QwCTmCYzmaoUlAa4I5GhVhL18UZ0CqlJ7CtwF
2jZQ8REYCqsFYpGjodDDbj8+gVDh1Gm3P0/IygdDkWSmqVaoUqxlGWA/YsrRbZ8W3U5hv95xzHEM
MwCkoxkU6kaQEwBLbGWHKkQnD1mbWisgCZg1KL1L/DuwLJMlxX4VTpVlAXvbIpIA2Xwhs2t1lkGW
AI7lzG8GHJiyAOZhKf3JQBXs9q1VHtP2mWfCO9NtHyOYMuscQ9iqAezN6SlUVYKAEGThf46sBfDH
JKSAQ6+FDwvii9IcgVl/x3c9PQW0AUU1GNFiSssTnSDIEVNatxFBQISNSUcwvXkCIxkIpeSm5LSQ
snclOoFALz6H8SmUwoJIIgeASWBPIbQMSlwJoq3MXDlyDCwYk1wATtO6jYXs0vSycnwfmodFgl+W
A11H5zWTyF5qreMiS9B7UBLtOpUEywUAE5jtauEkQXRmMYaR+u0jCfKSwUZzcFnzhFqBsMKS5vgg
SJZHopOHWcrANq1uJIaK9k8roHPzBEZyOsc+LDjtUgq4I5MBsKaNdigkIUlHjDhFDLjgUSAD0rTE
Pl7kEnky52O5LiZJiCDXGog5kUNmKwGb2EsQphtUuJAULs3nRLLsE99dSKVhpc5OBFJG8TM0+bxE
WBJXwI/K5k4sVhFyhKmSVJ1CXiSgQvkyLZy1fCIRyoTGKByUVLrHJhHKVKsWhReoJ13Sudle9VA7
EligcwWFZM5qiNA4ANjT8sKSgCoTYlZwxMjxUxsBDiHvRMpuR2aI7i5Q7aeFzggyFWRcYiU6ADHg
BVIPSMDCQoj4FIgOae8CYWemnxFMczhhAKIQ4E/ISk1Tl+wUkXKUqLvWZcRxLnLiJgTSzgoEYQWu
GiaEg+1j2v9iVahfP6KAd4vP/I39m9dPesZoSUenFugQoM9LTZF3MslzzL1gl1OBCIiUk5pLqMEB
C9FBaYSInSP7enMZXqABcsa/QBKSf0RBe0kzEacvoktDymnSo9aKWIDsjwDdGGn2LwFJBwRa8BWq
WFPREOGZ2k4GOAAezOgsZgVigB6BpaIPKIHDmxhth5faiS+QncfKF4b37Dc/Siu1thkmLdm++wtj
VcgpAVftISUdUs3g/aK0a7OkLTArX7/xIFsDkE1+OAJm5nPcn7sNnn6091njrsZvvmubvu7XNDEy
nePcMm0buB/29W19X08rMVBJ8OfXlZx0mTt6CN8hPOwCupKloKbbt/90B5+wKRzQE97Vh6EexiV+
rczRUr6q9+3Hrj+03qptZrOaNhNx+3rTTVdt04X1lOkgu35s6bPvETfpqFrib5s9/Qf7ZkrZ5rur
KbtmiLPu4+yKotv7W//YbWmB9lOYP9K3G+99otolTVlLmR6T/Z2/ZJcDq6X87Y6PRiycbSj5Ila/
3tRb7wKmNlFTu+DrPfOomFM1HqrhSJv9pybNoJE6kCI2l0xNuXvyr4VNS9KS/flUNtkcFzVhCHxa
7569QxZ7fPzG6+8FHULa4eSYbVaGdtnvmcrpSQ+XBKen2z/v68Nm3L1R5jaHQE96GOo11cbN46N3
p12UXk2/XdO+ofarKm3sV08aXcDAAu9mZzaKpqc9DC3/Hx5a79Bt+solqHef+pC0BIDUpDtGqfsy
xAVVtJRvmtu+DqwnMo0kl0FP+nPt6y3QBwmE6Ak/zd7V9w/DtvXVOvQlU/kS9H9q+qHxJBUBSEHu
L0H8ffOlXXtqDOKX0Og3zdPs767fjcs0IsWGYNXrlsbLs6uapnRtcBMBndLxE18vwm/MB7xl7lzA
+6RT4A9r1//LtvVP3MKuarK7PRaJ79WQrSqRLjXpvrkLC9cNSKol/GtzOAzP+8914Ca4gmAt+d+2
3aaZXQ8nus3WlGjJ/y5tvs9eRFe6dJkPOL2IDqPVkv+D02+GofFMCpcso6f9xfcqHaKopfvnY70d
L7TIFNdGQ0v2Q9Pfo9k8yhb8U1Nu8WyC6+3y1bWk/6rRO0w/81mT2IoA2GridL6ffTi3eJtTpqbf
DuuOljye5eYQRzXt544JAXfjIZh7YlG8/6Z8Dmk65nCd4k9jM5Rzf+aDa/Ib631T92/+BQAA//8=
</cx:binary>
              </cx:geoCache>
            </cx:geography>
          </cx:layoutPr>
          <cx:valueColors>
            <cx:minColor>
              <a:srgbClr val="9BF8F2"/>
            </cx:minColor>
            <cx:midColor>
              <a:schemeClr val="accent6">
                <a:lumMod val="60000"/>
                <a:lumOff val="40000"/>
              </a:schemeClr>
            </cx:midColor>
            <cx:maxColor>
              <a:schemeClr val="accent6">
                <a:lumMod val="50000"/>
              </a:schemeClr>
            </cx:maxColor>
          </cx:valueColors>
          <cx:valueColorPositions count="3"/>
        </cx:series>
      </cx:plotAreaRegion>
    </cx:plotArea>
  </cx:chart>
  <cx:spPr>
    <a:noFill/>
    <a:ln>
      <a:noFill/>
    </a:ln>
    <a:effectLst/>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20">
  <a:schemeClr val="dk1"/>
  <cs:variation>
    <a:tint val="88500"/>
  </cs:variation>
  <cs:variation>
    <a:tint val="55000"/>
  </cs:variation>
  <cs:variation>
    <a:tint val="75000"/>
  </cs:variation>
  <cs:variation>
    <a:tint val="98500"/>
  </cs:variation>
  <cs:variation>
    <a:tint val="30000"/>
  </cs:variation>
  <cs:variation>
    <a:tint val="60000"/>
  </cs:variation>
  <cs:variation>
    <a:tint val="8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69">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alpha val="75000"/>
        </a:schemeClr>
      </a:solidFill>
    </cs:spPr>
  </cs:dataPoint>
  <cs:dataPoint3D>
    <cs:lnRef idx="0"/>
    <cs:fillRef idx="1">
      <cs:styleClr val="auto"/>
    </cs:fillRef>
    <cs:effectRef idx="0"/>
    <cs:fontRef idx="minor">
      <a:schemeClr val="tx1"/>
    </cs:fontRef>
    <cs:spPr>
      <a:solidFill>
        <a:schemeClr val="phClr">
          <a:alpha val="75000"/>
        </a:schemeClr>
      </a:solidFill>
    </cs:spPr>
  </cs:dataPoint3D>
  <cs:dataPointLine>
    <cs:lnRef idx="0">
      <cs:styleClr val="auto"/>
    </cs:lnRef>
    <cs:fillRef idx="1"/>
    <cs:effectRef idx="0"/>
    <cs:fontRef idx="minor">
      <a:schemeClr val="tx1"/>
    </cs:fontRef>
    <cs:spPr>
      <a:ln w="19050" cap="rnd">
        <a:solidFill>
          <a:schemeClr val="phClr">
            <a:alpha val="50000"/>
          </a:scheme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497">
  <cs:axisTitle>
    <cs:lnRef idx="0"/>
    <cs:fillRef idx="0"/>
    <cs:effectRef idx="0"/>
    <cs:fontRef idx="minor">
      <a:schemeClr val="lt1">
        <a:lumMod val="95000"/>
      </a:schemeClr>
    </cs:fontRef>
    <cs:defRPr sz="900"/>
  </cs:axisTitle>
  <cs:categoryAxis>
    <cs:lnRef idx="0"/>
    <cs:fillRef idx="0"/>
    <cs:effectRef idx="0"/>
    <cs:fontRef idx="minor">
      <a:schemeClr val="lt1">
        <a:lumMod val="95000"/>
      </a:schemeClr>
    </cs:fontRef>
    <cs:spPr>
      <a:ln w="12700" cap="flat" cmpd="sng" algn="ctr">
        <a:solidFill>
          <a:schemeClr val="lt1">
            <a:lumMod val="95000"/>
            <a:alpha val="54000"/>
          </a:schemeClr>
        </a:solidFill>
        <a:round/>
      </a:ln>
    </cs:spPr>
    <cs:defRPr sz="900"/>
  </cs:categoryAxis>
  <cs:chartArea>
    <cs:lnRef idx="0"/>
    <cs:fillRef idx="0"/>
    <cs:effectRef idx="0"/>
    <cs:fontRef idx="minor">
      <a:schemeClr val="dk1"/>
    </cs:fontRef>
    <cs:spPr>
      <a:solidFill>
        <a:schemeClr val="dk1"/>
      </a:solidFill>
    </cs:spPr>
    <cs:defRPr sz="1000"/>
  </cs:chartArea>
  <cs:dataLabel>
    <cs:lnRef idx="0"/>
    <cs:fillRef idx="0"/>
    <cs:effectRef idx="0"/>
    <cs:fontRef idx="minor">
      <a:schemeClr val="lt1">
        <a:lumMod val="9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lt1"/>
    </cs:fontRef>
    <cs:spPr>
      <a:solidFill>
        <a:schemeClr val="phClr"/>
      </a:solidFill>
      <a:ln w="3175">
        <a:solidFill>
          <a:schemeClr val="dk1"/>
        </a:solidFill>
      </a:ln>
    </cs:spPr>
  </cs:dataPoint>
  <cs:dataPoint3D>
    <cs:lnRef idx="0"/>
    <cs:fillRef idx="0">
      <cs:styleClr val="auto"/>
    </cs:fillRef>
    <cs:effectRef idx="0"/>
    <cs:fontRef idx="minor">
      <a:schemeClr val="lt1"/>
    </cs:fontRef>
    <cs:spPr>
      <a:solidFill>
        <a:schemeClr val="phClr"/>
      </a:solidFill>
    </cs:spPr>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fillRef idx="0">
      <cs:styleClr val="auto"/>
    </cs:fillRef>
    <cs:effectRef idx="0"/>
    <cs:fontRef idx="minor">
      <a:schemeClr val="lt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lt1"/>
    </cs:fontRef>
    <cs:spPr>
      <a:ln w="28575" cap="rnd">
        <a:solidFill>
          <a:schemeClr val="phClr"/>
        </a:solidFill>
        <a:round/>
      </a:ln>
    </cs:spPr>
  </cs:dataPointWireframe>
  <cs:dataTable>
    <cs:lnRef idx="0"/>
    <cs:fillRef idx="0"/>
    <cs:effectRef idx="0"/>
    <cs:fontRef idx="minor">
      <a:schemeClr val="lt1">
        <a:lumMod val="95000"/>
      </a:schemeClr>
    </cs:fontRef>
    <cs:spPr>
      <a:ln w="9525">
        <a:solidFill>
          <a:schemeClr val="lt1">
            <a:lumMod val="95000"/>
            <a:alpha val="54000"/>
          </a:schemeClr>
        </a:solidFill>
      </a:ln>
    </cs:spPr>
    <cs:defRPr sz="9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30000"/>
          </a:schemeClr>
        </a:solidFill>
        <a:round/>
      </a:ln>
    </cs:spPr>
  </cs:gridlineMajor>
  <cs:gridlineMinor>
    <cs:lnRef idx="0"/>
    <cs:fillRef idx="0"/>
    <cs:effectRef idx="0"/>
    <cs:fontRef idx="minor">
      <a:schemeClr val="lt1"/>
    </cs:fontRef>
    <cs:spPr>
      <a:ln>
        <a:solidFill>
          <a:schemeClr val="lt1">
            <a:lumMod val="95000"/>
            <a:alpha val="30000"/>
            <a:lumOff val="10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95000"/>
      </a:schemeClr>
    </cs:fontRef>
    <cs:defRPr sz="9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95000"/>
      </a:schemeClr>
    </cs:fontRef>
    <cs:spPr>
      <a:ln w="12700" cap="flat" cmpd="sng" algn="ctr">
        <a:solidFill>
          <a:schemeClr val="lt1">
            <a:lumMod val="95000"/>
            <a:alpha val="54000"/>
          </a:schemeClr>
        </a:solidFill>
        <a:round/>
      </a:ln>
    </cs:spPr>
    <cs:defRPr sz="900"/>
  </cs:seriesAxis>
  <cs:seriesLine>
    <cs:lnRef idx="0"/>
    <cs:fillRef idx="0"/>
    <cs:effectRef idx="0"/>
    <cs:fontRef idx="minor">
      <a:schemeClr val="lt1"/>
    </cs:fontRef>
    <cs:spPr>
      <a:ln w="9525" cap="flat">
        <a:solidFill>
          <a:srgbClr val="D9D9D9"/>
        </a:solidFill>
        <a:round/>
      </a:ln>
    </cs:spPr>
  </cs:seriesLine>
  <cs:title>
    <cs:lnRef idx="0"/>
    <cs:fillRef idx="0"/>
    <cs:effectRef idx="0"/>
    <cs:fontRef idx="minor">
      <a:schemeClr val="lt1">
        <a:lumMod val="95000"/>
      </a:schemeClr>
    </cs:fontRef>
    <cs:defRPr sz="1400"/>
  </cs:title>
  <cs:trendline>
    <cs:lnRef idx="0">
      <cs:styleClr val="auto"/>
    </cs:lnRef>
    <cs:fillRef idx="0"/>
    <cs:effectRef idx="0"/>
    <cs:fontRef idx="minor">
      <a:schemeClr val="lt1"/>
    </cs:fontRef>
    <cs:spPr>
      <a:ln w="19050" cap="rnd">
        <a:solidFill>
          <a:schemeClr val="phClr"/>
        </a:solidFill>
        <a:prstDash val="sysDash"/>
      </a:ln>
    </cs:spPr>
  </cs:trendline>
  <cs:trendlineLabel>
    <cs:lnRef idx="0"/>
    <cs:fillRef idx="0"/>
    <cs:effectRef idx="0"/>
    <cs:fontRef idx="minor">
      <a:schemeClr val="lt1">
        <a:lumMod val="95000"/>
      </a:schemeClr>
    </cs:fontRef>
    <cs:defRPr sz="9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95000"/>
      </a:schemeClr>
    </cs:fontRef>
    <cs:defRPr sz="900"/>
  </cs:valueAxis>
  <cs:wall>
    <cs:lnRef idx="0"/>
    <cs:fillRef idx="0"/>
    <cs:effectRef idx="0"/>
    <cs:fontRef idx="minor">
      <a:schemeClr val="lt1"/>
    </cs:fontRef>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GBox" noThreeD="1"/>
</file>

<file path=xl/ctrlProps/ctrlProp2.xml><?xml version="1.0" encoding="utf-8"?>
<formControlPr xmlns="http://schemas.microsoft.com/office/spreadsheetml/2009/9/main" objectType="GBox" noThreeD="1"/>
</file>

<file path=xl/ctrlProps/ctrlProp3.xml><?xml version="1.0" encoding="utf-8"?>
<formControlPr xmlns="http://schemas.microsoft.com/office/spreadsheetml/2009/9/main" objectType="Radio" checked="Checked" firstButton="1" fmlaLink="$AD$5" lockText="1" noThreeD="1"/>
</file>

<file path=xl/ctrlProps/ctrlProp4.xml><?xml version="1.0" encoding="utf-8"?>
<formControlPr xmlns="http://schemas.microsoft.com/office/spreadsheetml/2009/9/main" objectType="Radio"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Radio" firstButton="1" fmlaLink="$AC$34" lockText="1" noThreeD="1"/>
</file>

<file path=xl/ctrlProps/ctrlProp7.xml><?xml version="1.0" encoding="utf-8"?>
<formControlPr xmlns="http://schemas.microsoft.com/office/spreadsheetml/2009/9/main" objectType="Radio" checked="Checked" lockText="1" noThreeD="1"/>
</file>

<file path=xl/ctrlProps/ctrlProp8.xml><?xml version="1.0" encoding="utf-8"?>
<formControlPr xmlns="http://schemas.microsoft.com/office/spreadsheetml/2009/9/main" objectType="Radio" lockText="1" noThreeD="1"/>
</file>

<file path=xl/ctrlProps/ctrlProp9.xml><?xml version="1.0" encoding="utf-8"?>
<formControlPr xmlns="http://schemas.microsoft.com/office/spreadsheetml/2009/9/main" objectType="GBox" noThreeD="1"/>
</file>

<file path=xl/ctrlProps/ctrlProp10.xml><?xml version="1.0" encoding="utf-8"?>
<formControlPr xmlns="http://schemas.microsoft.com/office/spreadsheetml/2009/9/main" objectType="GBox" noThreeD="1"/>
</file>

<file path=xl/ctrlProps/ctrlProp11.xml><?xml version="1.0" encoding="utf-8"?>
<formControlPr xmlns="http://schemas.microsoft.com/office/spreadsheetml/2009/9/main" objectType="Radio" checked="Checked" firstButton="1" fmlaLink="$AH$5" lockText="1" noThreeD="1"/>
</file>

<file path=xl/ctrlProps/ctrlProp12.xml><?xml version="1.0" encoding="utf-8"?>
<formControlPr xmlns="http://schemas.microsoft.com/office/spreadsheetml/2009/9/main" objectType="Radio" lockText="1" noThreeD="1"/>
</file>

<file path=xl/ctrlProps/ctrlProp13.xml><?xml version="1.0" encoding="utf-8"?>
<formControlPr xmlns="http://schemas.microsoft.com/office/spreadsheetml/2009/9/main" objectType="Radio" firstButton="1" fmlaLink="$AH$4" lockText="1" noThreeD="1"/>
</file>

<file path=xl/ctrlProps/ctrlProp14.xml><?xml version="1.0" encoding="utf-8"?>
<formControlPr xmlns="http://schemas.microsoft.com/office/spreadsheetml/2009/9/main" objectType="Radio" checked="Checked" lockText="1" noThreeD="1"/>
</file>

<file path=xl/ctrlProps/ctrlProp15.xml><?xml version="1.0" encoding="utf-8"?>
<formControlPr xmlns="http://schemas.microsoft.com/office/spreadsheetml/2009/9/main" objectType="GBox" noThreeD="1"/>
</file>

<file path=xl/ctrlProps/ctrlProp16.xml><?xml version="1.0" encoding="utf-8"?>
<formControlPr xmlns="http://schemas.microsoft.com/office/spreadsheetml/2009/9/main" objectType="Radio" firstButton="1" fmlaLink="$AH$6" lockText="1" noThreeD="1"/>
</file>

<file path=xl/ctrlProps/ctrlProp17.xml><?xml version="1.0" encoding="utf-8"?>
<formControlPr xmlns="http://schemas.microsoft.com/office/spreadsheetml/2009/9/main" objectType="Radio" checked="Checked" lockText="1" noThreeD="1"/>
</file>

<file path=xl/ctrlProps/ctrlProp18.xml><?xml version="1.0" encoding="utf-8"?>
<formControlPr xmlns="http://schemas.microsoft.com/office/spreadsheetml/2009/9/main" objectType="GBox" noThreeD="1"/>
</file>

<file path=xl/ctrlProps/ctrlProp19.xml><?xml version="1.0" encoding="utf-8"?>
<formControlPr xmlns="http://schemas.microsoft.com/office/spreadsheetml/2009/9/main" objectType="Radio" firstButton="1" fmlaLink="$AH$9" lockText="1" noThreeD="1"/>
</file>

<file path=xl/ctrlProps/ctrlProp20.xml><?xml version="1.0" encoding="utf-8"?>
<formControlPr xmlns="http://schemas.microsoft.com/office/spreadsheetml/2009/9/main" objectType="Radio" checked="Checked" lockText="1" noThreeD="1"/>
</file>

<file path=xl/ctrlProps/ctrlProp21.xml><?xml version="1.0" encoding="utf-8"?>
<formControlPr xmlns="http://schemas.microsoft.com/office/spreadsheetml/2009/9/main" objectType="GBox" noThreeD="1"/>
</file>

<file path=xl/ctrlProps/ctrlProp22.xml><?xml version="1.0" encoding="utf-8"?>
<formControlPr xmlns="http://schemas.microsoft.com/office/spreadsheetml/2009/9/main" objectType="Radio" firstButton="1" fmlaLink="$AH$7" lockText="1" noThreeD="1"/>
</file>

<file path=xl/ctrlProps/ctrlProp23.xml><?xml version="1.0" encoding="utf-8"?>
<formControlPr xmlns="http://schemas.microsoft.com/office/spreadsheetml/2009/9/main" objectType="Radio" checked="Checked" lockText="1" noThreeD="1"/>
</file>

<file path=xl/ctrlProps/ctrlProp24.xml><?xml version="1.0" encoding="utf-8"?>
<formControlPr xmlns="http://schemas.microsoft.com/office/spreadsheetml/2009/9/main" objectType="GBox" noThreeD="1"/>
</file>

<file path=xl/ctrlProps/ctrlProp25.xml><?xml version="1.0" encoding="utf-8"?>
<formControlPr xmlns="http://schemas.microsoft.com/office/spreadsheetml/2009/9/main" objectType="Radio" firstButton="1" fmlaLink="$AH$8" lockText="1" noThreeD="1"/>
</file>

<file path=xl/ctrlProps/ctrlProp26.xml><?xml version="1.0" encoding="utf-8"?>
<formControlPr xmlns="http://schemas.microsoft.com/office/spreadsheetml/2009/9/main" objectType="Radio" checked="Checked" lockText="1" noThreeD="1"/>
</file>

<file path=xl/ctrlProps/ctrlProp27.xml><?xml version="1.0" encoding="utf-8"?>
<formControlPr xmlns="http://schemas.microsoft.com/office/spreadsheetml/2009/9/main" objectType="GBox" noThreeD="1"/>
</file>

<file path=xl/ctrlProps/ctrlProp28.xml><?xml version="1.0" encoding="utf-8"?>
<formControlPr xmlns="http://schemas.microsoft.com/office/spreadsheetml/2009/9/main" objectType="GBox" noThreeD="1"/>
</file>

<file path=xl/ctrlProps/ctrlProp29.xml><?xml version="1.0" encoding="utf-8"?>
<formControlPr xmlns="http://schemas.microsoft.com/office/spreadsheetml/2009/9/main" objectType="Radio" firstButton="1" fmlaLink="$A$5" lockText="1" noThreeD="1"/>
</file>

<file path=xl/ctrlProps/ctrlProp30.xml><?xml version="1.0" encoding="utf-8"?>
<formControlPr xmlns="http://schemas.microsoft.com/office/spreadsheetml/2009/9/main" objectType="Radio" lockText="1" noThreeD="1"/>
</file>

<file path=xl/ctrlProps/ctrlProp31.xml><?xml version="1.0" encoding="utf-8"?>
<formControlPr xmlns="http://schemas.microsoft.com/office/spreadsheetml/2009/9/main" objectType="Radio" lockText="1" noThreeD="1"/>
</file>

<file path=xl/ctrlProps/ctrlProp32.xml><?xml version="1.0" encoding="utf-8"?>
<formControlPr xmlns="http://schemas.microsoft.com/office/spreadsheetml/2009/9/main" objectType="Radio" checked="Checked" lockText="1" noThreeD="1"/>
</file>

<file path=xl/ctrlProps/ctrlProp33.xml><?xml version="1.0" encoding="utf-8"?>
<formControlPr xmlns="http://schemas.microsoft.com/office/spreadsheetml/2009/9/main" objectType="Radio" checked="Checked" firstButton="1" fmlaLink="$A$37" lockText="1" noThreeD="1"/>
</file>

<file path=xl/ctrlProps/ctrlProp34.xml><?xml version="1.0" encoding="utf-8"?>
<formControlPr xmlns="http://schemas.microsoft.com/office/spreadsheetml/2009/9/main" objectType="Radio" lockText="1" noThreeD="1"/>
</file>

<file path=xl/ctrlProps/ctrlProp35.xml><?xml version="1.0" encoding="utf-8"?>
<formControlPr xmlns="http://schemas.microsoft.com/office/spreadsheetml/2009/9/main" objectType="Radio" lockText="1" noThreeD="1"/>
</file>

<file path=xl/ctrlProps/ctrlProp36.xml><?xml version="1.0" encoding="utf-8"?>
<formControlPr xmlns="http://schemas.microsoft.com/office/spreadsheetml/2009/9/main" objectType="Radio" lockText="1" noThreeD="1"/>
</file>

<file path=xl/drawings/_rels/drawing1.xml.rels><?xml version="1.0" encoding="UTF-8" standalone="yes"?>
<Relationships xmlns="http://schemas.openxmlformats.org/package/2006/relationships"><Relationship Id="rId8" Type="http://schemas.openxmlformats.org/officeDocument/2006/relationships/image" Target="../media/image35.png"/><Relationship Id="rId13" Type="http://schemas.openxmlformats.org/officeDocument/2006/relationships/hyperlink" Target="https://www.linkedin.com/in/lakhanpal-saurabh/" TargetMode="External"/><Relationship Id="rId3" Type="http://schemas.openxmlformats.org/officeDocument/2006/relationships/chart" Target="../charts/chart2.xml"/><Relationship Id="rId7" Type="http://schemas.openxmlformats.org/officeDocument/2006/relationships/image" Target="../media/image34.emf"/><Relationship Id="rId12" Type="http://schemas.openxmlformats.org/officeDocument/2006/relationships/hyperlink" Target="#'Sales Map'!A1"/><Relationship Id="rId2" Type="http://schemas.openxmlformats.org/officeDocument/2006/relationships/chart" Target="../charts/chart1.xml"/><Relationship Id="rId1" Type="http://schemas.openxmlformats.org/officeDocument/2006/relationships/image" Target="../media/image33.jpeg"/><Relationship Id="rId6" Type="http://schemas.openxmlformats.org/officeDocument/2006/relationships/chart" Target="../charts/chart5.xml"/><Relationship Id="rId11" Type="http://schemas.openxmlformats.org/officeDocument/2006/relationships/hyperlink" Target="#Trends!A1"/><Relationship Id="rId5" Type="http://schemas.openxmlformats.org/officeDocument/2006/relationships/chart" Target="../charts/chart4.xml"/><Relationship Id="rId10" Type="http://schemas.openxmlformats.org/officeDocument/2006/relationships/hyperlink" Target="#'Sales &amp; Profit'!A1"/><Relationship Id="rId4" Type="http://schemas.openxmlformats.org/officeDocument/2006/relationships/chart" Target="../charts/chart3.xml"/><Relationship Id="rId9" Type="http://schemas.openxmlformats.org/officeDocument/2006/relationships/hyperlink" Target="#Distribution!A1"/><Relationship Id="rId14" Type="http://schemas.openxmlformats.org/officeDocument/2006/relationships/image" Target="../media/image36.png"/></Relationships>
</file>

<file path=xl/drawings/_rels/drawing2.xml.rels><?xml version="1.0" encoding="UTF-8" standalone="yes"?>
<Relationships xmlns="http://schemas.openxmlformats.org/package/2006/relationships"><Relationship Id="rId8" Type="http://schemas.openxmlformats.org/officeDocument/2006/relationships/hyperlink" Target="#'Sales Map'!A1"/><Relationship Id="rId3" Type="http://schemas.openxmlformats.org/officeDocument/2006/relationships/chart" Target="../charts/chart7.xml"/><Relationship Id="rId7" Type="http://schemas.openxmlformats.org/officeDocument/2006/relationships/hyperlink" Target="#Trends!A1"/><Relationship Id="rId2" Type="http://schemas.openxmlformats.org/officeDocument/2006/relationships/chart" Target="../charts/chart6.xml"/><Relationship Id="rId1" Type="http://schemas.openxmlformats.org/officeDocument/2006/relationships/image" Target="../media/image38.jpeg"/><Relationship Id="rId6" Type="http://schemas.openxmlformats.org/officeDocument/2006/relationships/hyperlink" Target="#'Sales &amp; Profit'!A1"/><Relationship Id="rId5" Type="http://schemas.openxmlformats.org/officeDocument/2006/relationships/hyperlink" Target="#Distribution!A1"/><Relationship Id="rId10" Type="http://schemas.openxmlformats.org/officeDocument/2006/relationships/image" Target="../media/image36.png"/><Relationship Id="rId4" Type="http://schemas.openxmlformats.org/officeDocument/2006/relationships/image" Target="../media/image35.png"/><Relationship Id="rId9" Type="http://schemas.openxmlformats.org/officeDocument/2006/relationships/hyperlink" Target="https://www.linkedin.com/in/lakhanpal-saurabh/" TargetMode="External"/></Relationships>
</file>

<file path=xl/drawings/_rels/drawing3.xml.rels><?xml version="1.0" encoding="UTF-8" standalone="yes"?>
<Relationships xmlns="http://schemas.openxmlformats.org/package/2006/relationships"><Relationship Id="rId8" Type="http://schemas.openxmlformats.org/officeDocument/2006/relationships/hyperlink" Target="#Trends!A1"/><Relationship Id="rId13" Type="http://schemas.microsoft.com/office/2007/relationships/hdphoto" Target="../media/hdphoto1.wdp"/><Relationship Id="rId3" Type="http://schemas.openxmlformats.org/officeDocument/2006/relationships/chart" Target="../charts/chart8.xml"/><Relationship Id="rId7" Type="http://schemas.openxmlformats.org/officeDocument/2006/relationships/hyperlink" Target="#'Sales &amp; Profit'!A1"/><Relationship Id="rId12" Type="http://schemas.openxmlformats.org/officeDocument/2006/relationships/image" Target="../media/image41.png"/><Relationship Id="rId2" Type="http://schemas.openxmlformats.org/officeDocument/2006/relationships/image" Target="../media/image40.png"/><Relationship Id="rId1" Type="http://schemas.openxmlformats.org/officeDocument/2006/relationships/image" Target="../media/image39.jpeg"/><Relationship Id="rId6" Type="http://schemas.openxmlformats.org/officeDocument/2006/relationships/hyperlink" Target="#Distribution!A1"/><Relationship Id="rId11" Type="http://schemas.openxmlformats.org/officeDocument/2006/relationships/image" Target="../media/image36.png"/><Relationship Id="rId5" Type="http://schemas.openxmlformats.org/officeDocument/2006/relationships/image" Target="../media/image35.png"/><Relationship Id="rId10" Type="http://schemas.openxmlformats.org/officeDocument/2006/relationships/hyperlink" Target="https://www.linkedin.com/in/lakhanpal-saurabh/" TargetMode="External"/><Relationship Id="rId4" Type="http://schemas.openxmlformats.org/officeDocument/2006/relationships/chart" Target="../charts/chart9.xml"/><Relationship Id="rId9" Type="http://schemas.openxmlformats.org/officeDocument/2006/relationships/hyperlink" Target="#'Sales Map'!A1"/><Relationship Id="rId14" Type="http://schemas.openxmlformats.org/officeDocument/2006/relationships/image" Target="../media/image42.png"/></Relationships>
</file>

<file path=xl/drawings/_rels/drawing4.xml.rels><?xml version="1.0" encoding="UTF-8" standalone="yes"?>
<Relationships xmlns="http://schemas.openxmlformats.org/package/2006/relationships"><Relationship Id="rId8" Type="http://schemas.openxmlformats.org/officeDocument/2006/relationships/hyperlink" Target="#'Sales Map'!A1"/><Relationship Id="rId3" Type="http://schemas.openxmlformats.org/officeDocument/2006/relationships/chart" Target="../charts/chart10.xml"/><Relationship Id="rId7" Type="http://schemas.openxmlformats.org/officeDocument/2006/relationships/hyperlink" Target="#Trends!A1"/><Relationship Id="rId2" Type="http://schemas.microsoft.com/office/2014/relationships/chartEx" Target="../charts/chartEx1.xml"/><Relationship Id="rId1" Type="http://schemas.openxmlformats.org/officeDocument/2006/relationships/image" Target="../media/image43.jpeg"/><Relationship Id="rId6" Type="http://schemas.openxmlformats.org/officeDocument/2006/relationships/hyperlink" Target="#'Sales &amp; Profit'!A1"/><Relationship Id="rId5" Type="http://schemas.openxmlformats.org/officeDocument/2006/relationships/hyperlink" Target="#Distribution!A1"/><Relationship Id="rId10" Type="http://schemas.openxmlformats.org/officeDocument/2006/relationships/image" Target="../media/image36.png"/><Relationship Id="rId4" Type="http://schemas.openxmlformats.org/officeDocument/2006/relationships/image" Target="../media/image35.png"/><Relationship Id="rId9" Type="http://schemas.openxmlformats.org/officeDocument/2006/relationships/hyperlink" Target="https://www.linkedin.com/in/lakhanpal-saurabh/" TargetMode="External"/></Relationships>
</file>

<file path=xl/drawings/_rels/vmlDrawing1.vml.rels><?xml version="1.0" encoding="UTF-8" standalone="yes"?>
<Relationships xmlns="http://schemas.openxmlformats.org/package/2006/relationships"><Relationship Id="rId13" Type="http://schemas.openxmlformats.org/officeDocument/2006/relationships/image" Target="../media/image20.emf"/><Relationship Id="rId18" Type="http://schemas.openxmlformats.org/officeDocument/2006/relationships/image" Target="../media/image15.emf"/><Relationship Id="rId26" Type="http://schemas.openxmlformats.org/officeDocument/2006/relationships/image" Target="../media/image7.emf"/><Relationship Id="rId3" Type="http://schemas.openxmlformats.org/officeDocument/2006/relationships/image" Target="../media/image30.emf"/><Relationship Id="rId21" Type="http://schemas.openxmlformats.org/officeDocument/2006/relationships/image" Target="../media/image12.emf"/><Relationship Id="rId7" Type="http://schemas.openxmlformats.org/officeDocument/2006/relationships/image" Target="../media/image26.emf"/><Relationship Id="rId12" Type="http://schemas.openxmlformats.org/officeDocument/2006/relationships/image" Target="../media/image21.emf"/><Relationship Id="rId17" Type="http://schemas.openxmlformats.org/officeDocument/2006/relationships/image" Target="../media/image16.emf"/><Relationship Id="rId25" Type="http://schemas.openxmlformats.org/officeDocument/2006/relationships/image" Target="../media/image8.emf"/><Relationship Id="rId33" Type="http://schemas.openxmlformats.org/officeDocument/2006/relationships/image" Target="../media/image37.png"/><Relationship Id="rId2" Type="http://schemas.openxmlformats.org/officeDocument/2006/relationships/image" Target="../media/image32.emf"/><Relationship Id="rId16" Type="http://schemas.openxmlformats.org/officeDocument/2006/relationships/image" Target="../media/image17.emf"/><Relationship Id="rId20" Type="http://schemas.openxmlformats.org/officeDocument/2006/relationships/image" Target="../media/image13.emf"/><Relationship Id="rId29" Type="http://schemas.openxmlformats.org/officeDocument/2006/relationships/image" Target="../media/image4.emf"/><Relationship Id="rId1" Type="http://schemas.openxmlformats.org/officeDocument/2006/relationships/image" Target="../media/image31.emf"/><Relationship Id="rId6" Type="http://schemas.openxmlformats.org/officeDocument/2006/relationships/image" Target="../media/image27.emf"/><Relationship Id="rId11" Type="http://schemas.openxmlformats.org/officeDocument/2006/relationships/image" Target="../media/image22.emf"/><Relationship Id="rId24" Type="http://schemas.openxmlformats.org/officeDocument/2006/relationships/image" Target="../media/image9.emf"/><Relationship Id="rId32" Type="http://schemas.openxmlformats.org/officeDocument/2006/relationships/image" Target="../media/image1.emf"/><Relationship Id="rId5" Type="http://schemas.openxmlformats.org/officeDocument/2006/relationships/image" Target="../media/image28.emf"/><Relationship Id="rId15" Type="http://schemas.openxmlformats.org/officeDocument/2006/relationships/image" Target="../media/image18.emf"/><Relationship Id="rId23" Type="http://schemas.openxmlformats.org/officeDocument/2006/relationships/image" Target="../media/image10.emf"/><Relationship Id="rId28" Type="http://schemas.openxmlformats.org/officeDocument/2006/relationships/image" Target="../media/image5.emf"/><Relationship Id="rId10" Type="http://schemas.openxmlformats.org/officeDocument/2006/relationships/image" Target="../media/image23.emf"/><Relationship Id="rId19" Type="http://schemas.openxmlformats.org/officeDocument/2006/relationships/image" Target="../media/image14.emf"/><Relationship Id="rId31" Type="http://schemas.openxmlformats.org/officeDocument/2006/relationships/image" Target="../media/image2.emf"/><Relationship Id="rId4" Type="http://schemas.openxmlformats.org/officeDocument/2006/relationships/image" Target="../media/image29.emf"/><Relationship Id="rId9" Type="http://schemas.openxmlformats.org/officeDocument/2006/relationships/image" Target="../media/image24.emf"/><Relationship Id="rId14" Type="http://schemas.openxmlformats.org/officeDocument/2006/relationships/image" Target="../media/image19.emf"/><Relationship Id="rId22" Type="http://schemas.openxmlformats.org/officeDocument/2006/relationships/image" Target="../media/image11.emf"/><Relationship Id="rId27" Type="http://schemas.openxmlformats.org/officeDocument/2006/relationships/image" Target="../media/image6.emf"/><Relationship Id="rId30" Type="http://schemas.openxmlformats.org/officeDocument/2006/relationships/image" Target="../media/image3.emf"/><Relationship Id="rId8" Type="http://schemas.openxmlformats.org/officeDocument/2006/relationships/image" Target="../media/image25.emf"/></Relationships>
</file>

<file path=xl/drawings/drawing1.xml><?xml version="1.0" encoding="utf-8"?>
<xdr:wsDr xmlns:xdr="http://schemas.openxmlformats.org/drawingml/2006/spreadsheetDrawing" xmlns:a="http://schemas.openxmlformats.org/drawingml/2006/main">
  <xdr:twoCellAnchor editAs="oneCell">
    <xdr:from>
      <xdr:col>7</xdr:col>
      <xdr:colOff>504825</xdr:colOff>
      <xdr:row>0</xdr:row>
      <xdr:rowOff>19050</xdr:rowOff>
    </xdr:from>
    <xdr:to>
      <xdr:col>30</xdr:col>
      <xdr:colOff>123825</xdr:colOff>
      <xdr:row>57</xdr:row>
      <xdr:rowOff>114300</xdr:rowOff>
    </xdr:to>
    <xdr:pic>
      <xdr:nvPicPr>
        <xdr:cNvPr id="60" name="Picture 59">
          <a:extLst>
            <a:ext uri="{FF2B5EF4-FFF2-40B4-BE49-F238E27FC236}">
              <a16:creationId xmlns:a16="http://schemas.microsoft.com/office/drawing/2014/main" id="{00000000-0008-0000-0000-00003C000000}"/>
            </a:ext>
          </a:extLst>
        </xdr:cNvPr>
        <xdr:cNvPicPr>
          <a:picLocks noChangeAspect="1" noChangeArrowheads="1"/>
        </xdr:cNvPicPr>
      </xdr:nvPicPr>
      <xdr:blipFill>
        <a:blip xmlns:r="http://schemas.openxmlformats.org/officeDocument/2006/relationships" r:embed="rId1">
          <a:alphaModFix amt="35000"/>
          <a:extLst>
            <a:ext uri="{28A0092B-C50C-407E-A947-70E740481C1C}">
              <a14:useLocalDpi xmlns:a14="http://schemas.microsoft.com/office/drawing/2010/main" val="0"/>
            </a:ext>
          </a:extLst>
        </a:blip>
        <a:srcRect/>
        <a:stretch>
          <a:fillRect/>
        </a:stretch>
      </xdr:blipFill>
      <xdr:spPr bwMode="auto">
        <a:xfrm>
          <a:off x="4772025" y="19050"/>
          <a:ext cx="13639800" cy="9324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14</xdr:col>
      <xdr:colOff>390525</xdr:colOff>
      <xdr:row>18</xdr:row>
      <xdr:rowOff>104774</xdr:rowOff>
    </xdr:from>
    <xdr:to>
      <xdr:col>20</xdr:col>
      <xdr:colOff>571500</xdr:colOff>
      <xdr:row>43</xdr:row>
      <xdr:rowOff>47624</xdr:rowOff>
    </xdr:to>
    <xdr:grpSp>
      <xdr:nvGrpSpPr>
        <xdr:cNvPr id="96" name="Group 95">
          <a:extLst>
            <a:ext uri="{FF2B5EF4-FFF2-40B4-BE49-F238E27FC236}">
              <a16:creationId xmlns:a16="http://schemas.microsoft.com/office/drawing/2014/main" id="{00000000-0008-0000-0000-000060000000}"/>
            </a:ext>
          </a:extLst>
        </xdr:cNvPr>
        <xdr:cNvGrpSpPr/>
      </xdr:nvGrpSpPr>
      <xdr:grpSpPr>
        <a:xfrm>
          <a:off x="8924925" y="3019424"/>
          <a:ext cx="3838575" cy="3990975"/>
          <a:chOff x="7448550" y="2486024"/>
          <a:chExt cx="3838575" cy="3990975"/>
        </a:xfrm>
      </xdr:grpSpPr>
      <xdr:graphicFrame macro="">
        <xdr:nvGraphicFramePr>
          <xdr:cNvPr id="57" name="Chart 56">
            <a:extLst>
              <a:ext uri="{FF2B5EF4-FFF2-40B4-BE49-F238E27FC236}">
                <a16:creationId xmlns:a16="http://schemas.microsoft.com/office/drawing/2014/main" id="{00000000-0008-0000-0000-000039000000}"/>
              </a:ext>
            </a:extLst>
          </xdr:cNvPr>
          <xdr:cNvGraphicFramePr>
            <a:graphicFrameLocks/>
          </xdr:cNvGraphicFramePr>
        </xdr:nvGraphicFramePr>
        <xdr:xfrm>
          <a:off x="7448550" y="2486024"/>
          <a:ext cx="3838575" cy="3990975"/>
        </xdr:xfrm>
        <a:graphic>
          <a:graphicData uri="http://schemas.openxmlformats.org/drawingml/2006/chart">
            <c:chart xmlns:c="http://schemas.openxmlformats.org/drawingml/2006/chart" xmlns:r="http://schemas.openxmlformats.org/officeDocument/2006/relationships" r:id="rId2"/>
          </a:graphicData>
        </a:graphic>
      </xdr:graphicFrame>
      <xdr:grpSp>
        <xdr:nvGrpSpPr>
          <xdr:cNvPr id="14" name="Group 13">
            <a:extLst>
              <a:ext uri="{FF2B5EF4-FFF2-40B4-BE49-F238E27FC236}">
                <a16:creationId xmlns:a16="http://schemas.microsoft.com/office/drawing/2014/main" id="{00000000-0008-0000-0000-00000E000000}"/>
              </a:ext>
            </a:extLst>
          </xdr:cNvPr>
          <xdr:cNvGrpSpPr/>
        </xdr:nvGrpSpPr>
        <xdr:grpSpPr>
          <a:xfrm>
            <a:off x="8197837" y="3311511"/>
            <a:ext cx="2340000" cy="2340000"/>
            <a:chOff x="8197837" y="3311511"/>
            <a:chExt cx="2340000" cy="2340000"/>
          </a:xfrm>
        </xdr:grpSpPr>
        <xdr:sp macro="" textlink="">
          <xdr:nvSpPr>
            <xdr:cNvPr id="16" name="Oval 15">
              <a:extLst>
                <a:ext uri="{FF2B5EF4-FFF2-40B4-BE49-F238E27FC236}">
                  <a16:creationId xmlns:a16="http://schemas.microsoft.com/office/drawing/2014/main" id="{00000000-0008-0000-0000-000010000000}"/>
                </a:ext>
              </a:extLst>
            </xdr:cNvPr>
            <xdr:cNvSpPr/>
          </xdr:nvSpPr>
          <xdr:spPr>
            <a:xfrm>
              <a:off x="8197837" y="3311511"/>
              <a:ext cx="2340000" cy="2340000"/>
            </a:xfrm>
            <a:prstGeom prst="ellipse">
              <a:avLst/>
            </a:prstGeom>
            <a:gradFill>
              <a:gsLst>
                <a:gs pos="0">
                  <a:srgbClr val="DC25FA">
                    <a:alpha val="20000"/>
                  </a:srgbClr>
                </a:gs>
                <a:gs pos="63000">
                  <a:srgbClr val="9947F7">
                    <a:alpha val="20000"/>
                  </a:srgbClr>
                </a:gs>
              </a:gsLst>
              <a:lin ang="3900000" scaled="0"/>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sp macro="" textlink="">
          <xdr:nvSpPr>
            <xdr:cNvPr id="18" name="Oval 17">
              <a:extLst>
                <a:ext uri="{FF2B5EF4-FFF2-40B4-BE49-F238E27FC236}">
                  <a16:creationId xmlns:a16="http://schemas.microsoft.com/office/drawing/2014/main" id="{00000000-0008-0000-0000-000012000000}"/>
                </a:ext>
              </a:extLst>
            </xdr:cNvPr>
            <xdr:cNvSpPr/>
          </xdr:nvSpPr>
          <xdr:spPr>
            <a:xfrm>
              <a:off x="8467837" y="3581511"/>
              <a:ext cx="1800000" cy="1800000"/>
            </a:xfrm>
            <a:prstGeom prst="ellipse">
              <a:avLst/>
            </a:prstGeom>
            <a:gradFill>
              <a:gsLst>
                <a:gs pos="0">
                  <a:srgbClr val="DC25FA"/>
                </a:gs>
                <a:gs pos="63000">
                  <a:srgbClr val="9947F7">
                    <a:alpha val="36000"/>
                  </a:srgbClr>
                </a:gs>
              </a:gsLst>
              <a:lin ang="3900000" scaled="0"/>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sp macro="" textlink="">
          <xdr:nvSpPr>
            <xdr:cNvPr id="19" name="Oval 18">
              <a:extLst>
                <a:ext uri="{FF2B5EF4-FFF2-40B4-BE49-F238E27FC236}">
                  <a16:creationId xmlns:a16="http://schemas.microsoft.com/office/drawing/2014/main" id="{00000000-0008-0000-0000-000013000000}"/>
                </a:ext>
              </a:extLst>
            </xdr:cNvPr>
            <xdr:cNvSpPr/>
          </xdr:nvSpPr>
          <xdr:spPr>
            <a:xfrm>
              <a:off x="8737837" y="3851511"/>
              <a:ext cx="1260000" cy="1260000"/>
            </a:xfrm>
            <a:prstGeom prst="ellipse">
              <a:avLst/>
            </a:prstGeom>
            <a:solidFill>
              <a:schemeClr val="tx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grpSp>
          <xdr:nvGrpSpPr>
            <xdr:cNvPr id="74" name="Group 73">
              <a:extLst>
                <a:ext uri="{FF2B5EF4-FFF2-40B4-BE49-F238E27FC236}">
                  <a16:creationId xmlns:a16="http://schemas.microsoft.com/office/drawing/2014/main" id="{00000000-0008-0000-0000-00004A000000}"/>
                </a:ext>
              </a:extLst>
            </xdr:cNvPr>
            <xdr:cNvGrpSpPr/>
          </xdr:nvGrpSpPr>
          <xdr:grpSpPr>
            <a:xfrm>
              <a:off x="8743950" y="4152899"/>
              <a:ext cx="1247775" cy="657225"/>
              <a:chOff x="7753350" y="3743325"/>
              <a:chExt cx="1247775" cy="657225"/>
            </a:xfrm>
          </xdr:grpSpPr>
          <xdr:sp macro="" textlink="Pivot_tables!Q7">
            <xdr:nvSpPr>
              <xdr:cNvPr id="75" name="TextBox 74">
                <a:extLst>
                  <a:ext uri="{FF2B5EF4-FFF2-40B4-BE49-F238E27FC236}">
                    <a16:creationId xmlns:a16="http://schemas.microsoft.com/office/drawing/2014/main" id="{00000000-0008-0000-0000-00004B000000}"/>
                  </a:ext>
                </a:extLst>
              </xdr:cNvPr>
              <xdr:cNvSpPr txBox="1"/>
            </xdr:nvSpPr>
            <xdr:spPr>
              <a:xfrm>
                <a:off x="7786687" y="3743325"/>
                <a:ext cx="1181100" cy="3429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fld id="{1F921F0E-066B-4447-B535-B927CBFFB303}" type="TxLink">
                  <a:rPr lang="en-US" sz="2400" b="0" i="0" u="none" strike="noStrike">
                    <a:solidFill>
                      <a:schemeClr val="bg1"/>
                    </a:solidFill>
                    <a:latin typeface="Arial"/>
                    <a:cs typeface="Arial"/>
                  </a:rPr>
                  <a:pPr algn="ctr"/>
                  <a:t>100%</a:t>
                </a:fld>
                <a:endParaRPr lang="en-CA" sz="6600">
                  <a:solidFill>
                    <a:schemeClr val="bg1"/>
                  </a:solidFill>
                  <a:latin typeface="Avenir Next LT Pro" panose="020B0504020202020204" pitchFamily="34" charset="0"/>
                </a:endParaRPr>
              </a:p>
            </xdr:txBody>
          </xdr:sp>
          <xdr:sp macro="" textlink="">
            <xdr:nvSpPr>
              <xdr:cNvPr id="76" name="TextBox 75">
                <a:extLst>
                  <a:ext uri="{FF2B5EF4-FFF2-40B4-BE49-F238E27FC236}">
                    <a16:creationId xmlns:a16="http://schemas.microsoft.com/office/drawing/2014/main" id="{00000000-0008-0000-0000-00004C000000}"/>
                  </a:ext>
                </a:extLst>
              </xdr:cNvPr>
              <xdr:cNvSpPr txBox="1"/>
            </xdr:nvSpPr>
            <xdr:spPr>
              <a:xfrm>
                <a:off x="7753350" y="4124325"/>
                <a:ext cx="1247775" cy="2762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ctr"/>
                <a:r>
                  <a:rPr lang="en-CA" sz="1200" b="0" i="0" u="none" strike="noStrike">
                    <a:solidFill>
                      <a:schemeClr val="bg1"/>
                    </a:solidFill>
                    <a:effectLst/>
                    <a:latin typeface="Avenir Next LT Pro" panose="020B0504020202020204" pitchFamily="34" charset="0"/>
                    <a:ea typeface="+mn-ea"/>
                    <a:cs typeface="+mn-cs"/>
                  </a:rPr>
                  <a:t>Of  Total Sale</a:t>
                </a:r>
                <a:endParaRPr lang="en-CA" sz="1200">
                  <a:solidFill>
                    <a:schemeClr val="bg1"/>
                  </a:solidFill>
                  <a:latin typeface="Avenir Next LT Pro" panose="020B0504020202020204" pitchFamily="34" charset="0"/>
                </a:endParaRPr>
              </a:p>
            </xdr:txBody>
          </xdr:sp>
        </xdr:grpSp>
      </xdr:grpSp>
    </xdr:grpSp>
    <xdr:clientData/>
  </xdr:twoCellAnchor>
  <xdr:twoCellAnchor editAs="absolute">
    <xdr:from>
      <xdr:col>10</xdr:col>
      <xdr:colOff>66675</xdr:colOff>
      <xdr:row>6</xdr:row>
      <xdr:rowOff>76198</xdr:rowOff>
    </xdr:from>
    <xdr:to>
      <xdr:col>25</xdr:col>
      <xdr:colOff>285750</xdr:colOff>
      <xdr:row>55</xdr:row>
      <xdr:rowOff>76200</xdr:rowOff>
    </xdr:to>
    <xdr:graphicFrame macro="">
      <xdr:nvGraphicFramePr>
        <xdr:cNvPr id="59" name="Chart 21">
          <a:extLst>
            <a:ext uri="{FF2B5EF4-FFF2-40B4-BE49-F238E27FC236}">
              <a16:creationId xmlns:a16="http://schemas.microsoft.com/office/drawing/2014/main" id="{00000000-0008-0000-0000-00003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27</xdr:col>
      <xdr:colOff>38099</xdr:colOff>
      <xdr:row>9</xdr:row>
      <xdr:rowOff>138112</xdr:rowOff>
    </xdr:from>
    <xdr:to>
      <xdr:col>28</xdr:col>
      <xdr:colOff>409575</xdr:colOff>
      <xdr:row>51</xdr:row>
      <xdr:rowOff>147638</xdr:rowOff>
    </xdr:to>
    <xdr:grpSp>
      <xdr:nvGrpSpPr>
        <xdr:cNvPr id="54" name="Group 53">
          <a:extLst>
            <a:ext uri="{FF2B5EF4-FFF2-40B4-BE49-F238E27FC236}">
              <a16:creationId xmlns:a16="http://schemas.microsoft.com/office/drawing/2014/main" id="{00000000-0008-0000-0000-000036000000}"/>
            </a:ext>
          </a:extLst>
        </xdr:cNvPr>
        <xdr:cNvGrpSpPr/>
      </xdr:nvGrpSpPr>
      <xdr:grpSpPr>
        <a:xfrm>
          <a:off x="16497299" y="1595437"/>
          <a:ext cx="981076" cy="6810376"/>
          <a:chOff x="16934273" y="1085850"/>
          <a:chExt cx="981076" cy="6867526"/>
        </a:xfrm>
      </xdr:grpSpPr>
      <xdr:grpSp>
        <xdr:nvGrpSpPr>
          <xdr:cNvPr id="15" name="Group 14">
            <a:extLst>
              <a:ext uri="{FF2B5EF4-FFF2-40B4-BE49-F238E27FC236}">
                <a16:creationId xmlns:a16="http://schemas.microsoft.com/office/drawing/2014/main" id="{00000000-0008-0000-0000-00000F000000}"/>
              </a:ext>
            </a:extLst>
          </xdr:cNvPr>
          <xdr:cNvGrpSpPr/>
        </xdr:nvGrpSpPr>
        <xdr:grpSpPr>
          <a:xfrm>
            <a:off x="16974811" y="1085850"/>
            <a:ext cx="900000" cy="1143000"/>
            <a:chOff x="16980693" y="1209675"/>
            <a:chExt cx="900000" cy="1143000"/>
          </a:xfrm>
        </xdr:grpSpPr>
        <xdr:sp macro="" textlink="">
          <xdr:nvSpPr>
            <xdr:cNvPr id="7" name="Rectangle: Rounded Corners 6">
              <a:extLst>
                <a:ext uri="{FF2B5EF4-FFF2-40B4-BE49-F238E27FC236}">
                  <a16:creationId xmlns:a16="http://schemas.microsoft.com/office/drawing/2014/main" id="{00000000-0008-0000-0000-000007000000}"/>
                </a:ext>
              </a:extLst>
            </xdr:cNvPr>
            <xdr:cNvSpPr/>
          </xdr:nvSpPr>
          <xdr:spPr>
            <a:xfrm>
              <a:off x="16980693" y="1209675"/>
              <a:ext cx="900000" cy="1143000"/>
            </a:xfrm>
            <a:prstGeom prst="roundRect">
              <a:avLst/>
            </a:prstGeom>
            <a:solidFill>
              <a:srgbClr val="070E25"/>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sp macro="" textlink="">
          <xdr:nvSpPr>
            <xdr:cNvPr id="8" name="TextBox 7">
              <a:extLst>
                <a:ext uri="{FF2B5EF4-FFF2-40B4-BE49-F238E27FC236}">
                  <a16:creationId xmlns:a16="http://schemas.microsoft.com/office/drawing/2014/main" id="{00000000-0008-0000-0000-000008000000}"/>
                </a:ext>
              </a:extLst>
            </xdr:cNvPr>
            <xdr:cNvSpPr txBox="1"/>
          </xdr:nvSpPr>
          <xdr:spPr>
            <a:xfrm>
              <a:off x="16987780" y="1866900"/>
              <a:ext cx="885826" cy="4667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ctr"/>
              <a:r>
                <a:rPr lang="en-US" sz="1400" b="0" i="0" u="none" strike="noStrike">
                  <a:solidFill>
                    <a:schemeClr val="bg1"/>
                  </a:solidFill>
                  <a:latin typeface="Avenir Next LT Pro" panose="020B0504020202020204" pitchFamily="34" charset="0"/>
                  <a:cs typeface="+mn-cs"/>
                </a:rPr>
                <a:t>Average</a:t>
              </a:r>
              <a:endParaRPr lang="en-US" sz="1500" b="0" i="0" u="none" strike="noStrike" baseline="0">
                <a:solidFill>
                  <a:schemeClr val="bg1"/>
                </a:solidFill>
                <a:latin typeface="Avenir Next LT Pro" panose="020B0504020202020204" pitchFamily="34" charset="0"/>
                <a:cs typeface="+mn-cs"/>
              </a:endParaRPr>
            </a:p>
            <a:p>
              <a:pPr algn="ctr"/>
              <a:r>
                <a:rPr lang="en-US" sz="900" b="0" i="0" u="none" strike="noStrike" baseline="0">
                  <a:solidFill>
                    <a:schemeClr val="bg1"/>
                  </a:solidFill>
                  <a:latin typeface="Avenir Next LT Pro" panose="020B0504020202020204" pitchFamily="34" charset="0"/>
                  <a:cs typeface="+mn-cs"/>
                </a:rPr>
                <a:t>Monthly Sale</a:t>
              </a:r>
              <a:endParaRPr lang="en-US" sz="900" b="0" i="0" u="none" strike="noStrike">
                <a:solidFill>
                  <a:schemeClr val="bg1"/>
                </a:solidFill>
                <a:latin typeface="Avenir Next LT Pro" panose="020B0504020202020204" pitchFamily="34" charset="0"/>
                <a:cs typeface="+mn-cs"/>
              </a:endParaRPr>
            </a:p>
          </xdr:txBody>
        </xdr:sp>
        <xdr:sp macro="" textlink="Pivot_tables!E28">
          <xdr:nvSpPr>
            <xdr:cNvPr id="12" name="TextBox 11">
              <a:extLst>
                <a:ext uri="{FF2B5EF4-FFF2-40B4-BE49-F238E27FC236}">
                  <a16:creationId xmlns:a16="http://schemas.microsoft.com/office/drawing/2014/main" id="{00000000-0008-0000-0000-00000C000000}"/>
                </a:ext>
              </a:extLst>
            </xdr:cNvPr>
            <xdr:cNvSpPr txBox="1"/>
          </xdr:nvSpPr>
          <xdr:spPr>
            <a:xfrm>
              <a:off x="16987780" y="1604963"/>
              <a:ext cx="885826" cy="2762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ctr"/>
              <a:fld id="{4295E37B-7B29-4E56-BF6D-B227847F9A7D}" type="TxLink">
                <a:rPr lang="en-US" sz="1400" b="0" i="0" u="none" strike="noStrike">
                  <a:solidFill>
                    <a:schemeClr val="bg1"/>
                  </a:solidFill>
                  <a:latin typeface="Arial"/>
                  <a:cs typeface="Arial"/>
                </a:rPr>
                <a:pPr algn="ctr"/>
                <a:t> 313,587 </a:t>
              </a:fld>
              <a:endParaRPr lang="en-US" sz="2400" b="0" i="0" u="none" strike="noStrike">
                <a:solidFill>
                  <a:schemeClr val="bg1"/>
                </a:solidFill>
                <a:latin typeface="Avenir Next LT Pro" panose="020B0504020202020204" pitchFamily="34" charset="0"/>
                <a:cs typeface="+mn-cs"/>
              </a:endParaRPr>
            </a:p>
          </xdr:txBody>
        </xdr:sp>
        <xdr:sp macro="" textlink="">
          <xdr:nvSpPr>
            <xdr:cNvPr id="13" name="TextBox 12">
              <a:extLst>
                <a:ext uri="{FF2B5EF4-FFF2-40B4-BE49-F238E27FC236}">
                  <a16:creationId xmlns:a16="http://schemas.microsoft.com/office/drawing/2014/main" id="{00000000-0008-0000-0000-00000D000000}"/>
                </a:ext>
              </a:extLst>
            </xdr:cNvPr>
            <xdr:cNvSpPr txBox="1"/>
          </xdr:nvSpPr>
          <xdr:spPr>
            <a:xfrm>
              <a:off x="17021175" y="1304925"/>
              <a:ext cx="352426" cy="2762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ctr"/>
              <a:r>
                <a:rPr lang="en-US" sz="1400" b="0" i="0" u="none" strike="noStrike">
                  <a:solidFill>
                    <a:srgbClr val="FFC000"/>
                  </a:solidFill>
                  <a:latin typeface="Arial"/>
                  <a:cs typeface="Arial"/>
                </a:rPr>
                <a:t>X̅ </a:t>
              </a:r>
            </a:p>
          </xdr:txBody>
        </xdr:sp>
      </xdr:grpSp>
      <xdr:grpSp>
        <xdr:nvGrpSpPr>
          <xdr:cNvPr id="36" name="Group 35">
            <a:extLst>
              <a:ext uri="{FF2B5EF4-FFF2-40B4-BE49-F238E27FC236}">
                <a16:creationId xmlns:a16="http://schemas.microsoft.com/office/drawing/2014/main" id="{00000000-0008-0000-0000-000024000000}"/>
              </a:ext>
            </a:extLst>
          </xdr:cNvPr>
          <xdr:cNvGrpSpPr/>
        </xdr:nvGrpSpPr>
        <xdr:grpSpPr>
          <a:xfrm>
            <a:off x="16974755" y="2471737"/>
            <a:ext cx="900113" cy="2619376"/>
            <a:chOff x="16978242" y="2581275"/>
            <a:chExt cx="900113" cy="2619376"/>
          </a:xfrm>
        </xdr:grpSpPr>
        <xdr:sp macro="" textlink="">
          <xdr:nvSpPr>
            <xdr:cNvPr id="20" name="Rectangle: Rounded Corners 19">
              <a:extLst>
                <a:ext uri="{FF2B5EF4-FFF2-40B4-BE49-F238E27FC236}">
                  <a16:creationId xmlns:a16="http://schemas.microsoft.com/office/drawing/2014/main" id="{00000000-0008-0000-0000-000014000000}"/>
                </a:ext>
              </a:extLst>
            </xdr:cNvPr>
            <xdr:cNvSpPr/>
          </xdr:nvSpPr>
          <xdr:spPr>
            <a:xfrm>
              <a:off x="16978298" y="2581275"/>
              <a:ext cx="900000" cy="2619376"/>
            </a:xfrm>
            <a:prstGeom prst="roundRect">
              <a:avLst/>
            </a:prstGeom>
            <a:solidFill>
              <a:srgbClr val="070E25"/>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grpSp>
          <xdr:nvGrpSpPr>
            <xdr:cNvPr id="32" name="Group 31">
              <a:extLst>
                <a:ext uri="{FF2B5EF4-FFF2-40B4-BE49-F238E27FC236}">
                  <a16:creationId xmlns:a16="http://schemas.microsoft.com/office/drawing/2014/main" id="{00000000-0008-0000-0000-000020000000}"/>
                </a:ext>
              </a:extLst>
            </xdr:cNvPr>
            <xdr:cNvGrpSpPr/>
          </xdr:nvGrpSpPr>
          <xdr:grpSpPr>
            <a:xfrm>
              <a:off x="16978242" y="2712244"/>
              <a:ext cx="900113" cy="2357438"/>
              <a:chOff x="16975903" y="2667000"/>
              <a:chExt cx="900113" cy="2357438"/>
            </a:xfrm>
          </xdr:grpSpPr>
          <xdr:sp macro="" textlink="">
            <xdr:nvSpPr>
              <xdr:cNvPr id="21" name="TextBox 20">
                <a:extLst>
                  <a:ext uri="{FF2B5EF4-FFF2-40B4-BE49-F238E27FC236}">
                    <a16:creationId xmlns:a16="http://schemas.microsoft.com/office/drawing/2014/main" id="{00000000-0008-0000-0000-000015000000}"/>
                  </a:ext>
                </a:extLst>
              </xdr:cNvPr>
              <xdr:cNvSpPr txBox="1"/>
            </xdr:nvSpPr>
            <xdr:spPr>
              <a:xfrm>
                <a:off x="16983046" y="2667000"/>
                <a:ext cx="885826" cy="59055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ctr"/>
                <a:r>
                  <a:rPr lang="en-US" sz="1100" b="0" i="0" u="none" strike="noStrike">
                    <a:solidFill>
                      <a:schemeClr val="bg1"/>
                    </a:solidFill>
                    <a:latin typeface="Avenir Next LT Pro" panose="020B0504020202020204" pitchFamily="34" charset="0"/>
                    <a:cs typeface="+mn-cs"/>
                  </a:rPr>
                  <a:t>Operating</a:t>
                </a:r>
              </a:p>
              <a:p>
                <a:pPr algn="ctr"/>
                <a:r>
                  <a:rPr lang="en-US" sz="1800" b="0" i="0" u="none" strike="noStrike">
                    <a:solidFill>
                      <a:schemeClr val="bg1"/>
                    </a:solidFill>
                    <a:latin typeface="Avenir Next LT Pro" panose="020B0504020202020204" pitchFamily="34" charset="0"/>
                    <a:cs typeface="+mn-cs"/>
                  </a:rPr>
                  <a:t>Profit</a:t>
                </a:r>
                <a:endParaRPr lang="en-US" sz="1100" b="0" i="0" u="none" strike="noStrike">
                  <a:solidFill>
                    <a:schemeClr val="bg1"/>
                  </a:solidFill>
                  <a:latin typeface="Avenir Next LT Pro" panose="020B0504020202020204" pitchFamily="34" charset="0"/>
                  <a:cs typeface="+mn-cs"/>
                </a:endParaRPr>
              </a:p>
            </xdr:txBody>
          </xdr:sp>
          <xdr:sp macro="" textlink="Pivot_tables!E32">
            <xdr:nvSpPr>
              <xdr:cNvPr id="28" name="TextBox 27">
                <a:extLst>
                  <a:ext uri="{FF2B5EF4-FFF2-40B4-BE49-F238E27FC236}">
                    <a16:creationId xmlns:a16="http://schemas.microsoft.com/office/drawing/2014/main" id="{00000000-0008-0000-0000-00001C000000}"/>
                  </a:ext>
                </a:extLst>
              </xdr:cNvPr>
              <xdr:cNvSpPr txBox="1"/>
            </xdr:nvSpPr>
            <xdr:spPr>
              <a:xfrm>
                <a:off x="16983046" y="4748213"/>
                <a:ext cx="885826" cy="2762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ctr"/>
                <a:fld id="{D34E5174-9803-4947-8741-54A040649C07}" type="TxLink">
                  <a:rPr lang="en-US" sz="1400" b="0" i="0" u="none" strike="noStrike">
                    <a:solidFill>
                      <a:schemeClr val="bg1"/>
                    </a:solidFill>
                    <a:latin typeface="Arial"/>
                    <a:cs typeface="Arial"/>
                  </a:rPr>
                  <a:pPr algn="ctr"/>
                  <a:t> 215,023 </a:t>
                </a:fld>
                <a:endParaRPr lang="en-US" sz="4000" b="0" i="0" u="none" strike="noStrike">
                  <a:solidFill>
                    <a:schemeClr val="bg1"/>
                  </a:solidFill>
                  <a:latin typeface="Avenir Next LT Pro" panose="020B0504020202020204" pitchFamily="34" charset="0"/>
                  <a:cs typeface="+mn-cs"/>
                </a:endParaRPr>
              </a:p>
            </xdr:txBody>
          </xdr:sp>
          <xdr:graphicFrame macro="">
            <xdr:nvGraphicFramePr>
              <xdr:cNvPr id="30" name="Chart 29">
                <a:extLst>
                  <a:ext uri="{FF2B5EF4-FFF2-40B4-BE49-F238E27FC236}">
                    <a16:creationId xmlns:a16="http://schemas.microsoft.com/office/drawing/2014/main" id="{00000000-0008-0000-0000-00001E000000}"/>
                  </a:ext>
                </a:extLst>
              </xdr:cNvPr>
              <xdr:cNvGraphicFramePr>
                <a:graphicFrameLocks/>
              </xdr:cNvGraphicFramePr>
            </xdr:nvGraphicFramePr>
            <xdr:xfrm>
              <a:off x="16975903" y="3236119"/>
              <a:ext cx="900113" cy="1533525"/>
            </xdr:xfrm>
            <a:graphic>
              <a:graphicData uri="http://schemas.openxmlformats.org/drawingml/2006/chart">
                <c:chart xmlns:c="http://schemas.openxmlformats.org/drawingml/2006/chart" xmlns:r="http://schemas.openxmlformats.org/officeDocument/2006/relationships" r:id="rId4"/>
              </a:graphicData>
            </a:graphic>
          </xdr:graphicFrame>
        </xdr:grpSp>
      </xdr:grpSp>
      <xdr:grpSp>
        <xdr:nvGrpSpPr>
          <xdr:cNvPr id="29" name="Group 28">
            <a:extLst>
              <a:ext uri="{FF2B5EF4-FFF2-40B4-BE49-F238E27FC236}">
                <a16:creationId xmlns:a16="http://schemas.microsoft.com/office/drawing/2014/main" id="{00000000-0008-0000-0000-00001D000000}"/>
              </a:ext>
            </a:extLst>
          </xdr:cNvPr>
          <xdr:cNvGrpSpPr/>
        </xdr:nvGrpSpPr>
        <xdr:grpSpPr>
          <a:xfrm>
            <a:off x="16934273" y="5334000"/>
            <a:ext cx="981076" cy="2619376"/>
            <a:chOff x="16934273" y="5334000"/>
            <a:chExt cx="981076" cy="2619376"/>
          </a:xfrm>
        </xdr:grpSpPr>
        <xdr:sp macro="" textlink="">
          <xdr:nvSpPr>
            <xdr:cNvPr id="56" name="Rectangle: Rounded Corners 55">
              <a:extLst>
                <a:ext uri="{FF2B5EF4-FFF2-40B4-BE49-F238E27FC236}">
                  <a16:creationId xmlns:a16="http://schemas.microsoft.com/office/drawing/2014/main" id="{00000000-0008-0000-0000-000038000000}"/>
                </a:ext>
              </a:extLst>
            </xdr:cNvPr>
            <xdr:cNvSpPr/>
          </xdr:nvSpPr>
          <xdr:spPr>
            <a:xfrm>
              <a:off x="16974811" y="5334000"/>
              <a:ext cx="900000" cy="2619376"/>
            </a:xfrm>
            <a:prstGeom prst="roundRect">
              <a:avLst/>
            </a:prstGeom>
            <a:solidFill>
              <a:srgbClr val="070E25"/>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sp macro="" textlink="">
          <xdr:nvSpPr>
            <xdr:cNvPr id="58" name="TextBox 57">
              <a:extLst>
                <a:ext uri="{FF2B5EF4-FFF2-40B4-BE49-F238E27FC236}">
                  <a16:creationId xmlns:a16="http://schemas.microsoft.com/office/drawing/2014/main" id="{00000000-0008-0000-0000-00003A000000}"/>
                </a:ext>
              </a:extLst>
            </xdr:cNvPr>
            <xdr:cNvSpPr txBox="1"/>
          </xdr:nvSpPr>
          <xdr:spPr>
            <a:xfrm>
              <a:off x="16981898" y="5464969"/>
              <a:ext cx="885826" cy="59055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ctr"/>
              <a:r>
                <a:rPr lang="en-US" sz="1100" b="0" i="0" u="none" strike="noStrike">
                  <a:solidFill>
                    <a:schemeClr val="bg1"/>
                  </a:solidFill>
                  <a:latin typeface="Avenir Next LT Pro" panose="020B0504020202020204" pitchFamily="34" charset="0"/>
                  <a:cs typeface="+mn-cs"/>
                </a:rPr>
                <a:t>By Region</a:t>
              </a:r>
            </a:p>
            <a:p>
              <a:pPr algn="ctr"/>
              <a:r>
                <a:rPr lang="en-US" sz="1800" b="0" i="0" u="none" strike="noStrike">
                  <a:solidFill>
                    <a:schemeClr val="bg1"/>
                  </a:solidFill>
                  <a:latin typeface="Avenir Next LT Pro" panose="020B0504020202020204" pitchFamily="34" charset="0"/>
                  <a:cs typeface="+mn-cs"/>
                </a:rPr>
                <a:t>Profit</a:t>
              </a:r>
              <a:endParaRPr lang="en-US" sz="1100" b="0" i="0" u="none" strike="noStrike">
                <a:solidFill>
                  <a:schemeClr val="bg1"/>
                </a:solidFill>
                <a:latin typeface="Avenir Next LT Pro" panose="020B0504020202020204" pitchFamily="34" charset="0"/>
                <a:cs typeface="+mn-cs"/>
              </a:endParaRPr>
            </a:p>
          </xdr:txBody>
        </xdr:sp>
        <xdr:graphicFrame macro="">
          <xdr:nvGraphicFramePr>
            <xdr:cNvPr id="62" name="Chart 61">
              <a:extLst>
                <a:ext uri="{FF2B5EF4-FFF2-40B4-BE49-F238E27FC236}">
                  <a16:creationId xmlns:a16="http://schemas.microsoft.com/office/drawing/2014/main" id="{00000000-0008-0000-0000-00003E000000}"/>
                </a:ext>
              </a:extLst>
            </xdr:cNvPr>
            <xdr:cNvGraphicFramePr>
              <a:graphicFrameLocks/>
            </xdr:cNvGraphicFramePr>
          </xdr:nvGraphicFramePr>
          <xdr:xfrm>
            <a:off x="16934273" y="5381624"/>
            <a:ext cx="981076" cy="2562225"/>
          </xdr:xfrm>
          <a:graphic>
            <a:graphicData uri="http://schemas.openxmlformats.org/drawingml/2006/chart">
              <c:chart xmlns:c="http://schemas.openxmlformats.org/drawingml/2006/chart" xmlns:r="http://schemas.openxmlformats.org/officeDocument/2006/relationships" r:id="rId5"/>
            </a:graphicData>
          </a:graphic>
        </xdr:graphicFrame>
      </xdr:grpSp>
    </xdr:grpSp>
    <xdr:clientData/>
  </xdr:twoCellAnchor>
  <xdr:twoCellAnchor>
    <xdr:from>
      <xdr:col>1</xdr:col>
      <xdr:colOff>100161</xdr:colOff>
      <xdr:row>21</xdr:row>
      <xdr:rowOff>85725</xdr:rowOff>
    </xdr:from>
    <xdr:to>
      <xdr:col>7</xdr:col>
      <xdr:colOff>366561</xdr:colOff>
      <xdr:row>26</xdr:row>
      <xdr:rowOff>66675</xdr:rowOff>
    </xdr:to>
    <xdr:grpSp>
      <xdr:nvGrpSpPr>
        <xdr:cNvPr id="124" name="Group 123">
          <a:extLst>
            <a:ext uri="{FF2B5EF4-FFF2-40B4-BE49-F238E27FC236}">
              <a16:creationId xmlns:a16="http://schemas.microsoft.com/office/drawing/2014/main" id="{00000000-0008-0000-0000-00007C000000}"/>
            </a:ext>
          </a:extLst>
        </xdr:cNvPr>
        <xdr:cNvGrpSpPr/>
      </xdr:nvGrpSpPr>
      <xdr:grpSpPr>
        <a:xfrm>
          <a:off x="709761" y="3486150"/>
          <a:ext cx="3924000" cy="790575"/>
          <a:chOff x="371475" y="3048000"/>
          <a:chExt cx="3924000" cy="790575"/>
        </a:xfrm>
      </xdr:grpSpPr>
      <xdr:sp macro="" textlink="Pivot_tables!O6">
        <xdr:nvSpPr>
          <xdr:cNvPr id="24" name="TextBox 23">
            <a:extLst>
              <a:ext uri="{FF2B5EF4-FFF2-40B4-BE49-F238E27FC236}">
                <a16:creationId xmlns:a16="http://schemas.microsoft.com/office/drawing/2014/main" id="{00000000-0008-0000-0000-000018000000}"/>
              </a:ext>
            </a:extLst>
          </xdr:cNvPr>
          <xdr:cNvSpPr txBox="1"/>
        </xdr:nvSpPr>
        <xdr:spPr>
          <a:xfrm>
            <a:off x="2619075" y="3048000"/>
            <a:ext cx="1676400" cy="3429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r"/>
            <a:fld id="{C3B0D0F7-7E89-43CF-B711-72612C6D718B}" type="TxLink">
              <a:rPr lang="en-US" sz="2400" b="0" i="0" u="none" strike="noStrike">
                <a:solidFill>
                  <a:schemeClr val="bg1"/>
                </a:solidFill>
                <a:latin typeface="Avenir Next LT Pro" panose="020B0504020202020204" pitchFamily="34" charset="0"/>
                <a:cs typeface="Arial"/>
              </a:rPr>
              <a:pPr algn="r"/>
              <a:t> 1,881,525 </a:t>
            </a:fld>
            <a:endParaRPr lang="en-CA" sz="2400">
              <a:solidFill>
                <a:schemeClr val="bg1"/>
              </a:solidFill>
              <a:latin typeface="Avenir Next LT Pro" panose="020B0504020202020204" pitchFamily="34" charset="0"/>
            </a:endParaRPr>
          </a:p>
        </xdr:txBody>
      </xdr:sp>
      <xdr:sp macro="" textlink="">
        <xdr:nvSpPr>
          <xdr:cNvPr id="25" name="TextBox 24">
            <a:extLst>
              <a:ext uri="{FF2B5EF4-FFF2-40B4-BE49-F238E27FC236}">
                <a16:creationId xmlns:a16="http://schemas.microsoft.com/office/drawing/2014/main" id="{00000000-0008-0000-0000-000019000000}"/>
              </a:ext>
            </a:extLst>
          </xdr:cNvPr>
          <xdr:cNvSpPr txBox="1"/>
        </xdr:nvSpPr>
        <xdr:spPr>
          <a:xfrm>
            <a:off x="371475" y="3048000"/>
            <a:ext cx="1952624" cy="3429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l"/>
            <a:r>
              <a:rPr lang="en-CA" sz="1800">
                <a:solidFill>
                  <a:schemeClr val="bg1"/>
                </a:solidFill>
                <a:latin typeface="Avenir Next LT Pro" panose="020B0504020202020204" pitchFamily="34" charset="0"/>
              </a:rPr>
              <a:t>Cumulative</a:t>
            </a:r>
            <a:r>
              <a:rPr lang="en-CA" sz="1800" baseline="0">
                <a:solidFill>
                  <a:schemeClr val="bg1"/>
                </a:solidFill>
                <a:latin typeface="Avenir Next LT Pro" panose="020B0504020202020204" pitchFamily="34" charset="0"/>
              </a:rPr>
              <a:t> Sale</a:t>
            </a:r>
            <a:endParaRPr lang="en-CA" sz="1800">
              <a:solidFill>
                <a:schemeClr val="bg1"/>
              </a:solidFill>
              <a:latin typeface="Avenir Next LT Pro" panose="020B0504020202020204" pitchFamily="34" charset="0"/>
            </a:endParaRPr>
          </a:p>
        </xdr:txBody>
      </xdr:sp>
      <xdr:sp macro="" textlink="Pivot_tables!S6">
        <xdr:nvSpPr>
          <xdr:cNvPr id="26" name="TextBox 25">
            <a:extLst>
              <a:ext uri="{FF2B5EF4-FFF2-40B4-BE49-F238E27FC236}">
                <a16:creationId xmlns:a16="http://schemas.microsoft.com/office/drawing/2014/main" id="{00000000-0008-0000-0000-00001A000000}"/>
              </a:ext>
            </a:extLst>
          </xdr:cNvPr>
          <xdr:cNvSpPr txBox="1"/>
        </xdr:nvSpPr>
        <xdr:spPr>
          <a:xfrm>
            <a:off x="2619075" y="3495675"/>
            <a:ext cx="1676400" cy="3429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r"/>
            <a:fld id="{1ECA40E3-E9AF-4147-A7CE-F8545F6A1D64}" type="TxLink">
              <a:rPr lang="en-US" sz="2400" b="0" i="0" u="none" strike="noStrike">
                <a:solidFill>
                  <a:schemeClr val="bg1"/>
                </a:solidFill>
                <a:latin typeface="Avenir Next LT Pro" panose="020B0504020202020204" pitchFamily="34" charset="0"/>
                <a:cs typeface="Arial"/>
              </a:rPr>
              <a:pPr algn="r"/>
              <a:t>11.43%</a:t>
            </a:fld>
            <a:endParaRPr lang="en-CA" sz="2400">
              <a:solidFill>
                <a:schemeClr val="bg1"/>
              </a:solidFill>
              <a:latin typeface="Avenir Next LT Pro" panose="020B0504020202020204" pitchFamily="34" charset="0"/>
            </a:endParaRPr>
          </a:p>
        </xdr:txBody>
      </xdr:sp>
      <xdr:sp macro="" textlink="">
        <xdr:nvSpPr>
          <xdr:cNvPr id="27" name="TextBox 26">
            <a:extLst>
              <a:ext uri="{FF2B5EF4-FFF2-40B4-BE49-F238E27FC236}">
                <a16:creationId xmlns:a16="http://schemas.microsoft.com/office/drawing/2014/main" id="{00000000-0008-0000-0000-00001B000000}"/>
              </a:ext>
            </a:extLst>
          </xdr:cNvPr>
          <xdr:cNvSpPr txBox="1"/>
        </xdr:nvSpPr>
        <xdr:spPr>
          <a:xfrm>
            <a:off x="371475" y="3495675"/>
            <a:ext cx="2000250" cy="3429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l"/>
            <a:r>
              <a:rPr lang="en-CA" sz="1800">
                <a:solidFill>
                  <a:schemeClr val="bg1"/>
                </a:solidFill>
                <a:latin typeface="Avenir Next LT Pro" panose="020B0504020202020204" pitchFamily="34" charset="0"/>
              </a:rPr>
              <a:t>Net Profit </a:t>
            </a:r>
          </a:p>
        </xdr:txBody>
      </xdr:sp>
    </xdr:grpSp>
    <xdr:clientData/>
  </xdr:twoCellAnchor>
  <xdr:twoCellAnchor>
    <xdr:from>
      <xdr:col>0</xdr:col>
      <xdr:colOff>608324</xdr:colOff>
      <xdr:row>5</xdr:row>
      <xdr:rowOff>133350</xdr:rowOff>
    </xdr:from>
    <xdr:to>
      <xdr:col>7</xdr:col>
      <xdr:colOff>466724</xdr:colOff>
      <xdr:row>55</xdr:row>
      <xdr:rowOff>152401</xdr:rowOff>
    </xdr:to>
    <xdr:grpSp>
      <xdr:nvGrpSpPr>
        <xdr:cNvPr id="11" name="Group 10">
          <a:extLst>
            <a:ext uri="{FF2B5EF4-FFF2-40B4-BE49-F238E27FC236}">
              <a16:creationId xmlns:a16="http://schemas.microsoft.com/office/drawing/2014/main" id="{00000000-0008-0000-0000-00000B000000}"/>
            </a:ext>
          </a:extLst>
        </xdr:cNvPr>
        <xdr:cNvGrpSpPr/>
      </xdr:nvGrpSpPr>
      <xdr:grpSpPr>
        <a:xfrm>
          <a:off x="608324" y="942975"/>
          <a:ext cx="4125600" cy="8115301"/>
          <a:chOff x="608324" y="942975"/>
          <a:chExt cx="4125600" cy="8115301"/>
        </a:xfrm>
      </xdr:grpSpPr>
      <xdr:sp macro="" textlink="">
        <xdr:nvSpPr>
          <xdr:cNvPr id="5" name="Rectangle: Rounded Corners 40">
            <a:extLst>
              <a:ext uri="{FF2B5EF4-FFF2-40B4-BE49-F238E27FC236}">
                <a16:creationId xmlns:a16="http://schemas.microsoft.com/office/drawing/2014/main" id="{00000000-0008-0000-0000-000005000000}"/>
              </a:ext>
            </a:extLst>
          </xdr:cNvPr>
          <xdr:cNvSpPr/>
        </xdr:nvSpPr>
        <xdr:spPr>
          <a:xfrm>
            <a:off x="608324" y="1724026"/>
            <a:ext cx="4125600" cy="7334250"/>
          </a:xfrm>
          <a:prstGeom prst="roundRect">
            <a:avLst>
              <a:gd name="adj" fmla="val 7438"/>
            </a:avLst>
          </a:prstGeom>
          <a:gradFill>
            <a:gsLst>
              <a:gs pos="0">
                <a:srgbClr val="DC25FA">
                  <a:alpha val="20000"/>
                </a:srgbClr>
              </a:gs>
              <a:gs pos="63000">
                <a:srgbClr val="9947F7">
                  <a:alpha val="20000"/>
                </a:srgbClr>
              </a:gs>
            </a:gsLst>
            <a:lin ang="3900000" scaled="0"/>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lvl="0" algn="ctr"/>
            <a:endParaRPr lang="en-US" sz="1400">
              <a:solidFill>
                <a:schemeClr val="bg1"/>
              </a:solidFill>
            </a:endParaRPr>
          </a:p>
        </xdr:txBody>
      </xdr:sp>
      <xdr:grpSp>
        <xdr:nvGrpSpPr>
          <xdr:cNvPr id="31" name="Group 30">
            <a:extLst>
              <a:ext uri="{FF2B5EF4-FFF2-40B4-BE49-F238E27FC236}">
                <a16:creationId xmlns:a16="http://schemas.microsoft.com/office/drawing/2014/main" id="{00000000-0008-0000-0000-00001F000000}"/>
              </a:ext>
            </a:extLst>
          </xdr:cNvPr>
          <xdr:cNvGrpSpPr/>
        </xdr:nvGrpSpPr>
        <xdr:grpSpPr>
          <a:xfrm>
            <a:off x="609599" y="942975"/>
            <a:ext cx="4124325" cy="2428875"/>
            <a:chOff x="609599" y="942975"/>
            <a:chExt cx="4124325" cy="2428875"/>
          </a:xfrm>
          <a:effectLst>
            <a:outerShdw blurRad="50800" dist="38100" dir="2700000" algn="tl" rotWithShape="0">
              <a:prstClr val="black">
                <a:alpha val="40000"/>
              </a:prstClr>
            </a:outerShdw>
          </a:effectLst>
        </xdr:grpSpPr>
        <xdr:graphicFrame macro="">
          <xdr:nvGraphicFramePr>
            <xdr:cNvPr id="35" name="Chart 34">
              <a:extLst>
                <a:ext uri="{FF2B5EF4-FFF2-40B4-BE49-F238E27FC236}">
                  <a16:creationId xmlns:a16="http://schemas.microsoft.com/office/drawing/2014/main" id="{00000000-0008-0000-0000-000023000000}"/>
                </a:ext>
              </a:extLst>
            </xdr:cNvPr>
            <xdr:cNvGraphicFramePr>
              <a:graphicFrameLocks/>
            </xdr:cNvGraphicFramePr>
          </xdr:nvGraphicFramePr>
          <xdr:xfrm>
            <a:off x="781050" y="942975"/>
            <a:ext cx="3743325" cy="933450"/>
          </xdr:xfrm>
          <a:graphic>
            <a:graphicData uri="http://schemas.openxmlformats.org/drawingml/2006/chart">
              <c:chart xmlns:c="http://schemas.openxmlformats.org/drawingml/2006/chart" xmlns:r="http://schemas.openxmlformats.org/officeDocument/2006/relationships" r:id="rId6"/>
            </a:graphicData>
          </a:graphic>
        </xdr:graphicFrame>
        <xdr:sp macro="" textlink="">
          <xdr:nvSpPr>
            <xdr:cNvPr id="4" name="Rectangle: Rounded Corners 3">
              <a:extLst>
                <a:ext uri="{FF2B5EF4-FFF2-40B4-BE49-F238E27FC236}">
                  <a16:creationId xmlns:a16="http://schemas.microsoft.com/office/drawing/2014/main" id="{00000000-0008-0000-0000-000004000000}"/>
                </a:ext>
              </a:extLst>
            </xdr:cNvPr>
            <xdr:cNvSpPr/>
          </xdr:nvSpPr>
          <xdr:spPr>
            <a:xfrm>
              <a:off x="609599" y="1714500"/>
              <a:ext cx="4124325" cy="1657350"/>
            </a:xfrm>
            <a:prstGeom prst="roundRect">
              <a:avLst/>
            </a:prstGeom>
            <a:solidFill>
              <a:srgbClr val="070E25"/>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latin typeface="Avenir Next LT Pro" panose="020B0504020202020204" pitchFamily="34" charset="0"/>
              </a:endParaRPr>
            </a:p>
          </xdr:txBody>
        </xdr:sp>
      </xdr:grpSp>
    </xdr:grpSp>
    <xdr:clientData/>
  </xdr:twoCellAnchor>
  <xdr:twoCellAnchor>
    <xdr:from>
      <xdr:col>1</xdr:col>
      <xdr:colOff>85725</xdr:colOff>
      <xdr:row>15</xdr:row>
      <xdr:rowOff>114300</xdr:rowOff>
    </xdr:from>
    <xdr:to>
      <xdr:col>7</xdr:col>
      <xdr:colOff>352125</xdr:colOff>
      <xdr:row>20</xdr:row>
      <xdr:rowOff>19050</xdr:rowOff>
    </xdr:to>
    <mc:AlternateContent xmlns:mc="http://schemas.openxmlformats.org/markup-compatibility/2006" xmlns:a14="http://schemas.microsoft.com/office/drawing/2010/main">
      <mc:Choice Requires="a14">
        <xdr:graphicFrame macro="">
          <xdr:nvGraphicFramePr>
            <xdr:cNvPr id="23" name="Product Category">
              <a:extLst>
                <a:ext uri="{FF2B5EF4-FFF2-40B4-BE49-F238E27FC236}">
                  <a16:creationId xmlns:a16="http://schemas.microsoft.com/office/drawing/2014/main" id="{00000000-0008-0000-0000-000017000000}"/>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Product Category"/>
            </a:graphicData>
          </a:graphic>
        </xdr:graphicFrame>
      </mc:Choice>
      <mc:Fallback xmlns="">
        <xdr:sp macro="" textlink="">
          <xdr:nvSpPr>
            <xdr:cNvPr id="0" name=""/>
            <xdr:cNvSpPr>
              <a:spLocks noTextEdit="1"/>
            </xdr:cNvSpPr>
          </xdr:nvSpPr>
          <xdr:spPr>
            <a:xfrm>
              <a:off x="695325" y="2543175"/>
              <a:ext cx="3924000" cy="714375"/>
            </a:xfrm>
            <a:prstGeom prst="rect">
              <a:avLst/>
            </a:prstGeom>
            <a:solidFill>
              <a:prstClr val="white"/>
            </a:solidFill>
            <a:ln w="1">
              <a:solidFill>
                <a:prstClr val="green"/>
              </a:solidFill>
            </a:ln>
          </xdr:spPr>
          <xdr:txBody>
            <a:bodyPr vertOverflow="clip" horzOverflow="clip"/>
            <a:lstStyle/>
            <a:p>
              <a:r>
                <a:rPr lang="en-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xdr:from>
      <xdr:col>1</xdr:col>
      <xdr:colOff>85725</xdr:colOff>
      <xdr:row>11</xdr:row>
      <xdr:rowOff>38100</xdr:rowOff>
    </xdr:from>
    <xdr:to>
      <xdr:col>7</xdr:col>
      <xdr:colOff>352125</xdr:colOff>
      <xdr:row>15</xdr:row>
      <xdr:rowOff>103200</xdr:rowOff>
    </xdr:to>
    <mc:AlternateContent xmlns:mc="http://schemas.openxmlformats.org/markup-compatibility/2006" xmlns:a14="http://schemas.microsoft.com/office/drawing/2010/main">
      <mc:Choice Requires="a14">
        <xdr:graphicFrame macro="">
          <xdr:nvGraphicFramePr>
            <xdr:cNvPr id="71" name="Order Date (Month)">
              <a:extLst>
                <a:ext uri="{FF2B5EF4-FFF2-40B4-BE49-F238E27FC236}">
                  <a16:creationId xmlns:a16="http://schemas.microsoft.com/office/drawing/2014/main" id="{00000000-0008-0000-0000-000047000000}"/>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Order Date (Month)"/>
            </a:graphicData>
          </a:graphic>
        </xdr:graphicFrame>
      </mc:Choice>
      <mc:Fallback xmlns="">
        <xdr:sp macro="" textlink="">
          <xdr:nvSpPr>
            <xdr:cNvPr id="0" name=""/>
            <xdr:cNvSpPr>
              <a:spLocks noTextEdit="1"/>
            </xdr:cNvSpPr>
          </xdr:nvSpPr>
          <xdr:spPr>
            <a:xfrm>
              <a:off x="695325" y="1819275"/>
              <a:ext cx="3924000" cy="712800"/>
            </a:xfrm>
            <a:prstGeom prst="rect">
              <a:avLst/>
            </a:prstGeom>
            <a:solidFill>
              <a:prstClr val="white"/>
            </a:solidFill>
            <a:ln w="1">
              <a:solidFill>
                <a:prstClr val="green"/>
              </a:solidFill>
            </a:ln>
          </xdr:spPr>
          <xdr:txBody>
            <a:bodyPr vertOverflow="clip" horzOverflow="clip"/>
            <a:lstStyle/>
            <a:p>
              <a:r>
                <a:rPr lang="en-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mc:AlternateContent xmlns:mc="http://schemas.openxmlformats.org/markup-compatibility/2006">
    <mc:Choice xmlns:a14="http://schemas.microsoft.com/office/drawing/2010/main" Requires="a14">
      <xdr:twoCellAnchor editAs="oneCell">
        <xdr:from>
          <xdr:col>9</xdr:col>
          <xdr:colOff>0</xdr:colOff>
          <xdr:row>6</xdr:row>
          <xdr:rowOff>0</xdr:rowOff>
        </xdr:from>
        <xdr:to>
          <xdr:col>15</xdr:col>
          <xdr:colOff>152400</xdr:colOff>
          <xdr:row>14</xdr:row>
          <xdr:rowOff>66675</xdr:rowOff>
        </xdr:to>
        <xdr:pic>
          <xdr:nvPicPr>
            <xdr:cNvPr id="3" name="CustomTooltip" hidden="1">
              <a:extLst>
                <a:ext uri="{FF2B5EF4-FFF2-40B4-BE49-F238E27FC236}">
                  <a16:creationId xmlns:a16="http://schemas.microsoft.com/office/drawing/2014/main" id="{00000000-0008-0000-0000-000003000000}"/>
                </a:ext>
              </a:extLst>
            </xdr:cNvPr>
            <xdr:cNvPicPr>
              <a:picLocks noChangeAspect="1" noChangeArrowheads="1"/>
              <a:extLst>
                <a:ext uri="{84589F7E-364E-4C9E-8A38-B11213B215E9}">
                  <a14:cameraTool cellRange="Pivot_tables!$B$47:$D$51" spid="_x0000_s1759"/>
                </a:ext>
              </a:extLst>
            </xdr:cNvPicPr>
          </xdr:nvPicPr>
          <xdr:blipFill>
            <a:blip xmlns:r="http://schemas.openxmlformats.org/officeDocument/2006/relationships" r:embed="rId7"/>
            <a:srcRect/>
            <a:stretch>
              <a:fillRect/>
            </a:stretch>
          </xdr:blipFill>
          <xdr:spPr bwMode="auto">
            <a:xfrm>
              <a:off x="5486400" y="971550"/>
              <a:ext cx="3810000" cy="1362075"/>
            </a:xfrm>
            <a:prstGeom prst="snip2DiagRect">
              <a:avLst/>
            </a:prstGeom>
            <a:solidFill>
              <a:srgbClr val="FFFFFF">
                <a:shade val="85000"/>
              </a:srgbClr>
            </a:solidFill>
            <a:ln w="28575" cap="sq">
              <a:solidFill>
                <a:srgbClr val="194AFE"/>
              </a:solidFill>
              <a:miter lim="800000"/>
            </a:ln>
            <a:effectLst>
              <a:outerShdw blurRad="88900" algn="tl" rotWithShape="0">
                <a:srgbClr val="000000">
                  <a:alpha val="45000"/>
                </a:srgbClr>
              </a:outerShdw>
            </a:effectLst>
            <a:scene3d>
              <a:camera prst="orthographicFront"/>
              <a:lightRig rig="twoPt" dir="t">
                <a:rot lat="0" lon="0" rev="7200000"/>
              </a:lightRig>
            </a:scene3d>
            <a:sp3d>
              <a:bevelT w="25400" h="19050"/>
              <a:contourClr>
                <a:srgbClr val="FFFFFF"/>
              </a:contourClr>
            </a:sp3d>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295275</xdr:colOff>
          <xdr:row>3</xdr:row>
          <xdr:rowOff>47625</xdr:rowOff>
        </xdr:from>
        <xdr:to>
          <xdr:col>26</xdr:col>
          <xdr:colOff>133350</xdr:colOff>
          <xdr:row>56</xdr:row>
          <xdr:rowOff>19050</xdr:rowOff>
        </xdr:to>
        <xdr:sp macro="" textlink="">
          <xdr:nvSpPr>
            <xdr:cNvPr id="1059" name="Hide" hidden="1">
              <a:extLst>
                <a:ext uri="{63B3BB69-23CF-44E3-9099-C40C66FF867C}">
                  <a14:compatExt spid="_x0000_s1059"/>
                </a:ext>
                <a:ext uri="{FF2B5EF4-FFF2-40B4-BE49-F238E27FC236}">
                  <a16:creationId xmlns:a16="http://schemas.microsoft.com/office/drawing/2014/main" id="{00000000-0008-0000-0000-00002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523875</xdr:colOff>
          <xdr:row>10</xdr:row>
          <xdr:rowOff>85725</xdr:rowOff>
        </xdr:from>
        <xdr:to>
          <xdr:col>19</xdr:col>
          <xdr:colOff>533400</xdr:colOff>
          <xdr:row>18</xdr:row>
          <xdr:rowOff>19050</xdr:rowOff>
        </xdr:to>
        <xdr:sp macro="" textlink="">
          <xdr:nvSpPr>
            <xdr:cNvPr id="1033" name="OfficeMachines"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20</xdr:col>
          <xdr:colOff>114300</xdr:colOff>
          <xdr:row>17</xdr:row>
          <xdr:rowOff>114300</xdr:rowOff>
        </xdr:from>
        <xdr:to>
          <xdr:col>21</xdr:col>
          <xdr:colOff>142875</xdr:colOff>
          <xdr:row>22</xdr:row>
          <xdr:rowOff>28575</xdr:rowOff>
        </xdr:to>
        <xdr:sp macro="" textlink="">
          <xdr:nvSpPr>
            <xdr:cNvPr id="1064" name="OfficeFurnishings" hidden="1">
              <a:extLst>
                <a:ext uri="{63B3BB69-23CF-44E3-9099-C40C66FF867C}">
                  <a14:compatExt spid="_x0000_s1064"/>
                </a:ext>
                <a:ext uri="{FF2B5EF4-FFF2-40B4-BE49-F238E27FC236}">
                  <a16:creationId xmlns:a16="http://schemas.microsoft.com/office/drawing/2014/main" id="{00000000-0008-0000-0000-00002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22</xdr:col>
          <xdr:colOff>400050</xdr:colOff>
          <xdr:row>18</xdr:row>
          <xdr:rowOff>114300</xdr:rowOff>
        </xdr:from>
        <xdr:to>
          <xdr:col>24</xdr:col>
          <xdr:colOff>142875</xdr:colOff>
          <xdr:row>24</xdr:row>
          <xdr:rowOff>104775</xdr:rowOff>
        </xdr:to>
        <xdr:sp macro="" textlink="">
          <xdr:nvSpPr>
            <xdr:cNvPr id="1068" name="TelephonesAndCommunication" hidden="1">
              <a:extLst>
                <a:ext uri="{63B3BB69-23CF-44E3-9099-C40C66FF867C}">
                  <a14:compatExt spid="_x0000_s1068"/>
                </a:ext>
                <a:ext uri="{FF2B5EF4-FFF2-40B4-BE49-F238E27FC236}">
                  <a16:creationId xmlns:a16="http://schemas.microsoft.com/office/drawing/2014/main" id="{00000000-0008-0000-0000-00002C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16</xdr:col>
          <xdr:colOff>85725</xdr:colOff>
          <xdr:row>15</xdr:row>
          <xdr:rowOff>9525</xdr:rowOff>
        </xdr:from>
        <xdr:to>
          <xdr:col>17</xdr:col>
          <xdr:colOff>47625</xdr:colOff>
          <xdr:row>19</xdr:row>
          <xdr:rowOff>123825</xdr:rowOff>
        </xdr:to>
        <xdr:sp macro="" textlink="">
          <xdr:nvSpPr>
            <xdr:cNvPr id="1076" name="Paper" hidden="1">
              <a:extLst>
                <a:ext uri="{63B3BB69-23CF-44E3-9099-C40C66FF867C}">
                  <a14:compatExt spid="_x0000_s1076"/>
                </a:ext>
                <a:ext uri="{FF2B5EF4-FFF2-40B4-BE49-F238E27FC236}">
                  <a16:creationId xmlns:a16="http://schemas.microsoft.com/office/drawing/2014/main" id="{00000000-0008-0000-0000-00003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542925</xdr:colOff>
          <xdr:row>19</xdr:row>
          <xdr:rowOff>85725</xdr:rowOff>
        </xdr:from>
        <xdr:to>
          <xdr:col>15</xdr:col>
          <xdr:colOff>333375</xdr:colOff>
          <xdr:row>23</xdr:row>
          <xdr:rowOff>19050</xdr:rowOff>
        </xdr:to>
        <xdr:sp macro="" textlink="">
          <xdr:nvSpPr>
            <xdr:cNvPr id="1077" name="PensAndArtSupplies" hidden="1">
              <a:extLst>
                <a:ext uri="{63B3BB69-23CF-44E3-9099-C40C66FF867C}">
                  <a14:compatExt spid="_x0000_s1077"/>
                </a:ext>
                <a:ext uri="{FF2B5EF4-FFF2-40B4-BE49-F238E27FC236}">
                  <a16:creationId xmlns:a16="http://schemas.microsoft.com/office/drawing/2014/main" id="{00000000-0008-0000-0000-00003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85725</xdr:colOff>
          <xdr:row>16</xdr:row>
          <xdr:rowOff>133350</xdr:rowOff>
        </xdr:from>
        <xdr:to>
          <xdr:col>13</xdr:col>
          <xdr:colOff>390525</xdr:colOff>
          <xdr:row>19</xdr:row>
          <xdr:rowOff>19050</xdr:rowOff>
        </xdr:to>
        <xdr:sp macro="" textlink="">
          <xdr:nvSpPr>
            <xdr:cNvPr id="1078" name="RubberBands" hidden="1">
              <a:extLst>
                <a:ext uri="{63B3BB69-23CF-44E3-9099-C40C66FF867C}">
                  <a14:compatExt spid="_x0000_s1078"/>
                </a:ext>
                <a:ext uri="{FF2B5EF4-FFF2-40B4-BE49-F238E27FC236}">
                  <a16:creationId xmlns:a16="http://schemas.microsoft.com/office/drawing/2014/main" id="{00000000-0008-0000-0000-00003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142875</xdr:colOff>
          <xdr:row>21</xdr:row>
          <xdr:rowOff>152400</xdr:rowOff>
        </xdr:from>
        <xdr:to>
          <xdr:col>12</xdr:col>
          <xdr:colOff>438150</xdr:colOff>
          <xdr:row>24</xdr:row>
          <xdr:rowOff>95250</xdr:rowOff>
        </xdr:to>
        <xdr:sp macro="" textlink="">
          <xdr:nvSpPr>
            <xdr:cNvPr id="1079" name="ScissorsRulersandTrimmers" hidden="1">
              <a:extLst>
                <a:ext uri="{63B3BB69-23CF-44E3-9099-C40C66FF867C}">
                  <a14:compatExt spid="_x0000_s1079"/>
                </a:ext>
                <a:ext uri="{FF2B5EF4-FFF2-40B4-BE49-F238E27FC236}">
                  <a16:creationId xmlns:a16="http://schemas.microsoft.com/office/drawing/2014/main" id="{00000000-0008-0000-0000-00003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20</xdr:col>
          <xdr:colOff>257175</xdr:colOff>
          <xdr:row>24</xdr:row>
          <xdr:rowOff>114300</xdr:rowOff>
        </xdr:from>
        <xdr:to>
          <xdr:col>21</xdr:col>
          <xdr:colOff>9525</xdr:colOff>
          <xdr:row>28</xdr:row>
          <xdr:rowOff>57150</xdr:rowOff>
        </xdr:to>
        <xdr:sp macro="" textlink="">
          <xdr:nvSpPr>
            <xdr:cNvPr id="1080" name="LabelsProduct" hidden="1">
              <a:extLst>
                <a:ext uri="{63B3BB69-23CF-44E3-9099-C40C66FF867C}">
                  <a14:compatExt spid="_x0000_s1080"/>
                </a:ext>
                <a:ext uri="{FF2B5EF4-FFF2-40B4-BE49-F238E27FC236}">
                  <a16:creationId xmlns:a16="http://schemas.microsoft.com/office/drawing/2014/main" id="{00000000-0008-0000-0000-00003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22</xdr:col>
          <xdr:colOff>438150</xdr:colOff>
          <xdr:row>31</xdr:row>
          <xdr:rowOff>0</xdr:rowOff>
        </xdr:from>
        <xdr:to>
          <xdr:col>23</xdr:col>
          <xdr:colOff>180975</xdr:colOff>
          <xdr:row>34</xdr:row>
          <xdr:rowOff>95250</xdr:rowOff>
        </xdr:to>
        <xdr:sp macro="" textlink="">
          <xdr:nvSpPr>
            <xdr:cNvPr id="1081" name="Envelopes" hidden="1">
              <a:extLst>
                <a:ext uri="{63B3BB69-23CF-44E3-9099-C40C66FF867C}">
                  <a14:compatExt spid="_x0000_s1081"/>
                </a:ext>
                <a:ext uri="{FF2B5EF4-FFF2-40B4-BE49-F238E27FC236}">
                  <a16:creationId xmlns:a16="http://schemas.microsoft.com/office/drawing/2014/main" id="{00000000-0008-0000-0000-00003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476250</xdr:colOff>
          <xdr:row>25</xdr:row>
          <xdr:rowOff>142875</xdr:rowOff>
        </xdr:from>
        <xdr:to>
          <xdr:col>12</xdr:col>
          <xdr:colOff>190500</xdr:colOff>
          <xdr:row>31</xdr:row>
          <xdr:rowOff>133350</xdr:rowOff>
        </xdr:to>
        <xdr:sp macro="" textlink="">
          <xdr:nvSpPr>
            <xdr:cNvPr id="1082" name="StorageandOrganization" hidden="1">
              <a:extLst>
                <a:ext uri="{63B3BB69-23CF-44E3-9099-C40C66FF867C}">
                  <a14:compatExt spid="_x0000_s1082"/>
                </a:ext>
                <a:ext uri="{FF2B5EF4-FFF2-40B4-BE49-F238E27FC236}">
                  <a16:creationId xmlns:a16="http://schemas.microsoft.com/office/drawing/2014/main" id="{00000000-0008-0000-0000-00003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114300</xdr:colOff>
          <xdr:row>32</xdr:row>
          <xdr:rowOff>0</xdr:rowOff>
        </xdr:from>
        <xdr:to>
          <xdr:col>13</xdr:col>
          <xdr:colOff>476250</xdr:colOff>
          <xdr:row>38</xdr:row>
          <xdr:rowOff>9525</xdr:rowOff>
        </xdr:to>
        <xdr:sp macro="" textlink="">
          <xdr:nvSpPr>
            <xdr:cNvPr id="1083" name="Tables" hidden="1">
              <a:extLst>
                <a:ext uri="{63B3BB69-23CF-44E3-9099-C40C66FF867C}">
                  <a14:compatExt spid="_x0000_s1083"/>
                </a:ext>
                <a:ext uri="{FF2B5EF4-FFF2-40B4-BE49-F238E27FC236}">
                  <a16:creationId xmlns:a16="http://schemas.microsoft.com/office/drawing/2014/main" id="{00000000-0008-0000-0000-00003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20</xdr:col>
          <xdr:colOff>123825</xdr:colOff>
          <xdr:row>36</xdr:row>
          <xdr:rowOff>95250</xdr:rowOff>
        </xdr:from>
        <xdr:to>
          <xdr:col>21</xdr:col>
          <xdr:colOff>200025</xdr:colOff>
          <xdr:row>42</xdr:row>
          <xdr:rowOff>85725</xdr:rowOff>
        </xdr:to>
        <xdr:sp macro="" textlink="">
          <xdr:nvSpPr>
            <xdr:cNvPr id="1084" name="CopiersandFax" hidden="1">
              <a:extLst>
                <a:ext uri="{63B3BB69-23CF-44E3-9099-C40C66FF867C}">
                  <a14:compatExt spid="_x0000_s1084"/>
                </a:ext>
                <a:ext uri="{FF2B5EF4-FFF2-40B4-BE49-F238E27FC236}">
                  <a16:creationId xmlns:a16="http://schemas.microsoft.com/office/drawing/2014/main" id="{00000000-0008-0000-0000-00003C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457200</xdr:colOff>
          <xdr:row>45</xdr:row>
          <xdr:rowOff>47625</xdr:rowOff>
        </xdr:from>
        <xdr:to>
          <xdr:col>20</xdr:col>
          <xdr:colOff>533400</xdr:colOff>
          <xdr:row>49</xdr:row>
          <xdr:rowOff>133350</xdr:rowOff>
        </xdr:to>
        <xdr:sp macro="" textlink="">
          <xdr:nvSpPr>
            <xdr:cNvPr id="1085" name="ComputerPeripherals" hidden="1">
              <a:extLst>
                <a:ext uri="{63B3BB69-23CF-44E3-9099-C40C66FF867C}">
                  <a14:compatExt spid="_x0000_s1085"/>
                </a:ext>
                <a:ext uri="{FF2B5EF4-FFF2-40B4-BE49-F238E27FC236}">
                  <a16:creationId xmlns:a16="http://schemas.microsoft.com/office/drawing/2014/main" id="{00000000-0008-0000-0000-00003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16</xdr:col>
          <xdr:colOff>381000</xdr:colOff>
          <xdr:row>42</xdr:row>
          <xdr:rowOff>38100</xdr:rowOff>
        </xdr:from>
        <xdr:to>
          <xdr:col>18</xdr:col>
          <xdr:colOff>247650</xdr:colOff>
          <xdr:row>49</xdr:row>
          <xdr:rowOff>19050</xdr:rowOff>
        </xdr:to>
        <xdr:sp macro="" textlink="">
          <xdr:nvSpPr>
            <xdr:cNvPr id="1086" name="ChairsandChairmats" hidden="1">
              <a:extLst>
                <a:ext uri="{63B3BB69-23CF-44E3-9099-C40C66FF867C}">
                  <a14:compatExt spid="_x0000_s1086"/>
                </a:ext>
                <a:ext uri="{FF2B5EF4-FFF2-40B4-BE49-F238E27FC236}">
                  <a16:creationId xmlns:a16="http://schemas.microsoft.com/office/drawing/2014/main" id="{00000000-0008-0000-0000-00003E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342900</xdr:colOff>
          <xdr:row>42</xdr:row>
          <xdr:rowOff>104775</xdr:rowOff>
        </xdr:from>
        <xdr:to>
          <xdr:col>15</xdr:col>
          <xdr:colOff>66675</xdr:colOff>
          <xdr:row>48</xdr:row>
          <xdr:rowOff>66675</xdr:rowOff>
        </xdr:to>
        <xdr:sp macro="" textlink="">
          <xdr:nvSpPr>
            <xdr:cNvPr id="1087" name="BindersandBinderAccessories" hidden="1">
              <a:extLst>
                <a:ext uri="{63B3BB69-23CF-44E3-9099-C40C66FF867C}">
                  <a14:compatExt spid="_x0000_s1087"/>
                </a:ext>
                <a:ext uri="{FF2B5EF4-FFF2-40B4-BE49-F238E27FC236}">
                  <a16:creationId xmlns:a16="http://schemas.microsoft.com/office/drawing/2014/main" id="{00000000-0008-0000-0000-00003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44</xdr:row>
          <xdr:rowOff>0</xdr:rowOff>
        </xdr:from>
        <xdr:to>
          <xdr:col>12</xdr:col>
          <xdr:colOff>104775</xdr:colOff>
          <xdr:row>47</xdr:row>
          <xdr:rowOff>114300</xdr:rowOff>
        </xdr:to>
        <xdr:sp macro="" textlink="">
          <xdr:nvSpPr>
            <xdr:cNvPr id="1088" name="Appliances" hidden="1">
              <a:extLst>
                <a:ext uri="{63B3BB69-23CF-44E3-9099-C40C66FF867C}">
                  <a14:compatExt spid="_x0000_s1088"/>
                </a:ext>
                <a:ext uri="{FF2B5EF4-FFF2-40B4-BE49-F238E27FC236}">
                  <a16:creationId xmlns:a16="http://schemas.microsoft.com/office/drawing/2014/main" id="{00000000-0008-0000-0000-000040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238125</xdr:colOff>
          <xdr:row>48</xdr:row>
          <xdr:rowOff>123825</xdr:rowOff>
        </xdr:from>
        <xdr:to>
          <xdr:col>13</xdr:col>
          <xdr:colOff>342900</xdr:colOff>
          <xdr:row>53</xdr:row>
          <xdr:rowOff>0</xdr:rowOff>
        </xdr:to>
        <xdr:sp macro="" textlink="">
          <xdr:nvSpPr>
            <xdr:cNvPr id="1089" name="Bookcases" hidden="1">
              <a:extLst>
                <a:ext uri="{63B3BB69-23CF-44E3-9099-C40C66FF867C}">
                  <a14:compatExt spid="_x0000_s1089"/>
                </a:ext>
                <a:ext uri="{FF2B5EF4-FFF2-40B4-BE49-F238E27FC236}">
                  <a16:creationId xmlns:a16="http://schemas.microsoft.com/office/drawing/2014/main" id="{00000000-0008-0000-0000-00004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533400</xdr:colOff>
          <xdr:row>10</xdr:row>
          <xdr:rowOff>57150</xdr:rowOff>
        </xdr:from>
        <xdr:to>
          <xdr:col>19</xdr:col>
          <xdr:colOff>590550</xdr:colOff>
          <xdr:row>18</xdr:row>
          <xdr:rowOff>19050</xdr:rowOff>
        </xdr:to>
        <xdr:sp macro="" textlink="">
          <xdr:nvSpPr>
            <xdr:cNvPr id="1291" name="OfficeMachine" hidden="1">
              <a:extLst>
                <a:ext uri="{63B3BB69-23CF-44E3-9099-C40C66FF867C}">
                  <a14:compatExt spid="_x0000_s1291"/>
                </a:ext>
                <a:ext uri="{FF2B5EF4-FFF2-40B4-BE49-F238E27FC236}">
                  <a16:creationId xmlns:a16="http://schemas.microsoft.com/office/drawing/2014/main" id="{00000000-0008-0000-0000-00000B0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20</xdr:col>
          <xdr:colOff>133350</xdr:colOff>
          <xdr:row>17</xdr:row>
          <xdr:rowOff>152400</xdr:rowOff>
        </xdr:from>
        <xdr:to>
          <xdr:col>21</xdr:col>
          <xdr:colOff>238125</xdr:colOff>
          <xdr:row>22</xdr:row>
          <xdr:rowOff>9525</xdr:rowOff>
        </xdr:to>
        <xdr:sp macro="" textlink="">
          <xdr:nvSpPr>
            <xdr:cNvPr id="1292" name="OfficeFurn" hidden="1">
              <a:extLst>
                <a:ext uri="{63B3BB69-23CF-44E3-9099-C40C66FF867C}">
                  <a14:compatExt spid="_x0000_s1292"/>
                </a:ext>
                <a:ext uri="{FF2B5EF4-FFF2-40B4-BE49-F238E27FC236}">
                  <a16:creationId xmlns:a16="http://schemas.microsoft.com/office/drawing/2014/main" id="{00000000-0008-0000-0000-00000C0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22</xdr:col>
          <xdr:colOff>466725</xdr:colOff>
          <xdr:row>18</xdr:row>
          <xdr:rowOff>114300</xdr:rowOff>
        </xdr:from>
        <xdr:to>
          <xdr:col>24</xdr:col>
          <xdr:colOff>161925</xdr:colOff>
          <xdr:row>24</xdr:row>
          <xdr:rowOff>123825</xdr:rowOff>
        </xdr:to>
        <xdr:sp macro="" textlink="">
          <xdr:nvSpPr>
            <xdr:cNvPr id="1293" name="Telephones" hidden="1">
              <a:extLst>
                <a:ext uri="{63B3BB69-23CF-44E3-9099-C40C66FF867C}">
                  <a14:compatExt spid="_x0000_s1293"/>
                </a:ext>
                <a:ext uri="{FF2B5EF4-FFF2-40B4-BE49-F238E27FC236}">
                  <a16:creationId xmlns:a16="http://schemas.microsoft.com/office/drawing/2014/main" id="{00000000-0008-0000-0000-00000D0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16</xdr:col>
          <xdr:colOff>123825</xdr:colOff>
          <xdr:row>16</xdr:row>
          <xdr:rowOff>66675</xdr:rowOff>
        </xdr:from>
        <xdr:to>
          <xdr:col>17</xdr:col>
          <xdr:colOff>47625</xdr:colOff>
          <xdr:row>19</xdr:row>
          <xdr:rowOff>104775</xdr:rowOff>
        </xdr:to>
        <xdr:sp macro="" textlink="">
          <xdr:nvSpPr>
            <xdr:cNvPr id="1294" name="Papers" hidden="1">
              <a:extLst>
                <a:ext uri="{63B3BB69-23CF-44E3-9099-C40C66FF867C}">
                  <a14:compatExt spid="_x0000_s1294"/>
                </a:ext>
                <a:ext uri="{FF2B5EF4-FFF2-40B4-BE49-F238E27FC236}">
                  <a16:creationId xmlns:a16="http://schemas.microsoft.com/office/drawing/2014/main" id="{00000000-0008-0000-0000-00000E0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523875</xdr:colOff>
          <xdr:row>20</xdr:row>
          <xdr:rowOff>85725</xdr:rowOff>
        </xdr:from>
        <xdr:to>
          <xdr:col>15</xdr:col>
          <xdr:colOff>400050</xdr:colOff>
          <xdr:row>22</xdr:row>
          <xdr:rowOff>152400</xdr:rowOff>
        </xdr:to>
        <xdr:sp macro="" textlink="">
          <xdr:nvSpPr>
            <xdr:cNvPr id="1295" name="Pens" hidden="1">
              <a:extLst>
                <a:ext uri="{63B3BB69-23CF-44E3-9099-C40C66FF867C}">
                  <a14:compatExt spid="_x0000_s1295"/>
                </a:ext>
                <a:ext uri="{FF2B5EF4-FFF2-40B4-BE49-F238E27FC236}">
                  <a16:creationId xmlns:a16="http://schemas.microsoft.com/office/drawing/2014/main" id="{00000000-0008-0000-0000-00000F0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133350</xdr:colOff>
          <xdr:row>17</xdr:row>
          <xdr:rowOff>9525</xdr:rowOff>
        </xdr:from>
        <xdr:to>
          <xdr:col>13</xdr:col>
          <xdr:colOff>381000</xdr:colOff>
          <xdr:row>18</xdr:row>
          <xdr:rowOff>152400</xdr:rowOff>
        </xdr:to>
        <xdr:sp macro="" textlink="">
          <xdr:nvSpPr>
            <xdr:cNvPr id="1296" name="RubberBand" hidden="1">
              <a:extLst>
                <a:ext uri="{63B3BB69-23CF-44E3-9099-C40C66FF867C}">
                  <a14:compatExt spid="_x0000_s1296"/>
                </a:ext>
                <a:ext uri="{FF2B5EF4-FFF2-40B4-BE49-F238E27FC236}">
                  <a16:creationId xmlns:a16="http://schemas.microsoft.com/office/drawing/2014/main" id="{00000000-0008-0000-0000-0000100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161925</xdr:colOff>
          <xdr:row>22</xdr:row>
          <xdr:rowOff>95250</xdr:rowOff>
        </xdr:from>
        <xdr:to>
          <xdr:col>12</xdr:col>
          <xdr:colOff>466725</xdr:colOff>
          <xdr:row>24</xdr:row>
          <xdr:rowOff>76200</xdr:rowOff>
        </xdr:to>
        <xdr:sp macro="" textlink="">
          <xdr:nvSpPr>
            <xdr:cNvPr id="1297" name="Scissors" hidden="1">
              <a:extLst>
                <a:ext uri="{63B3BB69-23CF-44E3-9099-C40C66FF867C}">
                  <a14:compatExt spid="_x0000_s1297"/>
                </a:ext>
                <a:ext uri="{FF2B5EF4-FFF2-40B4-BE49-F238E27FC236}">
                  <a16:creationId xmlns:a16="http://schemas.microsoft.com/office/drawing/2014/main" id="{00000000-0008-0000-0000-0000110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20</xdr:col>
          <xdr:colOff>314325</xdr:colOff>
          <xdr:row>26</xdr:row>
          <xdr:rowOff>85725</xdr:rowOff>
        </xdr:from>
        <xdr:to>
          <xdr:col>21</xdr:col>
          <xdr:colOff>9525</xdr:colOff>
          <xdr:row>28</xdr:row>
          <xdr:rowOff>28575</xdr:rowOff>
        </xdr:to>
        <xdr:sp macro="" textlink="">
          <xdr:nvSpPr>
            <xdr:cNvPr id="1298" name="LabelsProducts" hidden="1">
              <a:extLst>
                <a:ext uri="{63B3BB69-23CF-44E3-9099-C40C66FF867C}">
                  <a14:compatExt spid="_x0000_s1298"/>
                </a:ext>
                <a:ext uri="{FF2B5EF4-FFF2-40B4-BE49-F238E27FC236}">
                  <a16:creationId xmlns:a16="http://schemas.microsoft.com/office/drawing/2014/main" id="{00000000-0008-0000-0000-0000120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22</xdr:col>
          <xdr:colOff>419100</xdr:colOff>
          <xdr:row>31</xdr:row>
          <xdr:rowOff>95250</xdr:rowOff>
        </xdr:from>
        <xdr:to>
          <xdr:col>23</xdr:col>
          <xdr:colOff>276225</xdr:colOff>
          <xdr:row>34</xdr:row>
          <xdr:rowOff>66675</xdr:rowOff>
        </xdr:to>
        <xdr:sp macro="" textlink="">
          <xdr:nvSpPr>
            <xdr:cNvPr id="1299" name="Envelope" hidden="1">
              <a:extLst>
                <a:ext uri="{63B3BB69-23CF-44E3-9099-C40C66FF867C}">
                  <a14:compatExt spid="_x0000_s1299"/>
                </a:ext>
                <a:ext uri="{FF2B5EF4-FFF2-40B4-BE49-F238E27FC236}">
                  <a16:creationId xmlns:a16="http://schemas.microsoft.com/office/drawing/2014/main" id="{00000000-0008-0000-0000-0000130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523875</xdr:colOff>
          <xdr:row>26</xdr:row>
          <xdr:rowOff>66675</xdr:rowOff>
        </xdr:from>
        <xdr:to>
          <xdr:col>12</xdr:col>
          <xdr:colOff>209550</xdr:colOff>
          <xdr:row>31</xdr:row>
          <xdr:rowOff>114300</xdr:rowOff>
        </xdr:to>
        <xdr:sp macro="" textlink="">
          <xdr:nvSpPr>
            <xdr:cNvPr id="1300" name="Storage" hidden="1">
              <a:extLst>
                <a:ext uri="{63B3BB69-23CF-44E3-9099-C40C66FF867C}">
                  <a14:compatExt spid="_x0000_s1300"/>
                </a:ext>
                <a:ext uri="{FF2B5EF4-FFF2-40B4-BE49-F238E27FC236}">
                  <a16:creationId xmlns:a16="http://schemas.microsoft.com/office/drawing/2014/main" id="{00000000-0008-0000-0000-0000140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20</xdr:col>
          <xdr:colOff>104775</xdr:colOff>
          <xdr:row>38</xdr:row>
          <xdr:rowOff>19050</xdr:rowOff>
        </xdr:from>
        <xdr:to>
          <xdr:col>21</xdr:col>
          <xdr:colOff>209550</xdr:colOff>
          <xdr:row>42</xdr:row>
          <xdr:rowOff>66675</xdr:rowOff>
        </xdr:to>
        <xdr:sp macro="" textlink="">
          <xdr:nvSpPr>
            <xdr:cNvPr id="1301" name="Copiers" hidden="1">
              <a:extLst>
                <a:ext uri="{63B3BB69-23CF-44E3-9099-C40C66FF867C}">
                  <a14:compatExt spid="_x0000_s1301"/>
                </a:ext>
                <a:ext uri="{FF2B5EF4-FFF2-40B4-BE49-F238E27FC236}">
                  <a16:creationId xmlns:a16="http://schemas.microsoft.com/office/drawing/2014/main" id="{00000000-0008-0000-0000-0000150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438150</xdr:colOff>
          <xdr:row>45</xdr:row>
          <xdr:rowOff>104775</xdr:rowOff>
        </xdr:from>
        <xdr:to>
          <xdr:col>20</xdr:col>
          <xdr:colOff>542925</xdr:colOff>
          <xdr:row>49</xdr:row>
          <xdr:rowOff>114300</xdr:rowOff>
        </xdr:to>
        <xdr:sp macro="" textlink="">
          <xdr:nvSpPr>
            <xdr:cNvPr id="1302" name="Computer" hidden="1">
              <a:extLst>
                <a:ext uri="{63B3BB69-23CF-44E3-9099-C40C66FF867C}">
                  <a14:compatExt spid="_x0000_s1302"/>
                </a:ext>
                <a:ext uri="{FF2B5EF4-FFF2-40B4-BE49-F238E27FC236}">
                  <a16:creationId xmlns:a16="http://schemas.microsoft.com/office/drawing/2014/main" id="{00000000-0008-0000-0000-0000160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16</xdr:col>
          <xdr:colOff>419100</xdr:colOff>
          <xdr:row>42</xdr:row>
          <xdr:rowOff>114300</xdr:rowOff>
        </xdr:from>
        <xdr:to>
          <xdr:col>18</xdr:col>
          <xdr:colOff>276225</xdr:colOff>
          <xdr:row>49</xdr:row>
          <xdr:rowOff>0</xdr:rowOff>
        </xdr:to>
        <xdr:sp macro="" textlink="">
          <xdr:nvSpPr>
            <xdr:cNvPr id="1303" name="Chairs" hidden="1">
              <a:extLst>
                <a:ext uri="{63B3BB69-23CF-44E3-9099-C40C66FF867C}">
                  <a14:compatExt spid="_x0000_s1303"/>
                </a:ext>
                <a:ext uri="{FF2B5EF4-FFF2-40B4-BE49-F238E27FC236}">
                  <a16:creationId xmlns:a16="http://schemas.microsoft.com/office/drawing/2014/main" id="{00000000-0008-0000-0000-0000170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381000</xdr:colOff>
          <xdr:row>43</xdr:row>
          <xdr:rowOff>0</xdr:rowOff>
        </xdr:from>
        <xdr:to>
          <xdr:col>15</xdr:col>
          <xdr:colOff>85725</xdr:colOff>
          <xdr:row>48</xdr:row>
          <xdr:rowOff>104775</xdr:rowOff>
        </xdr:to>
        <xdr:sp macro="" textlink="">
          <xdr:nvSpPr>
            <xdr:cNvPr id="1304" name="Binders" hidden="1">
              <a:extLst>
                <a:ext uri="{63B3BB69-23CF-44E3-9099-C40C66FF867C}">
                  <a14:compatExt spid="_x0000_s1304"/>
                </a:ext>
                <a:ext uri="{FF2B5EF4-FFF2-40B4-BE49-F238E27FC236}">
                  <a16:creationId xmlns:a16="http://schemas.microsoft.com/office/drawing/2014/main" id="{00000000-0008-0000-0000-0000180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twoCellAnchor>
    <xdr:from>
      <xdr:col>0</xdr:col>
      <xdr:colOff>0</xdr:colOff>
      <xdr:row>0</xdr:row>
      <xdr:rowOff>0</xdr:rowOff>
    </xdr:from>
    <xdr:to>
      <xdr:col>37</xdr:col>
      <xdr:colOff>361950</xdr:colOff>
      <xdr:row>3</xdr:row>
      <xdr:rowOff>95250</xdr:rowOff>
    </xdr:to>
    <xdr:grpSp>
      <xdr:nvGrpSpPr>
        <xdr:cNvPr id="10" name="Group 9">
          <a:extLst>
            <a:ext uri="{FF2B5EF4-FFF2-40B4-BE49-F238E27FC236}">
              <a16:creationId xmlns:a16="http://schemas.microsoft.com/office/drawing/2014/main" id="{00000000-0008-0000-0000-00000A000000}"/>
            </a:ext>
          </a:extLst>
        </xdr:cNvPr>
        <xdr:cNvGrpSpPr/>
      </xdr:nvGrpSpPr>
      <xdr:grpSpPr>
        <a:xfrm>
          <a:off x="0" y="0"/>
          <a:ext cx="22917150" cy="581025"/>
          <a:chOff x="0" y="0"/>
          <a:chExt cx="22917150" cy="581025"/>
        </a:xfrm>
      </xdr:grpSpPr>
      <xdr:grpSp>
        <xdr:nvGrpSpPr>
          <xdr:cNvPr id="17" name="Group 16">
            <a:extLst>
              <a:ext uri="{FF2B5EF4-FFF2-40B4-BE49-F238E27FC236}">
                <a16:creationId xmlns:a16="http://schemas.microsoft.com/office/drawing/2014/main" id="{00000000-0008-0000-0000-000011000000}"/>
              </a:ext>
            </a:extLst>
          </xdr:cNvPr>
          <xdr:cNvGrpSpPr/>
        </xdr:nvGrpSpPr>
        <xdr:grpSpPr>
          <a:xfrm>
            <a:off x="0" y="0"/>
            <a:ext cx="22917150" cy="581025"/>
            <a:chOff x="0" y="0"/>
            <a:chExt cx="22917150" cy="581025"/>
          </a:xfrm>
        </xdr:grpSpPr>
        <xdr:sp macro="" textlink="">
          <xdr:nvSpPr>
            <xdr:cNvPr id="22" name="Rectangle 21">
              <a:extLst>
                <a:ext uri="{FF2B5EF4-FFF2-40B4-BE49-F238E27FC236}">
                  <a16:creationId xmlns:a16="http://schemas.microsoft.com/office/drawing/2014/main" id="{00000000-0008-0000-0000-000016000000}"/>
                </a:ext>
              </a:extLst>
            </xdr:cNvPr>
            <xdr:cNvSpPr/>
          </xdr:nvSpPr>
          <xdr:spPr>
            <a:xfrm>
              <a:off x="0" y="0"/>
              <a:ext cx="22917150" cy="457200"/>
            </a:xfrm>
            <a:prstGeom prst="rect">
              <a:avLst/>
            </a:prstGeom>
            <a:solidFill>
              <a:srgbClr val="1D1D3C"/>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pic>
          <xdr:nvPicPr>
            <xdr:cNvPr id="61" name="Picture 60" descr="Superstore - NBC.com">
              <a:extLst>
                <a:ext uri="{FF2B5EF4-FFF2-40B4-BE49-F238E27FC236}">
                  <a16:creationId xmlns:a16="http://schemas.microsoft.com/office/drawing/2014/main" id="{00000000-0008-0000-0000-00003D000000}"/>
                </a:ext>
              </a:extLst>
            </xdr:cNvPr>
            <xdr:cNvPicPr>
              <a:picLocks noChangeAspect="1" noChangeArrowheads="1"/>
            </xdr:cNvPicPr>
          </xdr:nvPicPr>
          <xdr:blipFill>
            <a:blip xmlns:r="http://schemas.openxmlformats.org/officeDocument/2006/relationships" r:embed="rId8" cstate="print">
              <a:extLst>
                <a:ext uri="{28A0092B-C50C-407E-A947-70E740481C1C}">
                  <a14:useLocalDpi xmlns:a14="http://schemas.microsoft.com/office/drawing/2010/main" val="0"/>
                </a:ext>
              </a:extLst>
            </a:blip>
            <a:srcRect/>
            <a:stretch>
              <a:fillRect/>
            </a:stretch>
          </xdr:blipFill>
          <xdr:spPr bwMode="auto">
            <a:xfrm>
              <a:off x="238126" y="142875"/>
              <a:ext cx="1314450" cy="438150"/>
            </a:xfrm>
            <a:prstGeom prst="rect">
              <a:avLst/>
            </a:prstGeom>
            <a:noFill/>
            <a:effectLst>
              <a:outerShdw blurRad="50800" dist="38100" dir="2700000" algn="tl" rotWithShape="0">
                <a:schemeClr val="tx1">
                  <a:alpha val="40000"/>
                </a:schemeClr>
              </a:outerShdw>
            </a:effectLst>
            <a:extLst>
              <a:ext uri="{909E8E84-426E-40DD-AFC4-6F175D3DCCD1}">
                <a14:hiddenFill xmlns:a14="http://schemas.microsoft.com/office/drawing/2010/main">
                  <a:solidFill>
                    <a:srgbClr val="FFFFFF"/>
                  </a:solidFill>
                </a14:hiddenFill>
              </a:ext>
            </a:extLst>
          </xdr:spPr>
        </xdr:pic>
        <xdr:sp macro="" textlink="">
          <xdr:nvSpPr>
            <xdr:cNvPr id="65" name="TextBox 64">
              <a:hlinkClick xmlns:r="http://schemas.openxmlformats.org/officeDocument/2006/relationships" r:id="rId9" tooltip="Distribution"/>
              <a:extLst>
                <a:ext uri="{FF2B5EF4-FFF2-40B4-BE49-F238E27FC236}">
                  <a16:creationId xmlns:a16="http://schemas.microsoft.com/office/drawing/2014/main" id="{00000000-0008-0000-0000-000041000000}"/>
                </a:ext>
              </a:extLst>
            </xdr:cNvPr>
            <xdr:cNvSpPr txBox="1"/>
          </xdr:nvSpPr>
          <xdr:spPr>
            <a:xfrm>
              <a:off x="12355214" y="73558"/>
              <a:ext cx="1222374" cy="31008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CA" sz="1400">
                  <a:solidFill>
                    <a:schemeClr val="bg1"/>
                  </a:solidFill>
                  <a:latin typeface="Avenir Next LT Pro" panose="020B0504020202020204" pitchFamily="34" charset="0"/>
                </a:rPr>
                <a:t>Distribution</a:t>
              </a:r>
            </a:p>
          </xdr:txBody>
        </xdr:sp>
        <xdr:sp macro="" textlink="">
          <xdr:nvSpPr>
            <xdr:cNvPr id="68" name="TextBox 67">
              <a:hlinkClick xmlns:r="http://schemas.openxmlformats.org/officeDocument/2006/relationships" r:id="rId10" tooltip="Sales &amp; Profit"/>
              <a:extLst>
                <a:ext uri="{FF2B5EF4-FFF2-40B4-BE49-F238E27FC236}">
                  <a16:creationId xmlns:a16="http://schemas.microsoft.com/office/drawing/2014/main" id="{00000000-0008-0000-0000-000044000000}"/>
                </a:ext>
              </a:extLst>
            </xdr:cNvPr>
            <xdr:cNvSpPr txBox="1"/>
          </xdr:nvSpPr>
          <xdr:spPr>
            <a:xfrm>
              <a:off x="10029825" y="73558"/>
              <a:ext cx="1266824" cy="31008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CA" sz="1400">
                  <a:solidFill>
                    <a:schemeClr val="bg1"/>
                  </a:solidFill>
                  <a:latin typeface="Avenir Next LT Pro" panose="020B0504020202020204" pitchFamily="34" charset="0"/>
                </a:rPr>
                <a:t>Sales &amp;</a:t>
              </a:r>
              <a:r>
                <a:rPr lang="en-CA" sz="1400" baseline="0">
                  <a:solidFill>
                    <a:schemeClr val="bg1"/>
                  </a:solidFill>
                  <a:latin typeface="Avenir Next LT Pro" panose="020B0504020202020204" pitchFamily="34" charset="0"/>
                </a:rPr>
                <a:t> Profit</a:t>
              </a:r>
              <a:endParaRPr lang="en-CA" sz="1400">
                <a:solidFill>
                  <a:schemeClr val="bg1"/>
                </a:solidFill>
                <a:latin typeface="Avenir Next LT Pro" panose="020B0504020202020204" pitchFamily="34" charset="0"/>
              </a:endParaRPr>
            </a:p>
          </xdr:txBody>
        </xdr:sp>
        <xdr:sp macro="" textlink="">
          <xdr:nvSpPr>
            <xdr:cNvPr id="69" name="TextBox 68">
              <a:hlinkClick xmlns:r="http://schemas.openxmlformats.org/officeDocument/2006/relationships" r:id="rId11" tooltip="Trends"/>
              <a:extLst>
                <a:ext uri="{FF2B5EF4-FFF2-40B4-BE49-F238E27FC236}">
                  <a16:creationId xmlns:a16="http://schemas.microsoft.com/office/drawing/2014/main" id="{00000000-0008-0000-0000-000045000000}"/>
                </a:ext>
              </a:extLst>
            </xdr:cNvPr>
            <xdr:cNvSpPr txBox="1"/>
          </xdr:nvSpPr>
          <xdr:spPr>
            <a:xfrm>
              <a:off x="11441757" y="73558"/>
              <a:ext cx="768349" cy="31008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CA" sz="1400">
                  <a:solidFill>
                    <a:schemeClr val="bg1"/>
                  </a:solidFill>
                  <a:latin typeface="Avenir Next LT Pro" panose="020B0504020202020204" pitchFamily="34" charset="0"/>
                </a:rPr>
                <a:t>Trends</a:t>
              </a:r>
            </a:p>
          </xdr:txBody>
        </xdr:sp>
        <xdr:sp macro="" textlink="">
          <xdr:nvSpPr>
            <xdr:cNvPr id="70" name="TextBox 69">
              <a:extLst>
                <a:ext uri="{FF2B5EF4-FFF2-40B4-BE49-F238E27FC236}">
                  <a16:creationId xmlns:a16="http://schemas.microsoft.com/office/drawing/2014/main" id="{00000000-0008-0000-0000-000046000000}"/>
                </a:ext>
              </a:extLst>
            </xdr:cNvPr>
            <xdr:cNvSpPr txBox="1"/>
          </xdr:nvSpPr>
          <xdr:spPr>
            <a:xfrm>
              <a:off x="2505075" y="95979"/>
              <a:ext cx="2619375" cy="31008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CA" sz="1400">
                  <a:solidFill>
                    <a:schemeClr val="bg1"/>
                  </a:solidFill>
                  <a:latin typeface="Avenir Next LT Pro" panose="020B0504020202020204" pitchFamily="34" charset="0"/>
                </a:rPr>
                <a:t>Sales Performance  - FY 2015</a:t>
              </a:r>
            </a:p>
          </xdr:txBody>
        </xdr:sp>
        <xdr:sp macro="" textlink="">
          <xdr:nvSpPr>
            <xdr:cNvPr id="72" name="Rectangle: Rounded Corners 71">
              <a:extLst>
                <a:ext uri="{FF2B5EF4-FFF2-40B4-BE49-F238E27FC236}">
                  <a16:creationId xmlns:a16="http://schemas.microsoft.com/office/drawing/2014/main" id="{00000000-0008-0000-0000-000048000000}"/>
                </a:ext>
              </a:extLst>
            </xdr:cNvPr>
            <xdr:cNvSpPr/>
          </xdr:nvSpPr>
          <xdr:spPr>
            <a:xfrm>
              <a:off x="10495912" y="361950"/>
              <a:ext cx="468000" cy="36000"/>
            </a:xfrm>
            <a:prstGeom prst="roundRect">
              <a:avLst/>
            </a:prstGeom>
            <a:solidFill>
              <a:srgbClr val="194AFE"/>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sp macro="" textlink="">
          <xdr:nvSpPr>
            <xdr:cNvPr id="73" name="TextBox 72">
              <a:hlinkClick xmlns:r="http://schemas.openxmlformats.org/officeDocument/2006/relationships" r:id="rId12" tooltip="Sales Map"/>
              <a:extLst>
                <a:ext uri="{FF2B5EF4-FFF2-40B4-BE49-F238E27FC236}">
                  <a16:creationId xmlns:a16="http://schemas.microsoft.com/office/drawing/2014/main" id="{00000000-0008-0000-0000-000049000000}"/>
                </a:ext>
              </a:extLst>
            </xdr:cNvPr>
            <xdr:cNvSpPr txBox="1"/>
          </xdr:nvSpPr>
          <xdr:spPr>
            <a:xfrm>
              <a:off x="13722696" y="73558"/>
              <a:ext cx="1019769" cy="31008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CA" sz="1400">
                  <a:solidFill>
                    <a:schemeClr val="bg1"/>
                  </a:solidFill>
                  <a:latin typeface="Avenir Next LT Pro" panose="020B0504020202020204" pitchFamily="34" charset="0"/>
                </a:rPr>
                <a:t>Sales Map</a:t>
              </a:r>
            </a:p>
          </xdr:txBody>
        </xdr:sp>
      </xdr:grpSp>
      <xdr:pic>
        <xdr:nvPicPr>
          <xdr:cNvPr id="9" name="Picture 8">
            <a:hlinkClick xmlns:r="http://schemas.openxmlformats.org/officeDocument/2006/relationships" r:id="rId13"/>
            <a:extLst>
              <a:ext uri="{FF2B5EF4-FFF2-40B4-BE49-F238E27FC236}">
                <a16:creationId xmlns:a16="http://schemas.microsoft.com/office/drawing/2014/main" id="{00000000-0008-0000-0000-000009000000}"/>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Lst>
          </a:blip>
          <a:stretch>
            <a:fillRect/>
          </a:stretch>
        </xdr:blipFill>
        <xdr:spPr>
          <a:xfrm>
            <a:off x="16144875" y="114300"/>
            <a:ext cx="1680593" cy="252000"/>
          </a:xfrm>
          <a:prstGeom prst="rect">
            <a:avLst/>
          </a:prstGeom>
        </xdr:spPr>
      </xdr:pic>
    </xdr:grpSp>
    <xdr:clientData/>
  </xdr:twoCellAnchor>
  <xdr:twoCellAnchor editAs="absolute">
    <xdr:from>
      <xdr:col>0</xdr:col>
      <xdr:colOff>608324</xdr:colOff>
      <xdr:row>27</xdr:row>
      <xdr:rowOff>104775</xdr:rowOff>
    </xdr:from>
    <xdr:to>
      <xdr:col>7</xdr:col>
      <xdr:colOff>466724</xdr:colOff>
      <xdr:row>29</xdr:row>
      <xdr:rowOff>82978</xdr:rowOff>
    </xdr:to>
    <xdr:sp macro="" textlink="">
      <xdr:nvSpPr>
        <xdr:cNvPr id="6" name="Arrow: Pentagon 5">
          <a:extLst>
            <a:ext uri="{FF2B5EF4-FFF2-40B4-BE49-F238E27FC236}">
              <a16:creationId xmlns:a16="http://schemas.microsoft.com/office/drawing/2014/main" id="{00000000-0008-0000-0000-000006000000}"/>
            </a:ext>
          </a:extLst>
        </xdr:cNvPr>
        <xdr:cNvSpPr/>
      </xdr:nvSpPr>
      <xdr:spPr>
        <a:xfrm>
          <a:off x="608324" y="4476750"/>
          <a:ext cx="4125600" cy="302053"/>
        </a:xfrm>
        <a:prstGeom prst="homePlate">
          <a:avLst>
            <a:gd name="adj" fmla="val 0"/>
          </a:avLst>
        </a:prstGeom>
        <a:solidFill>
          <a:srgbClr val="070E25"/>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xdr:twoCellAnchor>
    <xdr:from>
      <xdr:col>1</xdr:col>
      <xdr:colOff>100161</xdr:colOff>
      <xdr:row>27</xdr:row>
      <xdr:rowOff>85725</xdr:rowOff>
    </xdr:from>
    <xdr:to>
      <xdr:col>7</xdr:col>
      <xdr:colOff>366562</xdr:colOff>
      <xdr:row>54</xdr:row>
      <xdr:rowOff>123825</xdr:rowOff>
    </xdr:to>
    <xdr:grpSp>
      <xdr:nvGrpSpPr>
        <xdr:cNvPr id="2" name="Group 1">
          <a:extLst>
            <a:ext uri="{FF2B5EF4-FFF2-40B4-BE49-F238E27FC236}">
              <a16:creationId xmlns:a16="http://schemas.microsoft.com/office/drawing/2014/main" id="{00000000-0008-0000-0000-000002000000}"/>
            </a:ext>
          </a:extLst>
        </xdr:cNvPr>
        <xdr:cNvGrpSpPr/>
      </xdr:nvGrpSpPr>
      <xdr:grpSpPr>
        <a:xfrm>
          <a:off x="709761" y="4457700"/>
          <a:ext cx="3924001" cy="4410075"/>
          <a:chOff x="614511" y="4457700"/>
          <a:chExt cx="3924001" cy="4410075"/>
        </a:xfrm>
      </xdr:grpSpPr>
      <xdr:grpSp>
        <xdr:nvGrpSpPr>
          <xdr:cNvPr id="120" name="Group 119">
            <a:extLst>
              <a:ext uri="{FF2B5EF4-FFF2-40B4-BE49-F238E27FC236}">
                <a16:creationId xmlns:a16="http://schemas.microsoft.com/office/drawing/2014/main" id="{00000000-0008-0000-0000-000078000000}"/>
              </a:ext>
            </a:extLst>
          </xdr:cNvPr>
          <xdr:cNvGrpSpPr/>
        </xdr:nvGrpSpPr>
        <xdr:grpSpPr>
          <a:xfrm>
            <a:off x="614511" y="4457700"/>
            <a:ext cx="2057399" cy="4410075"/>
            <a:chOff x="371475" y="3905250"/>
            <a:chExt cx="2057399" cy="4410075"/>
          </a:xfrm>
        </xdr:grpSpPr>
        <xdr:sp macro="" textlink="">
          <xdr:nvSpPr>
            <xdr:cNvPr id="37" name="TextBox 36">
              <a:extLst>
                <a:ext uri="{FF2B5EF4-FFF2-40B4-BE49-F238E27FC236}">
                  <a16:creationId xmlns:a16="http://schemas.microsoft.com/office/drawing/2014/main" id="{00000000-0008-0000-0000-000025000000}"/>
                </a:ext>
              </a:extLst>
            </xdr:cNvPr>
            <xdr:cNvSpPr txBox="1"/>
          </xdr:nvSpPr>
          <xdr:spPr>
            <a:xfrm>
              <a:off x="371475" y="3905250"/>
              <a:ext cx="2042964" cy="3048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l"/>
              <a:r>
                <a:rPr lang="en-US" sz="1400" u="none">
                  <a:solidFill>
                    <a:srgbClr val="D43260"/>
                  </a:solidFill>
                  <a:latin typeface="Avenir Next LT Pro" panose="020B0504020202020204" pitchFamily="34" charset="0"/>
                </a:rPr>
                <a:t>Product Sub-Category</a:t>
              </a:r>
            </a:p>
          </xdr:txBody>
        </xdr:sp>
        <xdr:grpSp>
          <xdr:nvGrpSpPr>
            <xdr:cNvPr id="118" name="Group 117">
              <a:extLst>
                <a:ext uri="{FF2B5EF4-FFF2-40B4-BE49-F238E27FC236}">
                  <a16:creationId xmlns:a16="http://schemas.microsoft.com/office/drawing/2014/main" id="{00000000-0008-0000-0000-000076000000}"/>
                </a:ext>
              </a:extLst>
            </xdr:cNvPr>
            <xdr:cNvGrpSpPr/>
          </xdr:nvGrpSpPr>
          <xdr:grpSpPr>
            <a:xfrm>
              <a:off x="371475" y="4286250"/>
              <a:ext cx="2057399" cy="4029075"/>
              <a:chOff x="371475" y="4286250"/>
              <a:chExt cx="2057399" cy="4029075"/>
            </a:xfrm>
          </xdr:grpSpPr>
          <xdr:sp macro="" textlink="Pivot_tables!G7">
            <xdr:nvSpPr>
              <xdr:cNvPr id="38" name="TextBox 37">
                <a:extLst>
                  <a:ext uri="{FF2B5EF4-FFF2-40B4-BE49-F238E27FC236}">
                    <a16:creationId xmlns:a16="http://schemas.microsoft.com/office/drawing/2014/main" id="{00000000-0008-0000-0000-000026000000}"/>
                  </a:ext>
                </a:extLst>
              </xdr:cNvPr>
              <xdr:cNvSpPr txBox="1"/>
            </xdr:nvSpPr>
            <xdr:spPr>
              <a:xfrm>
                <a:off x="371475" y="4514255"/>
                <a:ext cx="2057399" cy="2381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l"/>
                <a:fld id="{6F4861DD-D863-4604-949B-D8C7505E89D3}" type="TxLink">
                  <a:rPr lang="en-US" sz="1100" b="0" i="0" u="none" strike="noStrike">
                    <a:solidFill>
                      <a:schemeClr val="bg1"/>
                    </a:solidFill>
                    <a:latin typeface="Avenir Next LT Pro" panose="020B0504020202020204" pitchFamily="34" charset="0"/>
                    <a:cs typeface="Arial"/>
                  </a:rPr>
                  <a:pPr algn="l"/>
                  <a:t>Binders and Binder Accessories</a:t>
                </a:fld>
                <a:endParaRPr lang="en-CA" sz="1100">
                  <a:solidFill>
                    <a:schemeClr val="bg1"/>
                  </a:solidFill>
                  <a:latin typeface="Avenir Next LT Pro" panose="020B0504020202020204" pitchFamily="34" charset="0"/>
                </a:endParaRPr>
              </a:p>
            </xdr:txBody>
          </xdr:sp>
          <xdr:sp macro="" textlink="Pivot_tables!G8">
            <xdr:nvSpPr>
              <xdr:cNvPr id="39" name="TextBox 38">
                <a:extLst>
                  <a:ext uri="{FF2B5EF4-FFF2-40B4-BE49-F238E27FC236}">
                    <a16:creationId xmlns:a16="http://schemas.microsoft.com/office/drawing/2014/main" id="{00000000-0008-0000-0000-000027000000}"/>
                  </a:ext>
                </a:extLst>
              </xdr:cNvPr>
              <xdr:cNvSpPr txBox="1"/>
            </xdr:nvSpPr>
            <xdr:spPr>
              <a:xfrm>
                <a:off x="371475" y="4751785"/>
                <a:ext cx="2057399" cy="2381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l"/>
                <a:fld id="{E09DCD5E-7A0D-4E94-924E-9638E66D5906}" type="TxLink">
                  <a:rPr lang="en-US" sz="1100" b="0" i="0" u="none" strike="noStrike">
                    <a:solidFill>
                      <a:schemeClr val="bg1"/>
                    </a:solidFill>
                    <a:latin typeface="Avenir Next LT Pro" panose="020B0504020202020204" pitchFamily="34" charset="0"/>
                    <a:cs typeface="Arial"/>
                  </a:rPr>
                  <a:pPr algn="l"/>
                  <a:t>Bookcases</a:t>
                </a:fld>
                <a:endParaRPr lang="en-CA" sz="1100">
                  <a:solidFill>
                    <a:schemeClr val="bg1"/>
                  </a:solidFill>
                  <a:latin typeface="Avenir Next LT Pro" panose="020B0504020202020204" pitchFamily="34" charset="0"/>
                </a:endParaRPr>
              </a:p>
            </xdr:txBody>
          </xdr:sp>
          <xdr:sp macro="" textlink="Pivot_tables!G9">
            <xdr:nvSpPr>
              <xdr:cNvPr id="40" name="TextBox 39">
                <a:extLst>
                  <a:ext uri="{FF2B5EF4-FFF2-40B4-BE49-F238E27FC236}">
                    <a16:creationId xmlns:a16="http://schemas.microsoft.com/office/drawing/2014/main" id="{00000000-0008-0000-0000-000028000000}"/>
                  </a:ext>
                </a:extLst>
              </xdr:cNvPr>
              <xdr:cNvSpPr txBox="1"/>
            </xdr:nvSpPr>
            <xdr:spPr>
              <a:xfrm>
                <a:off x="371475" y="4989315"/>
                <a:ext cx="2057399" cy="2381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l"/>
                <a:fld id="{D11C092E-D76C-4047-8FA4-792A049FF1FB}" type="TxLink">
                  <a:rPr lang="en-US" sz="1100" b="0" i="0" u="none" strike="noStrike">
                    <a:solidFill>
                      <a:schemeClr val="bg1"/>
                    </a:solidFill>
                    <a:latin typeface="Avenir Next LT Pro" panose="020B0504020202020204" pitchFamily="34" charset="0"/>
                    <a:cs typeface="Arial"/>
                  </a:rPr>
                  <a:pPr algn="l"/>
                  <a:t>Chairs &amp; Chairmats</a:t>
                </a:fld>
                <a:endParaRPr lang="en-CA" sz="1100">
                  <a:solidFill>
                    <a:schemeClr val="bg1"/>
                  </a:solidFill>
                  <a:latin typeface="Avenir Next LT Pro" panose="020B0504020202020204" pitchFamily="34" charset="0"/>
                </a:endParaRPr>
              </a:p>
            </xdr:txBody>
          </xdr:sp>
          <xdr:sp macro="" textlink="Pivot_tables!G10">
            <xdr:nvSpPr>
              <xdr:cNvPr id="41" name="TextBox 40">
                <a:extLst>
                  <a:ext uri="{FF2B5EF4-FFF2-40B4-BE49-F238E27FC236}">
                    <a16:creationId xmlns:a16="http://schemas.microsoft.com/office/drawing/2014/main" id="{00000000-0008-0000-0000-000029000000}"/>
                  </a:ext>
                </a:extLst>
              </xdr:cNvPr>
              <xdr:cNvSpPr txBox="1"/>
            </xdr:nvSpPr>
            <xdr:spPr>
              <a:xfrm>
                <a:off x="371475" y="5226845"/>
                <a:ext cx="2057399" cy="2381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l"/>
                <a:fld id="{D812748C-7EC7-4FBB-B475-8B545145FBFE}" type="TxLink">
                  <a:rPr lang="en-US" sz="1100" b="0" i="0" u="none" strike="noStrike">
                    <a:solidFill>
                      <a:schemeClr val="bg1"/>
                    </a:solidFill>
                    <a:latin typeface="Avenir Next LT Pro" panose="020B0504020202020204" pitchFamily="34" charset="0"/>
                    <a:cs typeface="Arial"/>
                  </a:rPr>
                  <a:pPr algn="l"/>
                  <a:t>Computer Peripherals</a:t>
                </a:fld>
                <a:endParaRPr lang="en-CA" sz="1100">
                  <a:solidFill>
                    <a:schemeClr val="bg1"/>
                  </a:solidFill>
                  <a:latin typeface="Avenir Next LT Pro" panose="020B0504020202020204" pitchFamily="34" charset="0"/>
                </a:endParaRPr>
              </a:p>
            </xdr:txBody>
          </xdr:sp>
          <xdr:sp macro="" textlink="Pivot_tables!G11">
            <xdr:nvSpPr>
              <xdr:cNvPr id="42" name="TextBox 41">
                <a:extLst>
                  <a:ext uri="{FF2B5EF4-FFF2-40B4-BE49-F238E27FC236}">
                    <a16:creationId xmlns:a16="http://schemas.microsoft.com/office/drawing/2014/main" id="{00000000-0008-0000-0000-00002A000000}"/>
                  </a:ext>
                </a:extLst>
              </xdr:cNvPr>
              <xdr:cNvSpPr txBox="1"/>
            </xdr:nvSpPr>
            <xdr:spPr>
              <a:xfrm>
                <a:off x="371475" y="5464375"/>
                <a:ext cx="2057399" cy="2381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l"/>
                <a:fld id="{7404C9A8-030D-488B-A64F-E21E3DE3F422}" type="TxLink">
                  <a:rPr lang="en-US" sz="1100" b="0" i="0" u="none" strike="noStrike">
                    <a:solidFill>
                      <a:schemeClr val="bg1"/>
                    </a:solidFill>
                    <a:latin typeface="Avenir Next LT Pro" panose="020B0504020202020204" pitchFamily="34" charset="0"/>
                    <a:cs typeface="Arial"/>
                  </a:rPr>
                  <a:pPr algn="l"/>
                  <a:t>Copiers and Fax</a:t>
                </a:fld>
                <a:endParaRPr lang="en-CA" sz="1100">
                  <a:solidFill>
                    <a:schemeClr val="bg1"/>
                  </a:solidFill>
                  <a:latin typeface="Avenir Next LT Pro" panose="020B0504020202020204" pitchFamily="34" charset="0"/>
                </a:endParaRPr>
              </a:p>
            </xdr:txBody>
          </xdr:sp>
          <xdr:sp macro="" textlink="Pivot_tables!G12">
            <xdr:nvSpPr>
              <xdr:cNvPr id="43" name="TextBox 42">
                <a:extLst>
                  <a:ext uri="{FF2B5EF4-FFF2-40B4-BE49-F238E27FC236}">
                    <a16:creationId xmlns:a16="http://schemas.microsoft.com/office/drawing/2014/main" id="{00000000-0008-0000-0000-00002B000000}"/>
                  </a:ext>
                </a:extLst>
              </xdr:cNvPr>
              <xdr:cNvSpPr txBox="1"/>
            </xdr:nvSpPr>
            <xdr:spPr>
              <a:xfrm>
                <a:off x="371475" y="5701905"/>
                <a:ext cx="2057399" cy="2381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l"/>
                <a:fld id="{4D8F40B7-4770-4457-BB19-F4FCDE5AD17E}" type="TxLink">
                  <a:rPr lang="en-US" sz="1100" b="0" i="0" u="none" strike="noStrike">
                    <a:solidFill>
                      <a:schemeClr val="bg1"/>
                    </a:solidFill>
                    <a:latin typeface="Avenir Next LT Pro" panose="020B0504020202020204" pitchFamily="34" charset="0"/>
                    <a:cs typeface="Arial"/>
                  </a:rPr>
                  <a:pPr algn="l"/>
                  <a:t>Envelopes</a:t>
                </a:fld>
                <a:endParaRPr lang="en-CA" sz="1100">
                  <a:solidFill>
                    <a:schemeClr val="bg1"/>
                  </a:solidFill>
                  <a:latin typeface="Avenir Next LT Pro" panose="020B0504020202020204" pitchFamily="34" charset="0"/>
                </a:endParaRPr>
              </a:p>
            </xdr:txBody>
          </xdr:sp>
          <xdr:sp macro="" textlink="Pivot_tables!G13">
            <xdr:nvSpPr>
              <xdr:cNvPr id="44" name="TextBox 43">
                <a:extLst>
                  <a:ext uri="{FF2B5EF4-FFF2-40B4-BE49-F238E27FC236}">
                    <a16:creationId xmlns:a16="http://schemas.microsoft.com/office/drawing/2014/main" id="{00000000-0008-0000-0000-00002C000000}"/>
                  </a:ext>
                </a:extLst>
              </xdr:cNvPr>
              <xdr:cNvSpPr txBox="1"/>
            </xdr:nvSpPr>
            <xdr:spPr>
              <a:xfrm>
                <a:off x="371475" y="5939435"/>
                <a:ext cx="2057399" cy="2381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l"/>
                <a:fld id="{28D3D803-E3B7-49D3-A16A-312E9BB24378}" type="TxLink">
                  <a:rPr lang="en-US" sz="1100" b="0" i="0" u="none" strike="noStrike">
                    <a:solidFill>
                      <a:schemeClr val="bg1"/>
                    </a:solidFill>
                    <a:latin typeface="Avenir Next LT Pro" panose="020B0504020202020204" pitchFamily="34" charset="0"/>
                    <a:cs typeface="Arial"/>
                  </a:rPr>
                  <a:pPr algn="l"/>
                  <a:t>Labels</a:t>
                </a:fld>
                <a:endParaRPr lang="en-CA" sz="1100">
                  <a:solidFill>
                    <a:schemeClr val="bg1"/>
                  </a:solidFill>
                  <a:latin typeface="Avenir Next LT Pro" panose="020B0504020202020204" pitchFamily="34" charset="0"/>
                </a:endParaRPr>
              </a:p>
            </xdr:txBody>
          </xdr:sp>
          <xdr:sp macro="" textlink="Pivot_tables!G14">
            <xdr:nvSpPr>
              <xdr:cNvPr id="45" name="TextBox 44">
                <a:extLst>
                  <a:ext uri="{FF2B5EF4-FFF2-40B4-BE49-F238E27FC236}">
                    <a16:creationId xmlns:a16="http://schemas.microsoft.com/office/drawing/2014/main" id="{00000000-0008-0000-0000-00002D000000}"/>
                  </a:ext>
                </a:extLst>
              </xdr:cNvPr>
              <xdr:cNvSpPr txBox="1"/>
            </xdr:nvSpPr>
            <xdr:spPr>
              <a:xfrm>
                <a:off x="371475" y="6176965"/>
                <a:ext cx="2057399" cy="2381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l"/>
                <a:fld id="{FD55C346-A561-4529-8CF4-90962F2426E2}" type="TxLink">
                  <a:rPr lang="en-US" sz="1100" b="0" i="0" u="none" strike="noStrike">
                    <a:solidFill>
                      <a:schemeClr val="bg1"/>
                    </a:solidFill>
                    <a:latin typeface="Avenir Next LT Pro" panose="020B0504020202020204" pitchFamily="34" charset="0"/>
                    <a:cs typeface="Arial"/>
                  </a:rPr>
                  <a:pPr algn="l"/>
                  <a:t>Office Furnishings</a:t>
                </a:fld>
                <a:endParaRPr lang="en-CA" sz="1100">
                  <a:solidFill>
                    <a:schemeClr val="bg1"/>
                  </a:solidFill>
                  <a:latin typeface="Avenir Next LT Pro" panose="020B0504020202020204" pitchFamily="34" charset="0"/>
                </a:endParaRPr>
              </a:p>
            </xdr:txBody>
          </xdr:sp>
          <xdr:sp macro="" textlink="Pivot_tables!G15">
            <xdr:nvSpPr>
              <xdr:cNvPr id="46" name="TextBox 45">
                <a:extLst>
                  <a:ext uri="{FF2B5EF4-FFF2-40B4-BE49-F238E27FC236}">
                    <a16:creationId xmlns:a16="http://schemas.microsoft.com/office/drawing/2014/main" id="{00000000-0008-0000-0000-00002E000000}"/>
                  </a:ext>
                </a:extLst>
              </xdr:cNvPr>
              <xdr:cNvSpPr txBox="1"/>
            </xdr:nvSpPr>
            <xdr:spPr>
              <a:xfrm>
                <a:off x="371475" y="6414495"/>
                <a:ext cx="2057399" cy="2381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l"/>
                <a:fld id="{F6F267F0-715C-44DF-B63D-078310936212}" type="TxLink">
                  <a:rPr lang="en-US" sz="1100" b="0" i="0" u="none" strike="noStrike">
                    <a:solidFill>
                      <a:schemeClr val="bg1"/>
                    </a:solidFill>
                    <a:latin typeface="Avenir Next LT Pro" panose="020B0504020202020204" pitchFamily="34" charset="0"/>
                    <a:cs typeface="Arial"/>
                  </a:rPr>
                  <a:pPr algn="l"/>
                  <a:t>Office Machines</a:t>
                </a:fld>
                <a:endParaRPr lang="en-CA" sz="1100">
                  <a:solidFill>
                    <a:schemeClr val="bg1"/>
                  </a:solidFill>
                  <a:latin typeface="Avenir Next LT Pro" panose="020B0504020202020204" pitchFamily="34" charset="0"/>
                </a:endParaRPr>
              </a:p>
            </xdr:txBody>
          </xdr:sp>
          <xdr:sp macro="" textlink="Pivot_tables!G16">
            <xdr:nvSpPr>
              <xdr:cNvPr id="47" name="TextBox 46">
                <a:extLst>
                  <a:ext uri="{FF2B5EF4-FFF2-40B4-BE49-F238E27FC236}">
                    <a16:creationId xmlns:a16="http://schemas.microsoft.com/office/drawing/2014/main" id="{00000000-0008-0000-0000-00002F000000}"/>
                  </a:ext>
                </a:extLst>
              </xdr:cNvPr>
              <xdr:cNvSpPr txBox="1"/>
            </xdr:nvSpPr>
            <xdr:spPr>
              <a:xfrm>
                <a:off x="371475" y="6652025"/>
                <a:ext cx="2057399" cy="2381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l"/>
                <a:fld id="{A3DEEBD3-45D8-4C1A-B174-5BC0068CECE9}" type="TxLink">
                  <a:rPr lang="en-US" sz="1100" b="0" i="0" u="none" strike="noStrike">
                    <a:solidFill>
                      <a:schemeClr val="bg1"/>
                    </a:solidFill>
                    <a:latin typeface="Avenir Next LT Pro" panose="020B0504020202020204" pitchFamily="34" charset="0"/>
                    <a:cs typeface="Arial"/>
                  </a:rPr>
                  <a:pPr algn="l"/>
                  <a:t>Paper</a:t>
                </a:fld>
                <a:endParaRPr lang="en-CA" sz="1100">
                  <a:solidFill>
                    <a:schemeClr val="bg1"/>
                  </a:solidFill>
                  <a:latin typeface="Avenir Next LT Pro" panose="020B0504020202020204" pitchFamily="34" charset="0"/>
                </a:endParaRPr>
              </a:p>
            </xdr:txBody>
          </xdr:sp>
          <xdr:sp macro="" textlink="Pivot_tables!G17">
            <xdr:nvSpPr>
              <xdr:cNvPr id="48" name="TextBox 47">
                <a:extLst>
                  <a:ext uri="{FF2B5EF4-FFF2-40B4-BE49-F238E27FC236}">
                    <a16:creationId xmlns:a16="http://schemas.microsoft.com/office/drawing/2014/main" id="{00000000-0008-0000-0000-000030000000}"/>
                  </a:ext>
                </a:extLst>
              </xdr:cNvPr>
              <xdr:cNvSpPr txBox="1"/>
            </xdr:nvSpPr>
            <xdr:spPr>
              <a:xfrm>
                <a:off x="371475" y="6889555"/>
                <a:ext cx="2057399" cy="2381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l"/>
                <a:fld id="{04221D02-877E-4F4C-86F4-2E30C5C52CF8}" type="TxLink">
                  <a:rPr lang="en-US" sz="1100" b="0" i="0" u="none" strike="noStrike">
                    <a:solidFill>
                      <a:schemeClr val="bg1"/>
                    </a:solidFill>
                    <a:latin typeface="Avenir Next LT Pro" panose="020B0504020202020204" pitchFamily="34" charset="0"/>
                    <a:cs typeface="Arial"/>
                  </a:rPr>
                  <a:pPr algn="l"/>
                  <a:t>Pens &amp; Art Supplies</a:t>
                </a:fld>
                <a:endParaRPr lang="en-CA" sz="1100">
                  <a:solidFill>
                    <a:schemeClr val="bg1"/>
                  </a:solidFill>
                  <a:latin typeface="Avenir Next LT Pro" panose="020B0504020202020204" pitchFamily="34" charset="0"/>
                </a:endParaRPr>
              </a:p>
            </xdr:txBody>
          </xdr:sp>
          <xdr:sp macro="" textlink="Pivot_tables!G18">
            <xdr:nvSpPr>
              <xdr:cNvPr id="49" name="TextBox 48">
                <a:extLst>
                  <a:ext uri="{FF2B5EF4-FFF2-40B4-BE49-F238E27FC236}">
                    <a16:creationId xmlns:a16="http://schemas.microsoft.com/office/drawing/2014/main" id="{00000000-0008-0000-0000-000031000000}"/>
                  </a:ext>
                </a:extLst>
              </xdr:cNvPr>
              <xdr:cNvSpPr txBox="1"/>
            </xdr:nvSpPr>
            <xdr:spPr>
              <a:xfrm>
                <a:off x="371475" y="7127085"/>
                <a:ext cx="2057399" cy="2381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l"/>
                <a:fld id="{987A5431-7B75-4F03-AFB5-D546BCAD24BA}" type="TxLink">
                  <a:rPr lang="en-US" sz="1100" b="0" i="0" u="none" strike="noStrike">
                    <a:solidFill>
                      <a:schemeClr val="bg1"/>
                    </a:solidFill>
                    <a:latin typeface="Avenir Next LT Pro" panose="020B0504020202020204" pitchFamily="34" charset="0"/>
                    <a:cs typeface="Arial"/>
                  </a:rPr>
                  <a:pPr algn="l"/>
                  <a:t>Rubber Bands</a:t>
                </a:fld>
                <a:endParaRPr lang="en-CA" sz="1100">
                  <a:solidFill>
                    <a:schemeClr val="bg1"/>
                  </a:solidFill>
                  <a:latin typeface="Avenir Next LT Pro" panose="020B0504020202020204" pitchFamily="34" charset="0"/>
                </a:endParaRPr>
              </a:p>
            </xdr:txBody>
          </xdr:sp>
          <xdr:sp macro="" textlink="Pivot_tables!G19">
            <xdr:nvSpPr>
              <xdr:cNvPr id="50" name="TextBox 49">
                <a:extLst>
                  <a:ext uri="{FF2B5EF4-FFF2-40B4-BE49-F238E27FC236}">
                    <a16:creationId xmlns:a16="http://schemas.microsoft.com/office/drawing/2014/main" id="{00000000-0008-0000-0000-000032000000}"/>
                  </a:ext>
                </a:extLst>
              </xdr:cNvPr>
              <xdr:cNvSpPr txBox="1"/>
            </xdr:nvSpPr>
            <xdr:spPr>
              <a:xfrm>
                <a:off x="371475" y="7364615"/>
                <a:ext cx="2057399" cy="2381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l"/>
                <a:fld id="{DECEAA00-00A1-4A97-95DC-8D37FB3F4DC3}" type="TxLink">
                  <a:rPr lang="en-US" sz="1100" b="0" i="0" u="none" strike="noStrike">
                    <a:solidFill>
                      <a:schemeClr val="bg1"/>
                    </a:solidFill>
                    <a:latin typeface="Avenir Next LT Pro" panose="020B0504020202020204" pitchFamily="34" charset="0"/>
                    <a:cs typeface="Arial"/>
                  </a:rPr>
                  <a:pPr algn="l"/>
                  <a:t>Scissors, Rulers and Trimmers</a:t>
                </a:fld>
                <a:endParaRPr lang="en-CA" sz="1100">
                  <a:solidFill>
                    <a:schemeClr val="bg1"/>
                  </a:solidFill>
                  <a:latin typeface="Avenir Next LT Pro" panose="020B0504020202020204" pitchFamily="34" charset="0"/>
                </a:endParaRPr>
              </a:p>
            </xdr:txBody>
          </xdr:sp>
          <xdr:sp macro="" textlink="Pivot_tables!G20">
            <xdr:nvSpPr>
              <xdr:cNvPr id="51" name="TextBox 50">
                <a:extLst>
                  <a:ext uri="{FF2B5EF4-FFF2-40B4-BE49-F238E27FC236}">
                    <a16:creationId xmlns:a16="http://schemas.microsoft.com/office/drawing/2014/main" id="{00000000-0008-0000-0000-000033000000}"/>
                  </a:ext>
                </a:extLst>
              </xdr:cNvPr>
              <xdr:cNvSpPr txBox="1"/>
            </xdr:nvSpPr>
            <xdr:spPr>
              <a:xfrm>
                <a:off x="371475" y="7602145"/>
                <a:ext cx="2057399" cy="2381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l"/>
                <a:fld id="{88809D0D-BA15-48FC-836A-C40C45B0DB7F}" type="TxLink">
                  <a:rPr lang="en-US" sz="1100" b="0" i="0" u="none" strike="noStrike">
                    <a:solidFill>
                      <a:schemeClr val="bg1"/>
                    </a:solidFill>
                    <a:latin typeface="Avenir Next LT Pro" panose="020B0504020202020204" pitchFamily="34" charset="0"/>
                    <a:cs typeface="Arial"/>
                  </a:rPr>
                  <a:pPr algn="l"/>
                  <a:t>Storage &amp; Organization</a:t>
                </a:fld>
                <a:endParaRPr lang="en-CA" sz="1100">
                  <a:solidFill>
                    <a:schemeClr val="bg1"/>
                  </a:solidFill>
                  <a:latin typeface="Avenir Next LT Pro" panose="020B0504020202020204" pitchFamily="34" charset="0"/>
                </a:endParaRPr>
              </a:p>
            </xdr:txBody>
          </xdr:sp>
          <xdr:sp macro="" textlink="Pivot_tables!G21">
            <xdr:nvSpPr>
              <xdr:cNvPr id="52" name="TextBox 51">
                <a:extLst>
                  <a:ext uri="{FF2B5EF4-FFF2-40B4-BE49-F238E27FC236}">
                    <a16:creationId xmlns:a16="http://schemas.microsoft.com/office/drawing/2014/main" id="{00000000-0008-0000-0000-000034000000}"/>
                  </a:ext>
                </a:extLst>
              </xdr:cNvPr>
              <xdr:cNvSpPr txBox="1"/>
            </xdr:nvSpPr>
            <xdr:spPr>
              <a:xfrm>
                <a:off x="371475" y="7839675"/>
                <a:ext cx="2057399" cy="2381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l"/>
                <a:fld id="{B691112B-57EC-458E-ACE7-6F3C8BCB52D2}" type="TxLink">
                  <a:rPr lang="en-US" sz="1100" b="0" i="0" u="none" strike="noStrike">
                    <a:solidFill>
                      <a:schemeClr val="bg1"/>
                    </a:solidFill>
                    <a:latin typeface="Avenir Next LT Pro" panose="020B0504020202020204" pitchFamily="34" charset="0"/>
                    <a:cs typeface="Arial"/>
                  </a:rPr>
                  <a:pPr algn="l"/>
                  <a:t>Tables</a:t>
                </a:fld>
                <a:endParaRPr lang="en-CA" sz="1100">
                  <a:solidFill>
                    <a:schemeClr val="bg1"/>
                  </a:solidFill>
                  <a:latin typeface="Avenir Next LT Pro" panose="020B0504020202020204" pitchFamily="34" charset="0"/>
                </a:endParaRPr>
              </a:p>
            </xdr:txBody>
          </xdr:sp>
          <xdr:sp macro="" textlink="Pivot_tables!G22">
            <xdr:nvSpPr>
              <xdr:cNvPr id="53" name="TextBox 52">
                <a:extLst>
                  <a:ext uri="{FF2B5EF4-FFF2-40B4-BE49-F238E27FC236}">
                    <a16:creationId xmlns:a16="http://schemas.microsoft.com/office/drawing/2014/main" id="{00000000-0008-0000-0000-000035000000}"/>
                  </a:ext>
                </a:extLst>
              </xdr:cNvPr>
              <xdr:cNvSpPr txBox="1"/>
            </xdr:nvSpPr>
            <xdr:spPr>
              <a:xfrm>
                <a:off x="371475" y="8077200"/>
                <a:ext cx="2057399" cy="2381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l"/>
                <a:fld id="{3CAAAF61-14E9-47AC-8B38-1AA44BC9D250}" type="TxLink">
                  <a:rPr lang="en-US" sz="1100" b="0" i="0" u="none" strike="noStrike">
                    <a:solidFill>
                      <a:schemeClr val="bg1"/>
                    </a:solidFill>
                    <a:latin typeface="Avenir Next LT Pro" panose="020B0504020202020204" pitchFamily="34" charset="0"/>
                    <a:cs typeface="Arial"/>
                  </a:rPr>
                  <a:pPr algn="l"/>
                  <a:t>Telephones and Communication</a:t>
                </a:fld>
                <a:endParaRPr lang="en-CA" sz="1100">
                  <a:solidFill>
                    <a:schemeClr val="bg1"/>
                  </a:solidFill>
                  <a:latin typeface="Avenir Next LT Pro" panose="020B0504020202020204" pitchFamily="34" charset="0"/>
                </a:endParaRPr>
              </a:p>
            </xdr:txBody>
          </xdr:sp>
          <xdr:sp macro="" textlink="Pivot_tables!G6">
            <xdr:nvSpPr>
              <xdr:cNvPr id="55" name="TextBox 54">
                <a:extLst>
                  <a:ext uri="{FF2B5EF4-FFF2-40B4-BE49-F238E27FC236}">
                    <a16:creationId xmlns:a16="http://schemas.microsoft.com/office/drawing/2014/main" id="{00000000-0008-0000-0000-000037000000}"/>
                  </a:ext>
                </a:extLst>
              </xdr:cNvPr>
              <xdr:cNvSpPr txBox="1"/>
            </xdr:nvSpPr>
            <xdr:spPr>
              <a:xfrm>
                <a:off x="371475" y="4286250"/>
                <a:ext cx="2057399" cy="2381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l"/>
                <a:fld id="{550FB3AF-D153-472A-930E-27D5EF90D411}" type="TxLink">
                  <a:rPr lang="en-US" sz="1100" b="0" i="0" u="none" strike="noStrike">
                    <a:solidFill>
                      <a:schemeClr val="bg1"/>
                    </a:solidFill>
                    <a:latin typeface="Avenir Next LT Pro" panose="020B0504020202020204" pitchFamily="34" charset="0"/>
                    <a:cs typeface="Arial"/>
                  </a:rPr>
                  <a:pPr algn="l"/>
                  <a:t>Appliances</a:t>
                </a:fld>
                <a:endParaRPr lang="en-CA" sz="1100">
                  <a:solidFill>
                    <a:schemeClr val="bg1"/>
                  </a:solidFill>
                  <a:latin typeface="Avenir Next LT Pro" panose="020B0504020202020204" pitchFamily="34" charset="0"/>
                </a:endParaRPr>
              </a:p>
            </xdr:txBody>
          </xdr:sp>
        </xdr:grpSp>
      </xdr:grpSp>
      <xdr:grpSp>
        <xdr:nvGrpSpPr>
          <xdr:cNvPr id="121" name="Group 120">
            <a:extLst>
              <a:ext uri="{FF2B5EF4-FFF2-40B4-BE49-F238E27FC236}">
                <a16:creationId xmlns:a16="http://schemas.microsoft.com/office/drawing/2014/main" id="{00000000-0008-0000-0000-000079000000}"/>
              </a:ext>
            </a:extLst>
          </xdr:cNvPr>
          <xdr:cNvGrpSpPr/>
        </xdr:nvGrpSpPr>
        <xdr:grpSpPr>
          <a:xfrm>
            <a:off x="2619376" y="4457700"/>
            <a:ext cx="890736" cy="4410075"/>
            <a:chOff x="2471590" y="3905250"/>
            <a:chExt cx="890736" cy="4410075"/>
          </a:xfrm>
        </xdr:grpSpPr>
        <xdr:grpSp>
          <xdr:nvGrpSpPr>
            <xdr:cNvPr id="94" name="Group 93">
              <a:extLst>
                <a:ext uri="{FF2B5EF4-FFF2-40B4-BE49-F238E27FC236}">
                  <a16:creationId xmlns:a16="http://schemas.microsoft.com/office/drawing/2014/main" id="{00000000-0008-0000-0000-00005E000000}"/>
                </a:ext>
              </a:extLst>
            </xdr:cNvPr>
            <xdr:cNvGrpSpPr/>
          </xdr:nvGrpSpPr>
          <xdr:grpSpPr>
            <a:xfrm>
              <a:off x="2619375" y="4286250"/>
              <a:ext cx="742950" cy="4029075"/>
              <a:chOff x="1828801" y="3305175"/>
              <a:chExt cx="742950" cy="4029075"/>
            </a:xfrm>
          </xdr:grpSpPr>
          <xdr:sp macro="" textlink="Pivot_tables!M7">
            <xdr:nvSpPr>
              <xdr:cNvPr id="77" name="TextBox 76">
                <a:extLst>
                  <a:ext uri="{FF2B5EF4-FFF2-40B4-BE49-F238E27FC236}">
                    <a16:creationId xmlns:a16="http://schemas.microsoft.com/office/drawing/2014/main" id="{00000000-0008-0000-0000-00004D000000}"/>
                  </a:ext>
                </a:extLst>
              </xdr:cNvPr>
              <xdr:cNvSpPr txBox="1"/>
            </xdr:nvSpPr>
            <xdr:spPr>
              <a:xfrm>
                <a:off x="1828801" y="3533180"/>
                <a:ext cx="742950" cy="2381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r"/>
                <a:fld id="{C60104FF-EE70-4A9E-B1A0-1C8E0363EC64}" type="TxLink">
                  <a:rPr lang="en-US" sz="1100" b="0" i="0" u="none" strike="noStrike">
                    <a:solidFill>
                      <a:schemeClr val="bg1"/>
                    </a:solidFill>
                    <a:latin typeface="Avenir Next LT Pro" panose="020B0504020202020204" pitchFamily="34" charset="0"/>
                    <a:cs typeface="Arial"/>
                  </a:rPr>
                  <a:pPr algn="r"/>
                  <a:t> 2,554 </a:t>
                </a:fld>
                <a:endParaRPr lang="en-CA" sz="1100">
                  <a:solidFill>
                    <a:schemeClr val="bg1"/>
                  </a:solidFill>
                  <a:latin typeface="Avenir Next LT Pro" panose="020B0504020202020204" pitchFamily="34" charset="0"/>
                </a:endParaRPr>
              </a:p>
            </xdr:txBody>
          </xdr:sp>
          <xdr:sp macro="" textlink="Pivot_tables!M8">
            <xdr:nvSpPr>
              <xdr:cNvPr id="78" name="TextBox 77">
                <a:extLst>
                  <a:ext uri="{FF2B5EF4-FFF2-40B4-BE49-F238E27FC236}">
                    <a16:creationId xmlns:a16="http://schemas.microsoft.com/office/drawing/2014/main" id="{00000000-0008-0000-0000-00004E000000}"/>
                  </a:ext>
                </a:extLst>
              </xdr:cNvPr>
              <xdr:cNvSpPr txBox="1"/>
            </xdr:nvSpPr>
            <xdr:spPr>
              <a:xfrm>
                <a:off x="1828801" y="3770710"/>
                <a:ext cx="742950" cy="2381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r"/>
                <a:fld id="{578DA786-CEA3-45B7-B85D-CEB4DE8783DC}" type="TxLink">
                  <a:rPr lang="en-US" sz="1100" b="0" i="0" u="none" strike="noStrike">
                    <a:solidFill>
                      <a:schemeClr val="bg1"/>
                    </a:solidFill>
                    <a:latin typeface="Avenir Next LT Pro" panose="020B0504020202020204" pitchFamily="34" charset="0"/>
                    <a:cs typeface="Arial"/>
                  </a:rPr>
                  <a:pPr algn="r"/>
                  <a:t> 536 </a:t>
                </a:fld>
                <a:endParaRPr lang="en-CA" sz="1100">
                  <a:solidFill>
                    <a:schemeClr val="bg1"/>
                  </a:solidFill>
                  <a:latin typeface="Avenir Next LT Pro" panose="020B0504020202020204" pitchFamily="34" charset="0"/>
                </a:endParaRPr>
              </a:p>
            </xdr:txBody>
          </xdr:sp>
          <xdr:sp macro="" textlink="Pivot_tables!M9">
            <xdr:nvSpPr>
              <xdr:cNvPr id="79" name="TextBox 78">
                <a:extLst>
                  <a:ext uri="{FF2B5EF4-FFF2-40B4-BE49-F238E27FC236}">
                    <a16:creationId xmlns:a16="http://schemas.microsoft.com/office/drawing/2014/main" id="{00000000-0008-0000-0000-00004F000000}"/>
                  </a:ext>
                </a:extLst>
              </xdr:cNvPr>
              <xdr:cNvSpPr txBox="1"/>
            </xdr:nvSpPr>
            <xdr:spPr>
              <a:xfrm>
                <a:off x="1828801" y="4008240"/>
                <a:ext cx="742950" cy="2381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r"/>
                <a:fld id="{CA17704E-983B-4473-98E2-EEA5E5BFF5D4}" type="TxLink">
                  <a:rPr lang="en-US" sz="1100" b="0" i="0" u="none" strike="noStrike">
                    <a:solidFill>
                      <a:schemeClr val="bg1"/>
                    </a:solidFill>
                    <a:latin typeface="Avenir Next LT Pro" panose="020B0504020202020204" pitchFamily="34" charset="0"/>
                    <a:cs typeface="Arial"/>
                  </a:rPr>
                  <a:pPr algn="r"/>
                  <a:t> 1,138 </a:t>
                </a:fld>
                <a:endParaRPr lang="en-CA" sz="1100">
                  <a:solidFill>
                    <a:schemeClr val="bg1"/>
                  </a:solidFill>
                  <a:latin typeface="Avenir Next LT Pro" panose="020B0504020202020204" pitchFamily="34" charset="0"/>
                </a:endParaRPr>
              </a:p>
            </xdr:txBody>
          </xdr:sp>
          <xdr:sp macro="" textlink="Pivot_tables!M10">
            <xdr:nvSpPr>
              <xdr:cNvPr id="80" name="TextBox 79">
                <a:extLst>
                  <a:ext uri="{FF2B5EF4-FFF2-40B4-BE49-F238E27FC236}">
                    <a16:creationId xmlns:a16="http://schemas.microsoft.com/office/drawing/2014/main" id="{00000000-0008-0000-0000-000050000000}"/>
                  </a:ext>
                </a:extLst>
              </xdr:cNvPr>
              <xdr:cNvSpPr txBox="1"/>
            </xdr:nvSpPr>
            <xdr:spPr>
              <a:xfrm>
                <a:off x="1828801" y="4245770"/>
                <a:ext cx="742950" cy="2381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r"/>
                <a:fld id="{A471EFFE-89CD-4968-909A-9DE918697C33}" type="TxLink">
                  <a:rPr lang="en-US" sz="1100" b="0" i="0" u="none" strike="noStrike">
                    <a:solidFill>
                      <a:schemeClr val="bg1"/>
                    </a:solidFill>
                    <a:latin typeface="Avenir Next LT Pro" panose="020B0504020202020204" pitchFamily="34" charset="0"/>
                    <a:cs typeface="Arial"/>
                  </a:rPr>
                  <a:pPr algn="r"/>
                  <a:t> 2,481 </a:t>
                </a:fld>
                <a:endParaRPr lang="en-CA" sz="1100">
                  <a:solidFill>
                    <a:schemeClr val="bg1"/>
                  </a:solidFill>
                  <a:latin typeface="Avenir Next LT Pro" panose="020B0504020202020204" pitchFamily="34" charset="0"/>
                </a:endParaRPr>
              </a:p>
            </xdr:txBody>
          </xdr:sp>
          <xdr:sp macro="" textlink="Pivot_tables!M11">
            <xdr:nvSpPr>
              <xdr:cNvPr id="81" name="TextBox 80">
                <a:extLst>
                  <a:ext uri="{FF2B5EF4-FFF2-40B4-BE49-F238E27FC236}">
                    <a16:creationId xmlns:a16="http://schemas.microsoft.com/office/drawing/2014/main" id="{00000000-0008-0000-0000-000051000000}"/>
                  </a:ext>
                </a:extLst>
              </xdr:cNvPr>
              <xdr:cNvSpPr txBox="1"/>
            </xdr:nvSpPr>
            <xdr:spPr>
              <a:xfrm>
                <a:off x="1828801" y="4483300"/>
                <a:ext cx="742950" cy="2381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r"/>
                <a:fld id="{146585F6-9265-4AC8-9ED5-6F9B0AA887DB}" type="TxLink">
                  <a:rPr lang="en-US" sz="1100" b="0" i="0" u="none" strike="noStrike">
                    <a:solidFill>
                      <a:schemeClr val="bg1"/>
                    </a:solidFill>
                    <a:latin typeface="Avenir Next LT Pro" panose="020B0504020202020204" pitchFamily="34" charset="0"/>
                    <a:cs typeface="Arial"/>
                  </a:rPr>
                  <a:pPr algn="r"/>
                  <a:t> 181 </a:t>
                </a:fld>
                <a:endParaRPr lang="en-CA" sz="1100">
                  <a:solidFill>
                    <a:schemeClr val="bg1"/>
                  </a:solidFill>
                  <a:latin typeface="Avenir Next LT Pro" panose="020B0504020202020204" pitchFamily="34" charset="0"/>
                </a:endParaRPr>
              </a:p>
            </xdr:txBody>
          </xdr:sp>
          <xdr:sp macro="" textlink="Pivot_tables!M12">
            <xdr:nvSpPr>
              <xdr:cNvPr id="82" name="TextBox 81">
                <a:extLst>
                  <a:ext uri="{FF2B5EF4-FFF2-40B4-BE49-F238E27FC236}">
                    <a16:creationId xmlns:a16="http://schemas.microsoft.com/office/drawing/2014/main" id="{00000000-0008-0000-0000-000052000000}"/>
                  </a:ext>
                </a:extLst>
              </xdr:cNvPr>
              <xdr:cNvSpPr txBox="1"/>
            </xdr:nvSpPr>
            <xdr:spPr>
              <a:xfrm>
                <a:off x="1828801" y="4720830"/>
                <a:ext cx="742950" cy="2381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r"/>
                <a:fld id="{D1E30254-372C-4203-A875-154E1F87EF67}" type="TxLink">
                  <a:rPr lang="en-US" sz="1100" b="0" i="0" u="none" strike="noStrike">
                    <a:solidFill>
                      <a:schemeClr val="bg1"/>
                    </a:solidFill>
                    <a:latin typeface="Avenir Next LT Pro" panose="020B0504020202020204" pitchFamily="34" charset="0"/>
                    <a:cs typeface="Arial"/>
                  </a:rPr>
                  <a:pPr algn="r"/>
                  <a:t> 590 </a:t>
                </a:fld>
                <a:endParaRPr lang="en-CA" sz="1100">
                  <a:solidFill>
                    <a:schemeClr val="bg1"/>
                  </a:solidFill>
                  <a:latin typeface="Avenir Next LT Pro" panose="020B0504020202020204" pitchFamily="34" charset="0"/>
                </a:endParaRPr>
              </a:p>
            </xdr:txBody>
          </xdr:sp>
          <xdr:sp macro="" textlink="Pivot_tables!M13">
            <xdr:nvSpPr>
              <xdr:cNvPr id="83" name="TextBox 82">
                <a:extLst>
                  <a:ext uri="{FF2B5EF4-FFF2-40B4-BE49-F238E27FC236}">
                    <a16:creationId xmlns:a16="http://schemas.microsoft.com/office/drawing/2014/main" id="{00000000-0008-0000-0000-000053000000}"/>
                  </a:ext>
                </a:extLst>
              </xdr:cNvPr>
              <xdr:cNvSpPr txBox="1"/>
            </xdr:nvSpPr>
            <xdr:spPr>
              <a:xfrm>
                <a:off x="1828801" y="4958360"/>
                <a:ext cx="742950" cy="2381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r"/>
                <a:fld id="{9EAE52CD-F6D6-4117-930A-2B5761B585AD}" type="TxLink">
                  <a:rPr lang="en-US" sz="1100" b="0" i="0" u="none" strike="noStrike">
                    <a:solidFill>
                      <a:schemeClr val="bg1"/>
                    </a:solidFill>
                    <a:latin typeface="Avenir Next LT Pro" panose="020B0504020202020204" pitchFamily="34" charset="0"/>
                    <a:cs typeface="Arial"/>
                  </a:rPr>
                  <a:pPr algn="r"/>
                  <a:t> 903 </a:t>
                </a:fld>
                <a:endParaRPr lang="en-CA" sz="1100">
                  <a:solidFill>
                    <a:schemeClr val="bg1"/>
                  </a:solidFill>
                  <a:latin typeface="Avenir Next LT Pro" panose="020B0504020202020204" pitchFamily="34" charset="0"/>
                </a:endParaRPr>
              </a:p>
            </xdr:txBody>
          </xdr:sp>
          <xdr:sp macro="" textlink="Pivot_tables!M14">
            <xdr:nvSpPr>
              <xdr:cNvPr id="84" name="TextBox 83">
                <a:extLst>
                  <a:ext uri="{FF2B5EF4-FFF2-40B4-BE49-F238E27FC236}">
                    <a16:creationId xmlns:a16="http://schemas.microsoft.com/office/drawing/2014/main" id="{00000000-0008-0000-0000-000054000000}"/>
                  </a:ext>
                </a:extLst>
              </xdr:cNvPr>
              <xdr:cNvSpPr txBox="1"/>
            </xdr:nvSpPr>
            <xdr:spPr>
              <a:xfrm>
                <a:off x="1828801" y="5195890"/>
                <a:ext cx="742950" cy="2381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r"/>
                <a:fld id="{2D31F82D-1359-406B-B35D-7E9403D0DB8F}" type="TxLink">
                  <a:rPr lang="en-US" sz="1100" b="0" i="0" u="none" strike="noStrike">
                    <a:solidFill>
                      <a:schemeClr val="bg1"/>
                    </a:solidFill>
                    <a:latin typeface="Avenir Next LT Pro" panose="020B0504020202020204" pitchFamily="34" charset="0"/>
                    <a:cs typeface="Arial"/>
                  </a:rPr>
                  <a:pPr algn="r"/>
                  <a:t> 2,356 </a:t>
                </a:fld>
                <a:endParaRPr lang="en-CA" sz="1100">
                  <a:solidFill>
                    <a:schemeClr val="bg1"/>
                  </a:solidFill>
                  <a:latin typeface="Avenir Next LT Pro" panose="020B0504020202020204" pitchFamily="34" charset="0"/>
                </a:endParaRPr>
              </a:p>
            </xdr:txBody>
          </xdr:sp>
          <xdr:sp macro="" textlink="Pivot_tables!M15">
            <xdr:nvSpPr>
              <xdr:cNvPr id="85" name="TextBox 84">
                <a:extLst>
                  <a:ext uri="{FF2B5EF4-FFF2-40B4-BE49-F238E27FC236}">
                    <a16:creationId xmlns:a16="http://schemas.microsoft.com/office/drawing/2014/main" id="{00000000-0008-0000-0000-000055000000}"/>
                  </a:ext>
                </a:extLst>
              </xdr:cNvPr>
              <xdr:cNvSpPr txBox="1"/>
            </xdr:nvSpPr>
            <xdr:spPr>
              <a:xfrm>
                <a:off x="1828801" y="5433420"/>
                <a:ext cx="742950" cy="2381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r"/>
                <a:fld id="{AEC65DB1-0457-49DC-AFFD-22FB8C965BEB}" type="TxLink">
                  <a:rPr lang="en-US" sz="1100" b="0" i="0" u="none" strike="noStrike">
                    <a:solidFill>
                      <a:schemeClr val="bg1"/>
                    </a:solidFill>
                    <a:latin typeface="Avenir Next LT Pro" panose="020B0504020202020204" pitchFamily="34" charset="0"/>
                    <a:cs typeface="Arial"/>
                  </a:rPr>
                  <a:pPr algn="r"/>
                  <a:t> 898 </a:t>
                </a:fld>
                <a:endParaRPr lang="en-CA" sz="1100">
                  <a:solidFill>
                    <a:schemeClr val="bg1"/>
                  </a:solidFill>
                  <a:latin typeface="Avenir Next LT Pro" panose="020B0504020202020204" pitchFamily="34" charset="0"/>
                </a:endParaRPr>
              </a:p>
            </xdr:txBody>
          </xdr:sp>
          <xdr:sp macro="" textlink="Pivot_tables!M16">
            <xdr:nvSpPr>
              <xdr:cNvPr id="86" name="TextBox 85">
                <a:extLst>
                  <a:ext uri="{FF2B5EF4-FFF2-40B4-BE49-F238E27FC236}">
                    <a16:creationId xmlns:a16="http://schemas.microsoft.com/office/drawing/2014/main" id="{00000000-0008-0000-0000-000056000000}"/>
                  </a:ext>
                </a:extLst>
              </xdr:cNvPr>
              <xdr:cNvSpPr txBox="1"/>
            </xdr:nvSpPr>
            <xdr:spPr>
              <a:xfrm>
                <a:off x="1828801" y="5670950"/>
                <a:ext cx="742950" cy="2381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r"/>
                <a:fld id="{E7FB5762-3BA1-4821-8367-2B06B71458A7}" type="TxLink">
                  <a:rPr lang="en-US" sz="1100" b="0" i="0" u="none" strike="noStrike">
                    <a:solidFill>
                      <a:schemeClr val="bg1"/>
                    </a:solidFill>
                    <a:latin typeface="Avenir Next LT Pro" panose="020B0504020202020204" pitchFamily="34" charset="0"/>
                    <a:cs typeface="Arial"/>
                  </a:rPr>
                  <a:pPr algn="r"/>
                  <a:t> 3,481 </a:t>
                </a:fld>
                <a:endParaRPr lang="en-CA" sz="1100">
                  <a:solidFill>
                    <a:schemeClr val="bg1"/>
                  </a:solidFill>
                  <a:latin typeface="Avenir Next LT Pro" panose="020B0504020202020204" pitchFamily="34" charset="0"/>
                </a:endParaRPr>
              </a:p>
            </xdr:txBody>
          </xdr:sp>
          <xdr:sp macro="" textlink="Pivot_tables!M17">
            <xdr:nvSpPr>
              <xdr:cNvPr id="87" name="TextBox 86">
                <a:extLst>
                  <a:ext uri="{FF2B5EF4-FFF2-40B4-BE49-F238E27FC236}">
                    <a16:creationId xmlns:a16="http://schemas.microsoft.com/office/drawing/2014/main" id="{00000000-0008-0000-0000-000057000000}"/>
                  </a:ext>
                </a:extLst>
              </xdr:cNvPr>
              <xdr:cNvSpPr txBox="1"/>
            </xdr:nvSpPr>
            <xdr:spPr>
              <a:xfrm>
                <a:off x="1828801" y="5908480"/>
                <a:ext cx="742950" cy="2381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r"/>
                <a:fld id="{3C449A45-9674-4478-928F-B97654A7D3E4}" type="TxLink">
                  <a:rPr lang="en-US" sz="1100" b="0" i="0" u="none" strike="noStrike">
                    <a:solidFill>
                      <a:schemeClr val="bg1"/>
                    </a:solidFill>
                    <a:latin typeface="Avenir Next LT Pro" panose="020B0504020202020204" pitchFamily="34" charset="0"/>
                    <a:cs typeface="Arial"/>
                  </a:rPr>
                  <a:pPr algn="r"/>
                  <a:t> 2,744 </a:t>
                </a:fld>
                <a:endParaRPr lang="en-CA" sz="1100">
                  <a:solidFill>
                    <a:schemeClr val="bg1"/>
                  </a:solidFill>
                  <a:latin typeface="Avenir Next LT Pro" panose="020B0504020202020204" pitchFamily="34" charset="0"/>
                </a:endParaRPr>
              </a:p>
            </xdr:txBody>
          </xdr:sp>
          <xdr:sp macro="" textlink="Pivot_tables!M18">
            <xdr:nvSpPr>
              <xdr:cNvPr id="88" name="TextBox 87">
                <a:extLst>
                  <a:ext uri="{FF2B5EF4-FFF2-40B4-BE49-F238E27FC236}">
                    <a16:creationId xmlns:a16="http://schemas.microsoft.com/office/drawing/2014/main" id="{00000000-0008-0000-0000-000058000000}"/>
                  </a:ext>
                </a:extLst>
              </xdr:cNvPr>
              <xdr:cNvSpPr txBox="1"/>
            </xdr:nvSpPr>
            <xdr:spPr>
              <a:xfrm>
                <a:off x="1828801" y="6146010"/>
                <a:ext cx="742950" cy="2381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r"/>
                <a:fld id="{B8733CB3-D15F-44D1-9801-EC0BE91480BA}" type="TxLink">
                  <a:rPr lang="en-US" sz="1100" b="0" i="0" u="none" strike="noStrike">
                    <a:solidFill>
                      <a:schemeClr val="bg1"/>
                    </a:solidFill>
                    <a:latin typeface="Avenir Next LT Pro"/>
                    <a:cs typeface="Arial"/>
                  </a:rPr>
                  <a:pPr algn="r"/>
                  <a:t> 501 </a:t>
                </a:fld>
                <a:endParaRPr lang="en-CA" sz="1100">
                  <a:solidFill>
                    <a:schemeClr val="bg1"/>
                  </a:solidFill>
                  <a:latin typeface="Avenir Next LT Pro" panose="020B0504020202020204" pitchFamily="34" charset="0"/>
                </a:endParaRPr>
              </a:p>
            </xdr:txBody>
          </xdr:sp>
          <xdr:sp macro="" textlink="Pivot_tables!M19">
            <xdr:nvSpPr>
              <xdr:cNvPr id="89" name="TextBox 88">
                <a:extLst>
                  <a:ext uri="{FF2B5EF4-FFF2-40B4-BE49-F238E27FC236}">
                    <a16:creationId xmlns:a16="http://schemas.microsoft.com/office/drawing/2014/main" id="{00000000-0008-0000-0000-000059000000}"/>
                  </a:ext>
                </a:extLst>
              </xdr:cNvPr>
              <xdr:cNvSpPr txBox="1"/>
            </xdr:nvSpPr>
            <xdr:spPr>
              <a:xfrm>
                <a:off x="1828801" y="6383540"/>
                <a:ext cx="742950" cy="2381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r"/>
                <a:fld id="{A99F4E8A-F388-4734-AF59-39FFCFA8BD4B}" type="TxLink">
                  <a:rPr lang="en-US" sz="1100" b="0" i="0" u="none" strike="noStrike">
                    <a:solidFill>
                      <a:schemeClr val="bg1"/>
                    </a:solidFill>
                    <a:latin typeface="Avenir Next LT Pro" panose="020B0504020202020204" pitchFamily="34" charset="0"/>
                    <a:cs typeface="Arial"/>
                  </a:rPr>
                  <a:pPr algn="r"/>
                  <a:t> 423 </a:t>
                </a:fld>
                <a:endParaRPr lang="en-CA" sz="1100">
                  <a:solidFill>
                    <a:schemeClr val="bg1"/>
                  </a:solidFill>
                  <a:latin typeface="Avenir Next LT Pro" panose="020B0504020202020204" pitchFamily="34" charset="0"/>
                </a:endParaRPr>
              </a:p>
            </xdr:txBody>
          </xdr:sp>
          <xdr:sp macro="" textlink="Pivot_tables!M20">
            <xdr:nvSpPr>
              <xdr:cNvPr id="90" name="TextBox 89">
                <a:extLst>
                  <a:ext uri="{FF2B5EF4-FFF2-40B4-BE49-F238E27FC236}">
                    <a16:creationId xmlns:a16="http://schemas.microsoft.com/office/drawing/2014/main" id="{00000000-0008-0000-0000-00005A000000}"/>
                  </a:ext>
                </a:extLst>
              </xdr:cNvPr>
              <xdr:cNvSpPr txBox="1"/>
            </xdr:nvSpPr>
            <xdr:spPr>
              <a:xfrm>
                <a:off x="1828801" y="6621070"/>
                <a:ext cx="742950" cy="2381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r"/>
                <a:fld id="{ED70566B-7268-436D-9F65-58B557A77E99}" type="TxLink">
                  <a:rPr lang="en-US" sz="1100" b="0" i="0" u="none" strike="noStrike">
                    <a:solidFill>
                      <a:schemeClr val="bg1"/>
                    </a:solidFill>
                    <a:latin typeface="Avenir Next LT Pro" panose="020B0504020202020204" pitchFamily="34" charset="0"/>
                    <a:cs typeface="Arial"/>
                  </a:rPr>
                  <a:pPr algn="r"/>
                  <a:t> 1,889 </a:t>
                </a:fld>
                <a:endParaRPr lang="en-CA" sz="1100">
                  <a:solidFill>
                    <a:schemeClr val="bg1"/>
                  </a:solidFill>
                  <a:latin typeface="Avenir Next LT Pro" panose="020B0504020202020204" pitchFamily="34" charset="0"/>
                </a:endParaRPr>
              </a:p>
            </xdr:txBody>
          </xdr:sp>
          <xdr:sp macro="" textlink="Pivot_tables!M21">
            <xdr:nvSpPr>
              <xdr:cNvPr id="91" name="TextBox 90">
                <a:extLst>
                  <a:ext uri="{FF2B5EF4-FFF2-40B4-BE49-F238E27FC236}">
                    <a16:creationId xmlns:a16="http://schemas.microsoft.com/office/drawing/2014/main" id="{00000000-0008-0000-0000-00005B000000}"/>
                  </a:ext>
                </a:extLst>
              </xdr:cNvPr>
              <xdr:cNvSpPr txBox="1"/>
            </xdr:nvSpPr>
            <xdr:spPr>
              <a:xfrm>
                <a:off x="1828801" y="6858600"/>
                <a:ext cx="742950" cy="2381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r"/>
                <a:fld id="{AF2B2AB4-A1BB-4402-98E3-59A9BCB231A8}" type="TxLink">
                  <a:rPr lang="en-US" sz="1100" b="0" i="0" u="none" strike="noStrike">
                    <a:solidFill>
                      <a:schemeClr val="bg1"/>
                    </a:solidFill>
                    <a:latin typeface="Avenir Next LT Pro" panose="020B0504020202020204" pitchFamily="34" charset="0"/>
                    <a:cs typeface="Arial"/>
                  </a:rPr>
                  <a:pPr algn="r"/>
                  <a:t> 882 </a:t>
                </a:fld>
                <a:endParaRPr lang="en-CA" sz="1100">
                  <a:solidFill>
                    <a:schemeClr val="bg1"/>
                  </a:solidFill>
                  <a:latin typeface="Avenir Next LT Pro" panose="020B0504020202020204" pitchFamily="34" charset="0"/>
                </a:endParaRPr>
              </a:p>
            </xdr:txBody>
          </xdr:sp>
          <xdr:sp macro="" textlink="Pivot_tables!M22">
            <xdr:nvSpPr>
              <xdr:cNvPr id="92" name="TextBox 91">
                <a:extLst>
                  <a:ext uri="{FF2B5EF4-FFF2-40B4-BE49-F238E27FC236}">
                    <a16:creationId xmlns:a16="http://schemas.microsoft.com/office/drawing/2014/main" id="{00000000-0008-0000-0000-00005C000000}"/>
                  </a:ext>
                </a:extLst>
              </xdr:cNvPr>
              <xdr:cNvSpPr txBox="1"/>
            </xdr:nvSpPr>
            <xdr:spPr>
              <a:xfrm>
                <a:off x="1828801" y="7096125"/>
                <a:ext cx="742950" cy="2381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r"/>
                <a:fld id="{B3FB8D14-B831-4CDE-9E7D-B02CE7A15996}" type="TxLink">
                  <a:rPr lang="en-US" sz="1100" b="0" i="0" u="none" strike="noStrike">
                    <a:solidFill>
                      <a:schemeClr val="bg1"/>
                    </a:solidFill>
                    <a:latin typeface="Avenir Next LT Pro" panose="020B0504020202020204" pitchFamily="34" charset="0"/>
                    <a:cs typeface="Arial"/>
                  </a:rPr>
                  <a:pPr algn="r"/>
                  <a:t> 2,358 </a:t>
                </a:fld>
                <a:endParaRPr lang="en-CA" sz="1100">
                  <a:solidFill>
                    <a:schemeClr val="bg1"/>
                  </a:solidFill>
                  <a:latin typeface="Avenir Next LT Pro" panose="020B0504020202020204" pitchFamily="34" charset="0"/>
                </a:endParaRPr>
              </a:p>
            </xdr:txBody>
          </xdr:sp>
          <xdr:sp macro="" textlink="Pivot_tables!M6">
            <xdr:nvSpPr>
              <xdr:cNvPr id="93" name="TextBox 92">
                <a:extLst>
                  <a:ext uri="{FF2B5EF4-FFF2-40B4-BE49-F238E27FC236}">
                    <a16:creationId xmlns:a16="http://schemas.microsoft.com/office/drawing/2014/main" id="{00000000-0008-0000-0000-00005D000000}"/>
                  </a:ext>
                </a:extLst>
              </xdr:cNvPr>
              <xdr:cNvSpPr txBox="1"/>
            </xdr:nvSpPr>
            <xdr:spPr>
              <a:xfrm>
                <a:off x="1828801" y="3305175"/>
                <a:ext cx="742950" cy="2381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r"/>
                <a:fld id="{501500F5-E29D-40E6-8E39-E99301B166EB}" type="TxLink">
                  <a:rPr lang="en-US" sz="1100" b="0" i="0" u="none" strike="noStrike">
                    <a:solidFill>
                      <a:schemeClr val="bg1"/>
                    </a:solidFill>
                    <a:latin typeface="Avenir Next LT Pro" panose="020B0504020202020204" pitchFamily="34" charset="0"/>
                    <a:cs typeface="Arial"/>
                  </a:rPr>
                  <a:pPr algn="r"/>
                  <a:t> 1,187 </a:t>
                </a:fld>
                <a:endParaRPr lang="en-US" sz="1100">
                  <a:solidFill>
                    <a:schemeClr val="bg1"/>
                  </a:solidFill>
                  <a:latin typeface="Avenir Next LT Pro" panose="020B0504020202020204" pitchFamily="34" charset="0"/>
                </a:endParaRPr>
              </a:p>
            </xdr:txBody>
          </xdr:sp>
        </xdr:grpSp>
        <xdr:sp macro="" textlink="">
          <xdr:nvSpPr>
            <xdr:cNvPr id="95" name="TextBox 94">
              <a:extLst>
                <a:ext uri="{FF2B5EF4-FFF2-40B4-BE49-F238E27FC236}">
                  <a16:creationId xmlns:a16="http://schemas.microsoft.com/office/drawing/2014/main" id="{00000000-0008-0000-0000-00005F000000}"/>
                </a:ext>
              </a:extLst>
            </xdr:cNvPr>
            <xdr:cNvSpPr txBox="1"/>
          </xdr:nvSpPr>
          <xdr:spPr>
            <a:xfrm>
              <a:off x="2471590" y="3905250"/>
              <a:ext cx="890736" cy="2952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r"/>
              <a:r>
                <a:rPr lang="en-US" sz="1400" u="none">
                  <a:solidFill>
                    <a:srgbClr val="D43260"/>
                  </a:solidFill>
                  <a:latin typeface="Avenir Next LT Pro" panose="020B0504020202020204" pitchFamily="34" charset="0"/>
                </a:rPr>
                <a:t>Quantity</a:t>
              </a:r>
            </a:p>
          </xdr:txBody>
        </xdr:sp>
      </xdr:grpSp>
      <xdr:grpSp>
        <xdr:nvGrpSpPr>
          <xdr:cNvPr id="122" name="Group 121">
            <a:extLst>
              <a:ext uri="{FF2B5EF4-FFF2-40B4-BE49-F238E27FC236}">
                <a16:creationId xmlns:a16="http://schemas.microsoft.com/office/drawing/2014/main" id="{00000000-0008-0000-0000-00007A000000}"/>
              </a:ext>
            </a:extLst>
          </xdr:cNvPr>
          <xdr:cNvGrpSpPr/>
        </xdr:nvGrpSpPr>
        <xdr:grpSpPr>
          <a:xfrm>
            <a:off x="3448050" y="4457700"/>
            <a:ext cx="1090462" cy="4410075"/>
            <a:chOff x="3205014" y="3905250"/>
            <a:chExt cx="1090462" cy="4410075"/>
          </a:xfrm>
        </xdr:grpSpPr>
        <xdr:grpSp>
          <xdr:nvGrpSpPr>
            <xdr:cNvPr id="119" name="Group 118">
              <a:extLst>
                <a:ext uri="{FF2B5EF4-FFF2-40B4-BE49-F238E27FC236}">
                  <a16:creationId xmlns:a16="http://schemas.microsoft.com/office/drawing/2014/main" id="{00000000-0008-0000-0000-000077000000}"/>
                </a:ext>
              </a:extLst>
            </xdr:cNvPr>
            <xdr:cNvGrpSpPr/>
          </xdr:nvGrpSpPr>
          <xdr:grpSpPr>
            <a:xfrm>
              <a:off x="3552525" y="4286250"/>
              <a:ext cx="742950" cy="4029075"/>
              <a:chOff x="3552525" y="4286250"/>
              <a:chExt cx="742950" cy="4029075"/>
            </a:xfrm>
          </xdr:grpSpPr>
          <xdr:sp macro="" textlink="Pivot_tables!N7">
            <xdr:nvSpPr>
              <xdr:cNvPr id="97" name="TextBox 96">
                <a:extLst>
                  <a:ext uri="{FF2B5EF4-FFF2-40B4-BE49-F238E27FC236}">
                    <a16:creationId xmlns:a16="http://schemas.microsoft.com/office/drawing/2014/main" id="{00000000-0008-0000-0000-000061000000}"/>
                  </a:ext>
                </a:extLst>
              </xdr:cNvPr>
              <xdr:cNvSpPr txBox="1"/>
            </xdr:nvSpPr>
            <xdr:spPr>
              <a:xfrm>
                <a:off x="3552525" y="4514255"/>
                <a:ext cx="742950" cy="2381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r"/>
                <a:fld id="{1DC1CD49-B7F6-402F-BB7B-DD6FD5B81A3A}" type="TxLink">
                  <a:rPr lang="en-US" sz="1100" b="0" i="0" u="none" strike="noStrike">
                    <a:solidFill>
                      <a:schemeClr val="bg1"/>
                    </a:solidFill>
                    <a:latin typeface="Avenir Next LT Pro"/>
                    <a:cs typeface="Arial"/>
                  </a:rPr>
                  <a:pPr algn="r"/>
                  <a:t>10.17%</a:t>
                </a:fld>
                <a:endParaRPr lang="en-CA" sz="1100">
                  <a:solidFill>
                    <a:schemeClr val="bg1"/>
                  </a:solidFill>
                  <a:latin typeface="Avenir Next LT Pro" panose="020B0504020202020204" pitchFamily="34" charset="0"/>
                </a:endParaRPr>
              </a:p>
            </xdr:txBody>
          </xdr:sp>
          <xdr:sp macro="" textlink="Pivot_tables!N8">
            <xdr:nvSpPr>
              <xdr:cNvPr id="98" name="TextBox 97">
                <a:extLst>
                  <a:ext uri="{FF2B5EF4-FFF2-40B4-BE49-F238E27FC236}">
                    <a16:creationId xmlns:a16="http://schemas.microsoft.com/office/drawing/2014/main" id="{00000000-0008-0000-0000-000062000000}"/>
                  </a:ext>
                </a:extLst>
              </xdr:cNvPr>
              <xdr:cNvSpPr txBox="1"/>
            </xdr:nvSpPr>
            <xdr:spPr>
              <a:xfrm>
                <a:off x="3552525" y="4751785"/>
                <a:ext cx="742950" cy="2381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r"/>
                <a:fld id="{55A2B062-F4CA-4BA0-8D9D-7962DF85B2E9}" type="TxLink">
                  <a:rPr lang="en-US" sz="1100" b="0" i="0" u="none" strike="noStrike">
                    <a:solidFill>
                      <a:schemeClr val="bg1"/>
                    </a:solidFill>
                    <a:latin typeface="Avenir Next LT Pro"/>
                    <a:cs typeface="Arial"/>
                  </a:rPr>
                  <a:pPr algn="r"/>
                  <a:t>2.14%</a:t>
                </a:fld>
                <a:endParaRPr lang="en-CA" sz="1100">
                  <a:solidFill>
                    <a:schemeClr val="bg1"/>
                  </a:solidFill>
                  <a:latin typeface="Avenir Next LT Pro" panose="020B0504020202020204" pitchFamily="34" charset="0"/>
                </a:endParaRPr>
              </a:p>
            </xdr:txBody>
          </xdr:sp>
          <xdr:sp macro="" textlink="Pivot_tables!N9">
            <xdr:nvSpPr>
              <xdr:cNvPr id="99" name="TextBox 98">
                <a:extLst>
                  <a:ext uri="{FF2B5EF4-FFF2-40B4-BE49-F238E27FC236}">
                    <a16:creationId xmlns:a16="http://schemas.microsoft.com/office/drawing/2014/main" id="{00000000-0008-0000-0000-000063000000}"/>
                  </a:ext>
                </a:extLst>
              </xdr:cNvPr>
              <xdr:cNvSpPr txBox="1"/>
            </xdr:nvSpPr>
            <xdr:spPr>
              <a:xfrm>
                <a:off x="3552525" y="4989315"/>
                <a:ext cx="742950" cy="2381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r"/>
                <a:fld id="{F381FD76-9266-4CDC-96E5-E9FCBE75CCD3}" type="TxLink">
                  <a:rPr lang="en-US" sz="1100" b="0" i="0" u="none" strike="noStrike">
                    <a:solidFill>
                      <a:schemeClr val="bg1"/>
                    </a:solidFill>
                    <a:latin typeface="Avenir Next LT Pro"/>
                    <a:cs typeface="Arial"/>
                  </a:rPr>
                  <a:pPr algn="r"/>
                  <a:t>4.53%</a:t>
                </a:fld>
                <a:endParaRPr lang="en-CA" sz="1100">
                  <a:solidFill>
                    <a:schemeClr val="bg1"/>
                  </a:solidFill>
                  <a:latin typeface="Avenir Next LT Pro" panose="020B0504020202020204" pitchFamily="34" charset="0"/>
                </a:endParaRPr>
              </a:p>
            </xdr:txBody>
          </xdr:sp>
          <xdr:sp macro="" textlink="Pivot_tables!N10">
            <xdr:nvSpPr>
              <xdr:cNvPr id="100" name="TextBox 99">
                <a:extLst>
                  <a:ext uri="{FF2B5EF4-FFF2-40B4-BE49-F238E27FC236}">
                    <a16:creationId xmlns:a16="http://schemas.microsoft.com/office/drawing/2014/main" id="{00000000-0008-0000-0000-000064000000}"/>
                  </a:ext>
                </a:extLst>
              </xdr:cNvPr>
              <xdr:cNvSpPr txBox="1"/>
            </xdr:nvSpPr>
            <xdr:spPr>
              <a:xfrm>
                <a:off x="3552525" y="5226845"/>
                <a:ext cx="742950" cy="2381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r"/>
                <a:fld id="{1FB30637-D9F5-4242-9E66-E0710D6F2977}" type="TxLink">
                  <a:rPr lang="en-US" sz="1100" b="0" i="0" u="none" strike="noStrike">
                    <a:solidFill>
                      <a:schemeClr val="bg1"/>
                    </a:solidFill>
                    <a:latin typeface="Avenir Next LT Pro"/>
                    <a:cs typeface="Arial"/>
                  </a:rPr>
                  <a:pPr algn="r"/>
                  <a:t>9.88%</a:t>
                </a:fld>
                <a:endParaRPr lang="en-CA" sz="1100">
                  <a:solidFill>
                    <a:schemeClr val="bg1"/>
                  </a:solidFill>
                  <a:latin typeface="Avenir Next LT Pro" panose="020B0504020202020204" pitchFamily="34" charset="0"/>
                </a:endParaRPr>
              </a:p>
            </xdr:txBody>
          </xdr:sp>
          <xdr:sp macro="" textlink="Pivot_tables!N11">
            <xdr:nvSpPr>
              <xdr:cNvPr id="101" name="TextBox 100">
                <a:extLst>
                  <a:ext uri="{FF2B5EF4-FFF2-40B4-BE49-F238E27FC236}">
                    <a16:creationId xmlns:a16="http://schemas.microsoft.com/office/drawing/2014/main" id="{00000000-0008-0000-0000-000065000000}"/>
                  </a:ext>
                </a:extLst>
              </xdr:cNvPr>
              <xdr:cNvSpPr txBox="1"/>
            </xdr:nvSpPr>
            <xdr:spPr>
              <a:xfrm>
                <a:off x="3552525" y="5464375"/>
                <a:ext cx="742950" cy="2381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r"/>
                <a:fld id="{EBF4B232-D5BB-4489-91D8-9B87F7135C50}" type="TxLink">
                  <a:rPr lang="en-US" sz="1100" b="0" i="0" u="none" strike="noStrike">
                    <a:solidFill>
                      <a:schemeClr val="bg1"/>
                    </a:solidFill>
                    <a:latin typeface="Avenir Next LT Pro"/>
                    <a:cs typeface="Arial"/>
                  </a:rPr>
                  <a:pPr algn="r"/>
                  <a:t>0.72%</a:t>
                </a:fld>
                <a:endParaRPr lang="en-CA" sz="1100">
                  <a:solidFill>
                    <a:schemeClr val="bg1"/>
                  </a:solidFill>
                  <a:latin typeface="Avenir Next LT Pro" panose="020B0504020202020204" pitchFamily="34" charset="0"/>
                </a:endParaRPr>
              </a:p>
            </xdr:txBody>
          </xdr:sp>
          <xdr:sp macro="" textlink="Pivot_tables!N12">
            <xdr:nvSpPr>
              <xdr:cNvPr id="102" name="TextBox 101">
                <a:extLst>
                  <a:ext uri="{FF2B5EF4-FFF2-40B4-BE49-F238E27FC236}">
                    <a16:creationId xmlns:a16="http://schemas.microsoft.com/office/drawing/2014/main" id="{00000000-0008-0000-0000-000066000000}"/>
                  </a:ext>
                </a:extLst>
              </xdr:cNvPr>
              <xdr:cNvSpPr txBox="1"/>
            </xdr:nvSpPr>
            <xdr:spPr>
              <a:xfrm>
                <a:off x="3552525" y="5701905"/>
                <a:ext cx="742950" cy="2381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r"/>
                <a:fld id="{A05B6E00-FAFC-4C38-8E14-F1E0444A585E}" type="TxLink">
                  <a:rPr lang="en-US" sz="1100" b="0" i="0" u="none" strike="noStrike">
                    <a:solidFill>
                      <a:schemeClr val="bg1"/>
                    </a:solidFill>
                    <a:latin typeface="Avenir Next LT Pro"/>
                    <a:cs typeface="Arial"/>
                  </a:rPr>
                  <a:pPr algn="r"/>
                  <a:t>2.35%</a:t>
                </a:fld>
                <a:endParaRPr lang="en-CA" sz="1100">
                  <a:solidFill>
                    <a:schemeClr val="bg1"/>
                  </a:solidFill>
                  <a:latin typeface="Avenir Next LT Pro" panose="020B0504020202020204" pitchFamily="34" charset="0"/>
                </a:endParaRPr>
              </a:p>
            </xdr:txBody>
          </xdr:sp>
          <xdr:sp macro="" textlink="Pivot_tables!N13">
            <xdr:nvSpPr>
              <xdr:cNvPr id="103" name="TextBox 102">
                <a:extLst>
                  <a:ext uri="{FF2B5EF4-FFF2-40B4-BE49-F238E27FC236}">
                    <a16:creationId xmlns:a16="http://schemas.microsoft.com/office/drawing/2014/main" id="{00000000-0008-0000-0000-000067000000}"/>
                  </a:ext>
                </a:extLst>
              </xdr:cNvPr>
              <xdr:cNvSpPr txBox="1"/>
            </xdr:nvSpPr>
            <xdr:spPr>
              <a:xfrm>
                <a:off x="3552525" y="5939435"/>
                <a:ext cx="742950" cy="2381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r"/>
                <a:fld id="{53B8928A-7264-43BA-AF3E-CA9DD650F091}" type="TxLink">
                  <a:rPr lang="en-US" sz="1100" b="0" i="0" u="none" strike="noStrike">
                    <a:solidFill>
                      <a:schemeClr val="bg1"/>
                    </a:solidFill>
                    <a:latin typeface="Avenir Next LT Pro"/>
                    <a:cs typeface="Arial"/>
                  </a:rPr>
                  <a:pPr algn="r"/>
                  <a:t>3.60%</a:t>
                </a:fld>
                <a:endParaRPr lang="en-CA" sz="1100">
                  <a:solidFill>
                    <a:schemeClr val="bg1"/>
                  </a:solidFill>
                  <a:latin typeface="Avenir Next LT Pro" panose="020B0504020202020204" pitchFamily="34" charset="0"/>
                </a:endParaRPr>
              </a:p>
            </xdr:txBody>
          </xdr:sp>
          <xdr:sp macro="" textlink="Pivot_tables!N14">
            <xdr:nvSpPr>
              <xdr:cNvPr id="104" name="TextBox 103">
                <a:extLst>
                  <a:ext uri="{FF2B5EF4-FFF2-40B4-BE49-F238E27FC236}">
                    <a16:creationId xmlns:a16="http://schemas.microsoft.com/office/drawing/2014/main" id="{00000000-0008-0000-0000-000068000000}"/>
                  </a:ext>
                </a:extLst>
              </xdr:cNvPr>
              <xdr:cNvSpPr txBox="1"/>
            </xdr:nvSpPr>
            <xdr:spPr>
              <a:xfrm>
                <a:off x="3552525" y="6176965"/>
                <a:ext cx="742950" cy="2381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r"/>
                <a:fld id="{660B63F2-5EBE-4C41-943E-19F2B7E24ABB}" type="TxLink">
                  <a:rPr lang="en-US" sz="1100" b="0" i="0" u="none" strike="noStrike">
                    <a:solidFill>
                      <a:schemeClr val="bg1"/>
                    </a:solidFill>
                    <a:latin typeface="Avenir Next LT Pro"/>
                    <a:cs typeface="Arial"/>
                  </a:rPr>
                  <a:pPr algn="r"/>
                  <a:t>9.39%</a:t>
                </a:fld>
                <a:endParaRPr lang="en-CA" sz="1100">
                  <a:solidFill>
                    <a:schemeClr val="bg1"/>
                  </a:solidFill>
                  <a:latin typeface="Avenir Next LT Pro" panose="020B0504020202020204" pitchFamily="34" charset="0"/>
                </a:endParaRPr>
              </a:p>
            </xdr:txBody>
          </xdr:sp>
          <xdr:sp macro="" textlink="Pivot_tables!N15">
            <xdr:nvSpPr>
              <xdr:cNvPr id="105" name="TextBox 104">
                <a:extLst>
                  <a:ext uri="{FF2B5EF4-FFF2-40B4-BE49-F238E27FC236}">
                    <a16:creationId xmlns:a16="http://schemas.microsoft.com/office/drawing/2014/main" id="{00000000-0008-0000-0000-000069000000}"/>
                  </a:ext>
                </a:extLst>
              </xdr:cNvPr>
              <xdr:cNvSpPr txBox="1"/>
            </xdr:nvSpPr>
            <xdr:spPr>
              <a:xfrm>
                <a:off x="3552525" y="6414495"/>
                <a:ext cx="742950" cy="2381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r"/>
                <a:fld id="{9C60FC61-4788-4F0D-BC18-4B61889B7083}" type="TxLink">
                  <a:rPr lang="en-US" sz="1100" b="0" i="0" u="none" strike="noStrike">
                    <a:solidFill>
                      <a:schemeClr val="bg1"/>
                    </a:solidFill>
                    <a:latin typeface="Avenir Next LT Pro"/>
                    <a:cs typeface="Arial"/>
                  </a:rPr>
                  <a:pPr algn="r"/>
                  <a:t>3.58%</a:t>
                </a:fld>
                <a:endParaRPr lang="en-CA" sz="1100">
                  <a:solidFill>
                    <a:schemeClr val="bg1"/>
                  </a:solidFill>
                  <a:latin typeface="Avenir Next LT Pro" panose="020B0504020202020204" pitchFamily="34" charset="0"/>
                </a:endParaRPr>
              </a:p>
            </xdr:txBody>
          </xdr:sp>
          <xdr:sp macro="" textlink="Pivot_tables!N16">
            <xdr:nvSpPr>
              <xdr:cNvPr id="106" name="TextBox 105">
                <a:extLst>
                  <a:ext uri="{FF2B5EF4-FFF2-40B4-BE49-F238E27FC236}">
                    <a16:creationId xmlns:a16="http://schemas.microsoft.com/office/drawing/2014/main" id="{00000000-0008-0000-0000-00006A000000}"/>
                  </a:ext>
                </a:extLst>
              </xdr:cNvPr>
              <xdr:cNvSpPr txBox="1"/>
            </xdr:nvSpPr>
            <xdr:spPr>
              <a:xfrm>
                <a:off x="3552525" y="6652025"/>
                <a:ext cx="742950" cy="2381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r"/>
                <a:fld id="{9CAC266F-A057-4057-A3C7-2D606C3A7289}" type="TxLink">
                  <a:rPr lang="en-US" sz="1100" b="0" i="0" u="none" strike="noStrike">
                    <a:solidFill>
                      <a:schemeClr val="bg1"/>
                    </a:solidFill>
                    <a:latin typeface="Avenir Next LT Pro"/>
                    <a:cs typeface="Arial"/>
                  </a:rPr>
                  <a:pPr algn="r"/>
                  <a:t>13.87%</a:t>
                </a:fld>
                <a:endParaRPr lang="en-CA" sz="1100">
                  <a:solidFill>
                    <a:schemeClr val="bg1"/>
                  </a:solidFill>
                  <a:latin typeface="Avenir Next LT Pro" panose="020B0504020202020204" pitchFamily="34" charset="0"/>
                </a:endParaRPr>
              </a:p>
            </xdr:txBody>
          </xdr:sp>
          <xdr:sp macro="" textlink="Pivot_tables!N17">
            <xdr:nvSpPr>
              <xdr:cNvPr id="107" name="TextBox 106">
                <a:extLst>
                  <a:ext uri="{FF2B5EF4-FFF2-40B4-BE49-F238E27FC236}">
                    <a16:creationId xmlns:a16="http://schemas.microsoft.com/office/drawing/2014/main" id="{00000000-0008-0000-0000-00006B000000}"/>
                  </a:ext>
                </a:extLst>
              </xdr:cNvPr>
              <xdr:cNvSpPr txBox="1"/>
            </xdr:nvSpPr>
            <xdr:spPr>
              <a:xfrm>
                <a:off x="3552525" y="6889555"/>
                <a:ext cx="742950" cy="2381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r"/>
                <a:fld id="{08DF5426-E4D8-4432-B944-EDDCF89082C5}" type="TxLink">
                  <a:rPr lang="en-US" sz="1100" b="0" i="0" u="none" strike="noStrike">
                    <a:solidFill>
                      <a:schemeClr val="bg1"/>
                    </a:solidFill>
                    <a:latin typeface="Avenir Next LT Pro"/>
                    <a:cs typeface="Arial"/>
                  </a:rPr>
                  <a:pPr algn="r"/>
                  <a:t>10.93%</a:t>
                </a:fld>
                <a:endParaRPr lang="en-CA" sz="1100">
                  <a:solidFill>
                    <a:schemeClr val="bg1"/>
                  </a:solidFill>
                  <a:latin typeface="Avenir Next LT Pro" panose="020B0504020202020204" pitchFamily="34" charset="0"/>
                </a:endParaRPr>
              </a:p>
            </xdr:txBody>
          </xdr:sp>
          <xdr:sp macro="" textlink="Pivot_tables!N18">
            <xdr:nvSpPr>
              <xdr:cNvPr id="108" name="TextBox 107">
                <a:extLst>
                  <a:ext uri="{FF2B5EF4-FFF2-40B4-BE49-F238E27FC236}">
                    <a16:creationId xmlns:a16="http://schemas.microsoft.com/office/drawing/2014/main" id="{00000000-0008-0000-0000-00006C000000}"/>
                  </a:ext>
                </a:extLst>
              </xdr:cNvPr>
              <xdr:cNvSpPr txBox="1"/>
            </xdr:nvSpPr>
            <xdr:spPr>
              <a:xfrm>
                <a:off x="3552525" y="7127085"/>
                <a:ext cx="742950" cy="2381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r"/>
                <a:fld id="{9C4187F5-F30D-41AA-B4A3-94B36E9C5A18}" type="TxLink">
                  <a:rPr lang="en-US" sz="1100" b="0" i="0" u="none" strike="noStrike">
                    <a:solidFill>
                      <a:schemeClr val="bg1"/>
                    </a:solidFill>
                    <a:latin typeface="Avenir Next LT Pro"/>
                    <a:cs typeface="Arial"/>
                  </a:rPr>
                  <a:pPr algn="r"/>
                  <a:t>2.00%</a:t>
                </a:fld>
                <a:endParaRPr lang="en-CA" sz="1100">
                  <a:solidFill>
                    <a:schemeClr val="bg1"/>
                  </a:solidFill>
                  <a:latin typeface="Avenir Next LT Pro" panose="020B0504020202020204" pitchFamily="34" charset="0"/>
                </a:endParaRPr>
              </a:p>
            </xdr:txBody>
          </xdr:sp>
          <xdr:sp macro="" textlink="Pivot_tables!N19">
            <xdr:nvSpPr>
              <xdr:cNvPr id="109" name="TextBox 108">
                <a:extLst>
                  <a:ext uri="{FF2B5EF4-FFF2-40B4-BE49-F238E27FC236}">
                    <a16:creationId xmlns:a16="http://schemas.microsoft.com/office/drawing/2014/main" id="{00000000-0008-0000-0000-00006D000000}"/>
                  </a:ext>
                </a:extLst>
              </xdr:cNvPr>
              <xdr:cNvSpPr txBox="1"/>
            </xdr:nvSpPr>
            <xdr:spPr>
              <a:xfrm>
                <a:off x="3552525" y="7364615"/>
                <a:ext cx="742950" cy="2381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r"/>
                <a:fld id="{A5E55895-62F8-4ED4-976D-06057E59332E}" type="TxLink">
                  <a:rPr lang="en-US" sz="1100" b="0" i="0" u="none" strike="noStrike">
                    <a:solidFill>
                      <a:schemeClr val="bg1"/>
                    </a:solidFill>
                    <a:latin typeface="Avenir Next LT Pro"/>
                    <a:cs typeface="Arial"/>
                  </a:rPr>
                  <a:pPr algn="r"/>
                  <a:t>1.69%</a:t>
                </a:fld>
                <a:endParaRPr lang="en-CA" sz="1100">
                  <a:solidFill>
                    <a:schemeClr val="bg1"/>
                  </a:solidFill>
                  <a:latin typeface="Avenir Next LT Pro" panose="020B0504020202020204" pitchFamily="34" charset="0"/>
                </a:endParaRPr>
              </a:p>
            </xdr:txBody>
          </xdr:sp>
          <xdr:sp macro="" textlink="Pivot_tables!N20">
            <xdr:nvSpPr>
              <xdr:cNvPr id="110" name="TextBox 109">
                <a:extLst>
                  <a:ext uri="{FF2B5EF4-FFF2-40B4-BE49-F238E27FC236}">
                    <a16:creationId xmlns:a16="http://schemas.microsoft.com/office/drawing/2014/main" id="{00000000-0008-0000-0000-00006E000000}"/>
                  </a:ext>
                </a:extLst>
              </xdr:cNvPr>
              <xdr:cNvSpPr txBox="1"/>
            </xdr:nvSpPr>
            <xdr:spPr>
              <a:xfrm>
                <a:off x="3552525" y="7602145"/>
                <a:ext cx="742950" cy="2381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r"/>
                <a:fld id="{AA6CA955-A252-492E-9291-16BF79041D46}" type="TxLink">
                  <a:rPr lang="en-US" sz="1100" b="0" i="0" u="none" strike="noStrike">
                    <a:solidFill>
                      <a:schemeClr val="bg1"/>
                    </a:solidFill>
                    <a:latin typeface="Avenir Next LT Pro"/>
                    <a:cs typeface="Arial"/>
                  </a:rPr>
                  <a:pPr algn="r"/>
                  <a:t>7.53%</a:t>
                </a:fld>
                <a:endParaRPr lang="en-CA" sz="1100">
                  <a:solidFill>
                    <a:schemeClr val="bg1"/>
                  </a:solidFill>
                  <a:latin typeface="Avenir Next LT Pro" panose="020B0504020202020204" pitchFamily="34" charset="0"/>
                </a:endParaRPr>
              </a:p>
            </xdr:txBody>
          </xdr:sp>
          <xdr:sp macro="" textlink="Pivot_tables!N21">
            <xdr:nvSpPr>
              <xdr:cNvPr id="111" name="TextBox 110">
                <a:extLst>
                  <a:ext uri="{FF2B5EF4-FFF2-40B4-BE49-F238E27FC236}">
                    <a16:creationId xmlns:a16="http://schemas.microsoft.com/office/drawing/2014/main" id="{00000000-0008-0000-0000-00006F000000}"/>
                  </a:ext>
                </a:extLst>
              </xdr:cNvPr>
              <xdr:cNvSpPr txBox="1"/>
            </xdr:nvSpPr>
            <xdr:spPr>
              <a:xfrm>
                <a:off x="3552525" y="7839675"/>
                <a:ext cx="742950" cy="2381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r"/>
                <a:fld id="{3D34AB39-88B2-43C7-8FBC-883571B72547}" type="TxLink">
                  <a:rPr lang="en-US" sz="1100" b="0" i="0" u="none" strike="noStrike">
                    <a:solidFill>
                      <a:schemeClr val="bg1"/>
                    </a:solidFill>
                    <a:latin typeface="Avenir Next LT Pro"/>
                    <a:cs typeface="Arial"/>
                  </a:rPr>
                  <a:pPr algn="r"/>
                  <a:t>3.51%</a:t>
                </a:fld>
                <a:endParaRPr lang="en-CA" sz="1100">
                  <a:solidFill>
                    <a:schemeClr val="bg1"/>
                  </a:solidFill>
                  <a:latin typeface="Avenir Next LT Pro" panose="020B0504020202020204" pitchFamily="34" charset="0"/>
                </a:endParaRPr>
              </a:p>
            </xdr:txBody>
          </xdr:sp>
          <xdr:sp macro="" textlink="Pivot_tables!N22">
            <xdr:nvSpPr>
              <xdr:cNvPr id="112" name="TextBox 111">
                <a:extLst>
                  <a:ext uri="{FF2B5EF4-FFF2-40B4-BE49-F238E27FC236}">
                    <a16:creationId xmlns:a16="http://schemas.microsoft.com/office/drawing/2014/main" id="{00000000-0008-0000-0000-000070000000}"/>
                  </a:ext>
                </a:extLst>
              </xdr:cNvPr>
              <xdr:cNvSpPr txBox="1"/>
            </xdr:nvSpPr>
            <xdr:spPr>
              <a:xfrm>
                <a:off x="3552525" y="8077200"/>
                <a:ext cx="742950" cy="2381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r"/>
                <a:fld id="{5CBF5C3C-9F7B-47A6-B2D3-3A407E13A96F}" type="TxLink">
                  <a:rPr lang="en-US" sz="1100" b="0" i="0" u="none" strike="noStrike">
                    <a:solidFill>
                      <a:schemeClr val="bg1"/>
                    </a:solidFill>
                    <a:latin typeface="Avenir Next LT Pro"/>
                    <a:cs typeface="Arial"/>
                  </a:rPr>
                  <a:pPr algn="r"/>
                  <a:t>9.39%</a:t>
                </a:fld>
                <a:endParaRPr lang="en-CA" sz="1100">
                  <a:solidFill>
                    <a:schemeClr val="bg1"/>
                  </a:solidFill>
                  <a:latin typeface="Avenir Next LT Pro" panose="020B0504020202020204" pitchFamily="34" charset="0"/>
                </a:endParaRPr>
              </a:p>
            </xdr:txBody>
          </xdr:sp>
          <xdr:sp macro="" textlink="Pivot_tables!N6">
            <xdr:nvSpPr>
              <xdr:cNvPr id="113" name="TextBox 112">
                <a:extLst>
                  <a:ext uri="{FF2B5EF4-FFF2-40B4-BE49-F238E27FC236}">
                    <a16:creationId xmlns:a16="http://schemas.microsoft.com/office/drawing/2014/main" id="{00000000-0008-0000-0000-000071000000}"/>
                  </a:ext>
                </a:extLst>
              </xdr:cNvPr>
              <xdr:cNvSpPr txBox="1"/>
            </xdr:nvSpPr>
            <xdr:spPr>
              <a:xfrm>
                <a:off x="3552525" y="4286250"/>
                <a:ext cx="742950" cy="2381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r"/>
                <a:fld id="{FF5C124B-A3F2-4213-960B-D89266D6F483}" type="TxLink">
                  <a:rPr lang="en-US" sz="1100" b="0" i="0" u="none" strike="noStrike">
                    <a:solidFill>
                      <a:schemeClr val="bg1"/>
                    </a:solidFill>
                    <a:latin typeface="Avenir Next LT Pro"/>
                    <a:cs typeface="Arial"/>
                  </a:rPr>
                  <a:pPr algn="r"/>
                  <a:t>4.73%</a:t>
                </a:fld>
                <a:endParaRPr lang="en-CA" sz="1100">
                  <a:solidFill>
                    <a:schemeClr val="bg1"/>
                  </a:solidFill>
                  <a:latin typeface="Avenir Next LT Pro" panose="020B0504020202020204" pitchFamily="34" charset="0"/>
                </a:endParaRPr>
              </a:p>
            </xdr:txBody>
          </xdr:sp>
        </xdr:grpSp>
        <xdr:sp macro="" textlink="">
          <xdr:nvSpPr>
            <xdr:cNvPr id="114" name="TextBox 113">
              <a:extLst>
                <a:ext uri="{FF2B5EF4-FFF2-40B4-BE49-F238E27FC236}">
                  <a16:creationId xmlns:a16="http://schemas.microsoft.com/office/drawing/2014/main" id="{00000000-0008-0000-0000-000072000000}"/>
                </a:ext>
              </a:extLst>
            </xdr:cNvPr>
            <xdr:cNvSpPr txBox="1"/>
          </xdr:nvSpPr>
          <xdr:spPr>
            <a:xfrm>
              <a:off x="3205014" y="3905250"/>
              <a:ext cx="1090462" cy="28575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r"/>
              <a:r>
                <a:rPr lang="en-US" sz="1400" u="none">
                  <a:solidFill>
                    <a:srgbClr val="D43260"/>
                  </a:solidFill>
                  <a:latin typeface="Avenir Next LT Pro" panose="020B0504020202020204" pitchFamily="34" charset="0"/>
                </a:rPr>
                <a:t>Quantity %</a:t>
              </a:r>
            </a:p>
          </xdr:txBody>
        </xdr:sp>
      </xdr:grpSp>
    </xdr:grpSp>
    <xdr:clientData/>
  </xdr:twoCellAnchor>
</xdr:wsDr>
</file>

<file path=xl/drawings/drawing2.xml><?xml version="1.0" encoding="utf-8"?>
<xdr:wsDr xmlns:xdr="http://schemas.openxmlformats.org/drawingml/2006/spreadsheetDrawing" xmlns:a="http://schemas.openxmlformats.org/drawingml/2006/main">
  <xdr:twoCellAnchor editAs="oneCell">
    <xdr:from>
      <xdr:col>27</xdr:col>
      <xdr:colOff>9525</xdr:colOff>
      <xdr:row>48</xdr:row>
      <xdr:rowOff>114300</xdr:rowOff>
    </xdr:from>
    <xdr:to>
      <xdr:col>30</xdr:col>
      <xdr:colOff>9525</xdr:colOff>
      <xdr:row>55</xdr:row>
      <xdr:rowOff>66675</xdr:rowOff>
    </xdr:to>
    <xdr:pic>
      <xdr:nvPicPr>
        <xdr:cNvPr id="5" name="Picture 4">
          <a:extLst>
            <a:ext uri="{FF2B5EF4-FFF2-40B4-BE49-F238E27FC236}">
              <a16:creationId xmlns:a16="http://schemas.microsoft.com/office/drawing/2014/main" id="{00000000-0008-0000-0100-000005000000}"/>
            </a:ext>
          </a:extLst>
        </xdr:cNvPr>
        <xdr:cNvPicPr>
          <a:picLocks noChangeAspect="1" noChangeArrowheads="1"/>
        </xdr:cNvPicPr>
      </xdr:nvPicPr>
      <xdr:blipFill>
        <a:blip xmlns:r="http://schemas.openxmlformats.org/officeDocument/2006/relationships" r:embed="rId1">
          <a:alphaModFix amt="40000"/>
          <a:extLst>
            <a:ext uri="{28A0092B-C50C-407E-A947-70E740481C1C}">
              <a14:useLocalDpi xmlns:a14="http://schemas.microsoft.com/office/drawing/2010/main" val="0"/>
            </a:ext>
          </a:extLst>
        </a:blip>
        <a:srcRect/>
        <a:stretch>
          <a:fillRect/>
        </a:stretch>
      </xdr:blipFill>
      <xdr:spPr bwMode="auto">
        <a:xfrm>
          <a:off x="16468725" y="8315325"/>
          <a:ext cx="1828800" cy="1285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95250</xdr:colOff>
      <xdr:row>26</xdr:row>
      <xdr:rowOff>57150</xdr:rowOff>
    </xdr:from>
    <xdr:to>
      <xdr:col>11</xdr:col>
      <xdr:colOff>95250</xdr:colOff>
      <xdr:row>34</xdr:row>
      <xdr:rowOff>19050</xdr:rowOff>
    </xdr:to>
    <xdr:pic>
      <xdr:nvPicPr>
        <xdr:cNvPr id="2" name="Picture 1">
          <a:extLst>
            <a:ext uri="{FF2B5EF4-FFF2-40B4-BE49-F238E27FC236}">
              <a16:creationId xmlns:a16="http://schemas.microsoft.com/office/drawing/2014/main" id="{00000000-0008-0000-0100-000002000000}"/>
            </a:ext>
          </a:extLst>
        </xdr:cNvPr>
        <xdr:cNvPicPr>
          <a:picLocks noChangeAspect="1" noChangeArrowheads="1"/>
        </xdr:cNvPicPr>
      </xdr:nvPicPr>
      <xdr:blipFill>
        <a:blip xmlns:r="http://schemas.openxmlformats.org/officeDocument/2006/relationships" r:embed="rId1">
          <a:alphaModFix amt="40000"/>
          <a:extLst>
            <a:ext uri="{28A0092B-C50C-407E-A947-70E740481C1C}">
              <a14:useLocalDpi xmlns:a14="http://schemas.microsoft.com/office/drawing/2010/main" val="0"/>
            </a:ext>
          </a:extLst>
        </a:blip>
        <a:srcRect/>
        <a:stretch>
          <a:fillRect/>
        </a:stretch>
      </xdr:blipFill>
      <xdr:spPr bwMode="auto">
        <a:xfrm>
          <a:off x="4972050" y="4267200"/>
          <a:ext cx="1828800" cy="1285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18</xdr:col>
      <xdr:colOff>180975</xdr:colOff>
      <xdr:row>26</xdr:row>
      <xdr:rowOff>57150</xdr:rowOff>
    </xdr:from>
    <xdr:to>
      <xdr:col>21</xdr:col>
      <xdr:colOff>180975</xdr:colOff>
      <xdr:row>34</xdr:row>
      <xdr:rowOff>19050</xdr:rowOff>
    </xdr:to>
    <xdr:pic>
      <xdr:nvPicPr>
        <xdr:cNvPr id="4" name="Picture 3">
          <a:extLst>
            <a:ext uri="{FF2B5EF4-FFF2-40B4-BE49-F238E27FC236}">
              <a16:creationId xmlns:a16="http://schemas.microsoft.com/office/drawing/2014/main" id="{00000000-0008-0000-0100-000004000000}"/>
            </a:ext>
          </a:extLst>
        </xdr:cNvPr>
        <xdr:cNvPicPr>
          <a:picLocks noChangeAspect="1" noChangeArrowheads="1"/>
        </xdr:cNvPicPr>
      </xdr:nvPicPr>
      <xdr:blipFill>
        <a:blip xmlns:r="http://schemas.openxmlformats.org/officeDocument/2006/relationships" r:embed="rId1">
          <a:alphaModFix amt="40000"/>
          <a:extLst>
            <a:ext uri="{28A0092B-C50C-407E-A947-70E740481C1C}">
              <a14:useLocalDpi xmlns:a14="http://schemas.microsoft.com/office/drawing/2010/main" val="0"/>
            </a:ext>
          </a:extLst>
        </a:blip>
        <a:srcRect/>
        <a:stretch>
          <a:fillRect/>
        </a:stretch>
      </xdr:blipFill>
      <xdr:spPr bwMode="auto">
        <a:xfrm>
          <a:off x="11153775" y="4267200"/>
          <a:ext cx="1828800" cy="1285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0</xdr:col>
      <xdr:colOff>373779</xdr:colOff>
      <xdr:row>6</xdr:row>
      <xdr:rowOff>114300</xdr:rowOff>
    </xdr:from>
    <xdr:to>
      <xdr:col>28</xdr:col>
      <xdr:colOff>584979</xdr:colOff>
      <xdr:row>26</xdr:row>
      <xdr:rowOff>58649</xdr:rowOff>
    </xdr:to>
    <xdr:graphicFrame macro="">
      <xdr:nvGraphicFramePr>
        <xdr:cNvPr id="32" name="Chart 31">
          <a:extLst>
            <a:ext uri="{FF2B5EF4-FFF2-40B4-BE49-F238E27FC236}">
              <a16:creationId xmlns:a16="http://schemas.microsoft.com/office/drawing/2014/main" id="{00000000-0008-0000-01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10</xdr:col>
      <xdr:colOff>475125</xdr:colOff>
      <xdr:row>27</xdr:row>
      <xdr:rowOff>86025</xdr:rowOff>
    </xdr:from>
    <xdr:to>
      <xdr:col>18</xdr:col>
      <xdr:colOff>458325</xdr:colOff>
      <xdr:row>33</xdr:row>
      <xdr:rowOff>14475</xdr:rowOff>
    </xdr:to>
    <mc:AlternateContent xmlns:mc="http://schemas.openxmlformats.org/markup-compatibility/2006" xmlns:a14="http://schemas.microsoft.com/office/drawing/2010/main">
      <mc:Choice Requires="a14">
        <xdr:graphicFrame macro="">
          <xdr:nvGraphicFramePr>
            <xdr:cNvPr id="14" name="Customer Segment">
              <a:extLst>
                <a:ext uri="{FF2B5EF4-FFF2-40B4-BE49-F238E27FC236}">
                  <a16:creationId xmlns:a16="http://schemas.microsoft.com/office/drawing/2014/main" id="{00000000-0008-0000-0100-00000E000000}"/>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Customer Segment"/>
            </a:graphicData>
          </a:graphic>
        </xdr:graphicFrame>
      </mc:Choice>
      <mc:Fallback xmlns="">
        <xdr:sp macro="" textlink="">
          <xdr:nvSpPr>
            <xdr:cNvPr id="0" name=""/>
            <xdr:cNvSpPr>
              <a:spLocks noTextEdit="1"/>
            </xdr:cNvSpPr>
          </xdr:nvSpPr>
          <xdr:spPr>
            <a:xfrm>
              <a:off x="6571125" y="4458000"/>
              <a:ext cx="4860000" cy="900000"/>
            </a:xfrm>
            <a:prstGeom prst="rect">
              <a:avLst/>
            </a:prstGeom>
            <a:solidFill>
              <a:prstClr val="white"/>
            </a:solidFill>
            <a:ln w="1">
              <a:solidFill>
                <a:prstClr val="green"/>
              </a:solidFill>
            </a:ln>
          </xdr:spPr>
          <xdr:txBody>
            <a:bodyPr vertOverflow="clip" horzOverflow="clip"/>
            <a:lstStyle/>
            <a:p>
              <a:r>
                <a:rPr lang="en-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absolute">
    <xdr:from>
      <xdr:col>1</xdr:col>
      <xdr:colOff>391854</xdr:colOff>
      <xdr:row>27</xdr:row>
      <xdr:rowOff>57450</xdr:rowOff>
    </xdr:from>
    <xdr:to>
      <xdr:col>8</xdr:col>
      <xdr:colOff>444654</xdr:colOff>
      <xdr:row>32</xdr:row>
      <xdr:rowOff>147825</xdr:rowOff>
    </xdr:to>
    <mc:AlternateContent xmlns:mc="http://schemas.openxmlformats.org/markup-compatibility/2006" xmlns:a14="http://schemas.microsoft.com/office/drawing/2010/main">
      <mc:Choice Requires="a14">
        <xdr:graphicFrame macro="">
          <xdr:nvGraphicFramePr>
            <xdr:cNvPr id="19" name="Order Date (Month) 1">
              <a:extLst>
                <a:ext uri="{FF2B5EF4-FFF2-40B4-BE49-F238E27FC236}">
                  <a16:creationId xmlns:a16="http://schemas.microsoft.com/office/drawing/2014/main" id="{00000000-0008-0000-0100-000013000000}"/>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Order Date (Month) 1"/>
            </a:graphicData>
          </a:graphic>
        </xdr:graphicFrame>
      </mc:Choice>
      <mc:Fallback xmlns="">
        <xdr:sp macro="" textlink="">
          <xdr:nvSpPr>
            <xdr:cNvPr id="0" name=""/>
            <xdr:cNvSpPr>
              <a:spLocks noTextEdit="1"/>
            </xdr:cNvSpPr>
          </xdr:nvSpPr>
          <xdr:spPr>
            <a:xfrm>
              <a:off x="1001454" y="4429425"/>
              <a:ext cx="4320000" cy="900000"/>
            </a:xfrm>
            <a:prstGeom prst="rect">
              <a:avLst/>
            </a:prstGeom>
            <a:solidFill>
              <a:prstClr val="white"/>
            </a:solidFill>
            <a:ln w="1">
              <a:solidFill>
                <a:prstClr val="green"/>
              </a:solidFill>
            </a:ln>
          </xdr:spPr>
          <xdr:txBody>
            <a:bodyPr vertOverflow="clip" horzOverflow="clip"/>
            <a:lstStyle/>
            <a:p>
              <a:r>
                <a:rPr lang="en-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absolute">
    <xdr:from>
      <xdr:col>20</xdr:col>
      <xdr:colOff>504579</xdr:colOff>
      <xdr:row>27</xdr:row>
      <xdr:rowOff>86025</xdr:rowOff>
    </xdr:from>
    <xdr:to>
      <xdr:col>27</xdr:col>
      <xdr:colOff>557379</xdr:colOff>
      <xdr:row>33</xdr:row>
      <xdr:rowOff>14475</xdr:rowOff>
    </xdr:to>
    <mc:AlternateContent xmlns:mc="http://schemas.openxmlformats.org/markup-compatibility/2006" xmlns:a14="http://schemas.microsoft.com/office/drawing/2010/main">
      <mc:Choice Requires="a14">
        <xdr:graphicFrame macro="">
          <xdr:nvGraphicFramePr>
            <xdr:cNvPr id="16" name="Manager">
              <a:extLst>
                <a:ext uri="{FF2B5EF4-FFF2-40B4-BE49-F238E27FC236}">
                  <a16:creationId xmlns:a16="http://schemas.microsoft.com/office/drawing/2014/main" id="{00000000-0008-0000-0100-000010000000}"/>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Manager"/>
            </a:graphicData>
          </a:graphic>
        </xdr:graphicFrame>
      </mc:Choice>
      <mc:Fallback xmlns="">
        <xdr:sp macro="" textlink="">
          <xdr:nvSpPr>
            <xdr:cNvPr id="0" name=""/>
            <xdr:cNvSpPr>
              <a:spLocks noTextEdit="1"/>
            </xdr:cNvSpPr>
          </xdr:nvSpPr>
          <xdr:spPr>
            <a:xfrm>
              <a:off x="12696579" y="4458000"/>
              <a:ext cx="4320000" cy="900000"/>
            </a:xfrm>
            <a:prstGeom prst="rect">
              <a:avLst/>
            </a:prstGeom>
            <a:solidFill>
              <a:prstClr val="white"/>
            </a:solidFill>
            <a:ln w="1">
              <a:solidFill>
                <a:prstClr val="green"/>
              </a:solidFill>
            </a:ln>
          </xdr:spPr>
          <xdr:txBody>
            <a:bodyPr vertOverflow="clip" horzOverflow="clip"/>
            <a:lstStyle/>
            <a:p>
              <a:r>
                <a:rPr lang="en-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absolute">
    <xdr:from>
      <xdr:col>1</xdr:col>
      <xdr:colOff>507981</xdr:colOff>
      <xdr:row>33</xdr:row>
      <xdr:rowOff>62643</xdr:rowOff>
    </xdr:from>
    <xdr:to>
      <xdr:col>6</xdr:col>
      <xdr:colOff>339981</xdr:colOff>
      <xdr:row>41</xdr:row>
      <xdr:rowOff>158643</xdr:rowOff>
    </xdr:to>
    <xdr:grpSp>
      <xdr:nvGrpSpPr>
        <xdr:cNvPr id="2255" name="Group 2254">
          <a:extLst>
            <a:ext uri="{FF2B5EF4-FFF2-40B4-BE49-F238E27FC236}">
              <a16:creationId xmlns:a16="http://schemas.microsoft.com/office/drawing/2014/main" id="{00000000-0008-0000-0100-0000CF080000}"/>
            </a:ext>
          </a:extLst>
        </xdr:cNvPr>
        <xdr:cNvGrpSpPr/>
      </xdr:nvGrpSpPr>
      <xdr:grpSpPr>
        <a:xfrm>
          <a:off x="1117581" y="5406168"/>
          <a:ext cx="2880000" cy="1620000"/>
          <a:chOff x="402354" y="5301393"/>
          <a:chExt cx="2880000" cy="1620000"/>
        </a:xfrm>
      </xdr:grpSpPr>
      <xdr:grpSp>
        <xdr:nvGrpSpPr>
          <xdr:cNvPr id="2245" name="Group 2244">
            <a:extLst>
              <a:ext uri="{FF2B5EF4-FFF2-40B4-BE49-F238E27FC236}">
                <a16:creationId xmlns:a16="http://schemas.microsoft.com/office/drawing/2014/main" id="{00000000-0008-0000-0100-0000C5080000}"/>
              </a:ext>
            </a:extLst>
          </xdr:cNvPr>
          <xdr:cNvGrpSpPr/>
        </xdr:nvGrpSpPr>
        <xdr:grpSpPr>
          <a:xfrm>
            <a:off x="402354" y="5301393"/>
            <a:ext cx="2880000" cy="1620000"/>
            <a:chOff x="497604" y="5301393"/>
            <a:chExt cx="2880000" cy="1620000"/>
          </a:xfrm>
        </xdr:grpSpPr>
        <xdr:sp macro="" textlink="">
          <xdr:nvSpPr>
            <xdr:cNvPr id="2131" name="Rectangle: Rounded Corners 2130">
              <a:extLst>
                <a:ext uri="{FF2B5EF4-FFF2-40B4-BE49-F238E27FC236}">
                  <a16:creationId xmlns:a16="http://schemas.microsoft.com/office/drawing/2014/main" id="{00000000-0008-0000-0100-000053080000}"/>
                </a:ext>
              </a:extLst>
            </xdr:cNvPr>
            <xdr:cNvSpPr/>
          </xdr:nvSpPr>
          <xdr:spPr>
            <a:xfrm>
              <a:off x="497604" y="5301393"/>
              <a:ext cx="2880000" cy="1620000"/>
            </a:xfrm>
            <a:prstGeom prst="roundRect">
              <a:avLst>
                <a:gd name="adj" fmla="val 13791"/>
              </a:avLst>
            </a:prstGeom>
            <a:gradFill>
              <a:gsLst>
                <a:gs pos="0">
                  <a:srgbClr val="DC25FA">
                    <a:alpha val="20000"/>
                  </a:srgbClr>
                </a:gs>
                <a:gs pos="63000">
                  <a:srgbClr val="9947F7">
                    <a:alpha val="20000"/>
                  </a:srgbClr>
                </a:gs>
              </a:gsLst>
              <a:lin ang="3900000" scaled="0"/>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sp macro="" textlink="">
          <xdr:nvSpPr>
            <xdr:cNvPr id="2132" name="Rectangle: Rounded Corners 2131">
              <a:extLst>
                <a:ext uri="{FF2B5EF4-FFF2-40B4-BE49-F238E27FC236}">
                  <a16:creationId xmlns:a16="http://schemas.microsoft.com/office/drawing/2014/main" id="{00000000-0008-0000-0100-000054080000}"/>
                </a:ext>
              </a:extLst>
            </xdr:cNvPr>
            <xdr:cNvSpPr/>
          </xdr:nvSpPr>
          <xdr:spPr>
            <a:xfrm>
              <a:off x="587604" y="5391393"/>
              <a:ext cx="2700000" cy="1440000"/>
            </a:xfrm>
            <a:prstGeom prst="roundRect">
              <a:avLst>
                <a:gd name="adj" fmla="val 13727"/>
              </a:avLst>
            </a:prstGeom>
            <a:gradFill>
              <a:gsLst>
                <a:gs pos="0">
                  <a:srgbClr val="DC25FA"/>
                </a:gs>
                <a:gs pos="63000">
                  <a:srgbClr val="9947F7">
                    <a:alpha val="36000"/>
                  </a:srgbClr>
                </a:gs>
              </a:gsLst>
              <a:lin ang="3900000" scaled="0"/>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sp macro="" textlink="">
          <xdr:nvSpPr>
            <xdr:cNvPr id="2133" name="Rectangle: Rounded Corners 2132">
              <a:extLst>
                <a:ext uri="{FF2B5EF4-FFF2-40B4-BE49-F238E27FC236}">
                  <a16:creationId xmlns:a16="http://schemas.microsoft.com/office/drawing/2014/main" id="{00000000-0008-0000-0100-000055080000}"/>
                </a:ext>
              </a:extLst>
            </xdr:cNvPr>
            <xdr:cNvSpPr/>
          </xdr:nvSpPr>
          <xdr:spPr>
            <a:xfrm>
              <a:off x="677604" y="5481393"/>
              <a:ext cx="2520000" cy="1260000"/>
            </a:xfrm>
            <a:prstGeom prst="roundRect">
              <a:avLst>
                <a:gd name="adj" fmla="val 10561"/>
              </a:avLst>
            </a:prstGeom>
            <a:solidFill>
              <a:schemeClr val="tx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grpSp>
      <xdr:grpSp>
        <xdr:nvGrpSpPr>
          <xdr:cNvPr id="2138" name="Group 2137">
            <a:extLst>
              <a:ext uri="{FF2B5EF4-FFF2-40B4-BE49-F238E27FC236}">
                <a16:creationId xmlns:a16="http://schemas.microsoft.com/office/drawing/2014/main" id="{00000000-0008-0000-0100-00005A080000}"/>
              </a:ext>
            </a:extLst>
          </xdr:cNvPr>
          <xdr:cNvGrpSpPr/>
        </xdr:nvGrpSpPr>
        <xdr:grpSpPr>
          <a:xfrm>
            <a:off x="762354" y="5680443"/>
            <a:ext cx="2160000" cy="861900"/>
            <a:chOff x="600075" y="5481412"/>
            <a:chExt cx="2160000" cy="823187"/>
          </a:xfrm>
        </xdr:grpSpPr>
        <xdr:sp macro="" textlink="Pivot_tables!AR3">
          <xdr:nvSpPr>
            <xdr:cNvPr id="2097" name="TextBox 2096">
              <a:extLst>
                <a:ext uri="{FF2B5EF4-FFF2-40B4-BE49-F238E27FC236}">
                  <a16:creationId xmlns:a16="http://schemas.microsoft.com/office/drawing/2014/main" id="{00000000-0008-0000-0100-000031080000}"/>
                </a:ext>
              </a:extLst>
            </xdr:cNvPr>
            <xdr:cNvSpPr txBox="1"/>
          </xdr:nvSpPr>
          <xdr:spPr>
            <a:xfrm>
              <a:off x="600075" y="5854599"/>
              <a:ext cx="2160000" cy="45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1C357BF5-B8B6-4A63-9035-F19984F86E71}" type="TxLink">
                <a:rPr lang="en-US" sz="2400" b="0" i="0" u="none" strike="noStrike">
                  <a:solidFill>
                    <a:schemeClr val="bg1"/>
                  </a:solidFill>
                  <a:latin typeface="Avenir Next LT Pro"/>
                </a:rPr>
                <a:pPr algn="ctr"/>
                <a:t> 1,881,525 </a:t>
              </a:fld>
              <a:endParaRPr lang="en-CA" sz="2400">
                <a:solidFill>
                  <a:schemeClr val="bg1"/>
                </a:solidFill>
                <a:latin typeface="Avenir Next LT Pro" panose="020B0504020202020204" pitchFamily="34" charset="0"/>
              </a:endParaRPr>
            </a:p>
          </xdr:txBody>
        </xdr:sp>
        <xdr:sp macro="" textlink="">
          <xdr:nvSpPr>
            <xdr:cNvPr id="2102" name="TextBox 2101">
              <a:extLst>
                <a:ext uri="{FF2B5EF4-FFF2-40B4-BE49-F238E27FC236}">
                  <a16:creationId xmlns:a16="http://schemas.microsoft.com/office/drawing/2014/main" id="{00000000-0008-0000-0100-000036080000}"/>
                </a:ext>
              </a:extLst>
            </xdr:cNvPr>
            <xdr:cNvSpPr txBox="1"/>
          </xdr:nvSpPr>
          <xdr:spPr>
            <a:xfrm>
              <a:off x="600075" y="5481412"/>
              <a:ext cx="2160000" cy="45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CA" sz="1800">
                  <a:solidFill>
                    <a:srgbClr val="D43260"/>
                  </a:solidFill>
                  <a:latin typeface="Avenir Next LT Pro" panose="020B0504020202020204" pitchFamily="34" charset="0"/>
                </a:rPr>
                <a:t>Total for Month/s</a:t>
              </a:r>
            </a:p>
          </xdr:txBody>
        </xdr:sp>
      </xdr:grpSp>
    </xdr:grpSp>
    <xdr:clientData/>
  </xdr:twoCellAnchor>
  <xdr:twoCellAnchor editAs="absolute">
    <xdr:from>
      <xdr:col>7</xdr:col>
      <xdr:colOff>79313</xdr:colOff>
      <xdr:row>33</xdr:row>
      <xdr:rowOff>62643</xdr:rowOff>
    </xdr:from>
    <xdr:to>
      <xdr:col>13</xdr:col>
      <xdr:colOff>381713</xdr:colOff>
      <xdr:row>52</xdr:row>
      <xdr:rowOff>43143</xdr:rowOff>
    </xdr:to>
    <xdr:grpSp>
      <xdr:nvGrpSpPr>
        <xdr:cNvPr id="2256" name="Group 2255">
          <a:extLst>
            <a:ext uri="{FF2B5EF4-FFF2-40B4-BE49-F238E27FC236}">
              <a16:creationId xmlns:a16="http://schemas.microsoft.com/office/drawing/2014/main" id="{00000000-0008-0000-0100-0000D0080000}"/>
            </a:ext>
          </a:extLst>
        </xdr:cNvPr>
        <xdr:cNvGrpSpPr/>
      </xdr:nvGrpSpPr>
      <xdr:grpSpPr>
        <a:xfrm>
          <a:off x="4346513" y="5406168"/>
          <a:ext cx="3960000" cy="3600000"/>
          <a:chOff x="3733114" y="5396643"/>
          <a:chExt cx="3960000" cy="3600000"/>
        </a:xfrm>
      </xdr:grpSpPr>
      <xdr:sp macro="" textlink="">
        <xdr:nvSpPr>
          <xdr:cNvPr id="2172" name="Rectangle: Rounded Corners 2171">
            <a:extLst>
              <a:ext uri="{FF2B5EF4-FFF2-40B4-BE49-F238E27FC236}">
                <a16:creationId xmlns:a16="http://schemas.microsoft.com/office/drawing/2014/main" id="{00000000-0008-0000-0100-00007C080000}"/>
              </a:ext>
            </a:extLst>
          </xdr:cNvPr>
          <xdr:cNvSpPr/>
        </xdr:nvSpPr>
        <xdr:spPr>
          <a:xfrm>
            <a:off x="3733114" y="5396643"/>
            <a:ext cx="3960000" cy="3600000"/>
          </a:xfrm>
          <a:prstGeom prst="roundRect">
            <a:avLst>
              <a:gd name="adj" fmla="val 8995"/>
            </a:avLst>
          </a:prstGeom>
          <a:gradFill>
            <a:gsLst>
              <a:gs pos="0">
                <a:srgbClr val="DC25FA">
                  <a:alpha val="20000"/>
                </a:srgbClr>
              </a:gs>
              <a:gs pos="63000">
                <a:srgbClr val="9947F7">
                  <a:alpha val="20000"/>
                </a:srgbClr>
              </a:gs>
            </a:gsLst>
            <a:lin ang="3900000" scaled="0"/>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sp macro="" textlink="">
        <xdr:nvSpPr>
          <xdr:cNvPr id="2173" name="Rectangle: Rounded Corners 2172">
            <a:extLst>
              <a:ext uri="{FF2B5EF4-FFF2-40B4-BE49-F238E27FC236}">
                <a16:creationId xmlns:a16="http://schemas.microsoft.com/office/drawing/2014/main" id="{00000000-0008-0000-0100-00007D080000}"/>
              </a:ext>
            </a:extLst>
          </xdr:cNvPr>
          <xdr:cNvSpPr/>
        </xdr:nvSpPr>
        <xdr:spPr>
          <a:xfrm>
            <a:off x="3823114" y="5486643"/>
            <a:ext cx="3780000" cy="3420000"/>
          </a:xfrm>
          <a:prstGeom prst="roundRect">
            <a:avLst>
              <a:gd name="adj" fmla="val 7259"/>
            </a:avLst>
          </a:prstGeom>
          <a:gradFill>
            <a:gsLst>
              <a:gs pos="0">
                <a:srgbClr val="DC25FA"/>
              </a:gs>
              <a:gs pos="63000">
                <a:srgbClr val="9947F7">
                  <a:alpha val="36000"/>
                </a:srgbClr>
              </a:gs>
            </a:gsLst>
            <a:lin ang="3900000" scaled="0"/>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sp macro="" textlink="">
        <xdr:nvSpPr>
          <xdr:cNvPr id="2174" name="Rectangle: Rounded Corners 2173">
            <a:extLst>
              <a:ext uri="{FF2B5EF4-FFF2-40B4-BE49-F238E27FC236}">
                <a16:creationId xmlns:a16="http://schemas.microsoft.com/office/drawing/2014/main" id="{00000000-0008-0000-0100-00007E080000}"/>
              </a:ext>
            </a:extLst>
          </xdr:cNvPr>
          <xdr:cNvSpPr/>
        </xdr:nvSpPr>
        <xdr:spPr>
          <a:xfrm>
            <a:off x="3913114" y="5576643"/>
            <a:ext cx="3600000" cy="3240000"/>
          </a:xfrm>
          <a:prstGeom prst="roundRect">
            <a:avLst>
              <a:gd name="adj" fmla="val 5422"/>
            </a:avLst>
          </a:prstGeom>
          <a:solidFill>
            <a:schemeClr val="tx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grpSp>
    <xdr:clientData/>
  </xdr:twoCellAnchor>
  <xdr:twoCellAnchor editAs="absolute">
    <xdr:from>
      <xdr:col>1</xdr:col>
      <xdr:colOff>507981</xdr:colOff>
      <xdr:row>43</xdr:row>
      <xdr:rowOff>137643</xdr:rowOff>
    </xdr:from>
    <xdr:to>
      <xdr:col>6</xdr:col>
      <xdr:colOff>339981</xdr:colOff>
      <xdr:row>52</xdr:row>
      <xdr:rowOff>43143</xdr:rowOff>
    </xdr:to>
    <xdr:grpSp>
      <xdr:nvGrpSpPr>
        <xdr:cNvPr id="2254" name="Group 2253">
          <a:extLst>
            <a:ext uri="{FF2B5EF4-FFF2-40B4-BE49-F238E27FC236}">
              <a16:creationId xmlns:a16="http://schemas.microsoft.com/office/drawing/2014/main" id="{00000000-0008-0000-0100-0000CE080000}"/>
            </a:ext>
          </a:extLst>
        </xdr:cNvPr>
        <xdr:cNvGrpSpPr/>
      </xdr:nvGrpSpPr>
      <xdr:grpSpPr>
        <a:xfrm>
          <a:off x="1117581" y="7386168"/>
          <a:ext cx="2880000" cy="1620000"/>
          <a:chOff x="402354" y="7281393"/>
          <a:chExt cx="2880000" cy="1620000"/>
        </a:xfrm>
      </xdr:grpSpPr>
      <xdr:grpSp>
        <xdr:nvGrpSpPr>
          <xdr:cNvPr id="2250" name="Group 2249">
            <a:extLst>
              <a:ext uri="{FF2B5EF4-FFF2-40B4-BE49-F238E27FC236}">
                <a16:creationId xmlns:a16="http://schemas.microsoft.com/office/drawing/2014/main" id="{00000000-0008-0000-0100-0000CA080000}"/>
              </a:ext>
            </a:extLst>
          </xdr:cNvPr>
          <xdr:cNvGrpSpPr/>
        </xdr:nvGrpSpPr>
        <xdr:grpSpPr>
          <a:xfrm>
            <a:off x="402354" y="7281393"/>
            <a:ext cx="2880000" cy="1620000"/>
            <a:chOff x="497604" y="5301393"/>
            <a:chExt cx="2880000" cy="1620000"/>
          </a:xfrm>
        </xdr:grpSpPr>
        <xdr:sp macro="" textlink="">
          <xdr:nvSpPr>
            <xdr:cNvPr id="2251" name="Rectangle: Rounded Corners 2250">
              <a:extLst>
                <a:ext uri="{FF2B5EF4-FFF2-40B4-BE49-F238E27FC236}">
                  <a16:creationId xmlns:a16="http://schemas.microsoft.com/office/drawing/2014/main" id="{00000000-0008-0000-0100-0000CB080000}"/>
                </a:ext>
              </a:extLst>
            </xdr:cNvPr>
            <xdr:cNvSpPr/>
          </xdr:nvSpPr>
          <xdr:spPr>
            <a:xfrm>
              <a:off x="497604" y="5301393"/>
              <a:ext cx="2880000" cy="1620000"/>
            </a:xfrm>
            <a:prstGeom prst="roundRect">
              <a:avLst>
                <a:gd name="adj" fmla="val 13791"/>
              </a:avLst>
            </a:prstGeom>
            <a:gradFill>
              <a:gsLst>
                <a:gs pos="0">
                  <a:srgbClr val="DC25FA">
                    <a:alpha val="20000"/>
                  </a:srgbClr>
                </a:gs>
                <a:gs pos="63000">
                  <a:srgbClr val="9947F7">
                    <a:alpha val="20000"/>
                  </a:srgbClr>
                </a:gs>
              </a:gsLst>
              <a:lin ang="3900000" scaled="0"/>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sp macro="" textlink="">
          <xdr:nvSpPr>
            <xdr:cNvPr id="2252" name="Rectangle: Rounded Corners 2251">
              <a:extLst>
                <a:ext uri="{FF2B5EF4-FFF2-40B4-BE49-F238E27FC236}">
                  <a16:creationId xmlns:a16="http://schemas.microsoft.com/office/drawing/2014/main" id="{00000000-0008-0000-0100-0000CC080000}"/>
                </a:ext>
              </a:extLst>
            </xdr:cNvPr>
            <xdr:cNvSpPr/>
          </xdr:nvSpPr>
          <xdr:spPr>
            <a:xfrm>
              <a:off x="587604" y="5391393"/>
              <a:ext cx="2700000" cy="1440000"/>
            </a:xfrm>
            <a:prstGeom prst="roundRect">
              <a:avLst>
                <a:gd name="adj" fmla="val 13727"/>
              </a:avLst>
            </a:prstGeom>
            <a:gradFill>
              <a:gsLst>
                <a:gs pos="0">
                  <a:srgbClr val="DC25FA"/>
                </a:gs>
                <a:gs pos="63000">
                  <a:srgbClr val="9947F7">
                    <a:alpha val="36000"/>
                  </a:srgbClr>
                </a:gs>
              </a:gsLst>
              <a:lin ang="3900000" scaled="0"/>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sp macro="" textlink="">
          <xdr:nvSpPr>
            <xdr:cNvPr id="2253" name="Rectangle: Rounded Corners 2252">
              <a:extLst>
                <a:ext uri="{FF2B5EF4-FFF2-40B4-BE49-F238E27FC236}">
                  <a16:creationId xmlns:a16="http://schemas.microsoft.com/office/drawing/2014/main" id="{00000000-0008-0000-0100-0000CD080000}"/>
                </a:ext>
              </a:extLst>
            </xdr:cNvPr>
            <xdr:cNvSpPr/>
          </xdr:nvSpPr>
          <xdr:spPr>
            <a:xfrm>
              <a:off x="677604" y="5481393"/>
              <a:ext cx="2520000" cy="1260000"/>
            </a:xfrm>
            <a:prstGeom prst="roundRect">
              <a:avLst>
                <a:gd name="adj" fmla="val 10561"/>
              </a:avLst>
            </a:prstGeom>
            <a:solidFill>
              <a:schemeClr val="tx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grpSp>
      <xdr:grpSp>
        <xdr:nvGrpSpPr>
          <xdr:cNvPr id="2147" name="Group 2146">
            <a:extLst>
              <a:ext uri="{FF2B5EF4-FFF2-40B4-BE49-F238E27FC236}">
                <a16:creationId xmlns:a16="http://schemas.microsoft.com/office/drawing/2014/main" id="{00000000-0008-0000-0100-000063080000}"/>
              </a:ext>
            </a:extLst>
          </xdr:cNvPr>
          <xdr:cNvGrpSpPr/>
        </xdr:nvGrpSpPr>
        <xdr:grpSpPr>
          <a:xfrm>
            <a:off x="733778" y="7680656"/>
            <a:ext cx="2256219" cy="821475"/>
            <a:chOff x="571499" y="5481412"/>
            <a:chExt cx="2256219" cy="821475"/>
          </a:xfrm>
        </xdr:grpSpPr>
        <xdr:sp macro="" textlink="Pivot_tables!AR2">
          <xdr:nvSpPr>
            <xdr:cNvPr id="2148" name="TextBox 2147">
              <a:extLst>
                <a:ext uri="{FF2B5EF4-FFF2-40B4-BE49-F238E27FC236}">
                  <a16:creationId xmlns:a16="http://schemas.microsoft.com/office/drawing/2014/main" id="{00000000-0008-0000-0100-000064080000}"/>
                </a:ext>
              </a:extLst>
            </xdr:cNvPr>
            <xdr:cNvSpPr txBox="1"/>
          </xdr:nvSpPr>
          <xdr:spPr>
            <a:xfrm>
              <a:off x="600075" y="5852887"/>
              <a:ext cx="2160000" cy="45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6EE9F27-6A9D-48DF-A119-496A2516F565}" type="TxLink">
                <a:rPr lang="en-US" sz="2400" b="0" i="0" u="none" strike="noStrike">
                  <a:solidFill>
                    <a:schemeClr val="bg1"/>
                  </a:solidFill>
                  <a:latin typeface="Avenir Next LT Pro"/>
                </a:rPr>
                <a:pPr algn="ctr"/>
                <a:t> 10,511 </a:t>
              </a:fld>
              <a:endParaRPr lang="en-CA" sz="2400">
                <a:solidFill>
                  <a:schemeClr val="bg1"/>
                </a:solidFill>
                <a:latin typeface="Avenir Next LT Pro" panose="020B0504020202020204" pitchFamily="34" charset="0"/>
              </a:endParaRPr>
            </a:p>
          </xdr:txBody>
        </xdr:sp>
        <xdr:sp macro="" textlink="">
          <xdr:nvSpPr>
            <xdr:cNvPr id="2149" name="TextBox 2148">
              <a:extLst>
                <a:ext uri="{FF2B5EF4-FFF2-40B4-BE49-F238E27FC236}">
                  <a16:creationId xmlns:a16="http://schemas.microsoft.com/office/drawing/2014/main" id="{00000000-0008-0000-0100-000065080000}"/>
                </a:ext>
              </a:extLst>
            </xdr:cNvPr>
            <xdr:cNvSpPr txBox="1"/>
          </xdr:nvSpPr>
          <xdr:spPr>
            <a:xfrm>
              <a:off x="571499" y="5481412"/>
              <a:ext cx="2256219" cy="45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CA" sz="1800">
                  <a:solidFill>
                    <a:srgbClr val="D43260"/>
                  </a:solidFill>
                  <a:effectLst/>
                  <a:latin typeface="+mn-lt"/>
                  <a:ea typeface="+mn-ea"/>
                  <a:cs typeface="+mn-cs"/>
                </a:rPr>
                <a:t>Average for</a:t>
              </a:r>
              <a:r>
                <a:rPr lang="en-CA" sz="1800" baseline="0">
                  <a:solidFill>
                    <a:srgbClr val="D43260"/>
                  </a:solidFill>
                  <a:effectLst/>
                  <a:latin typeface="+mn-lt"/>
                  <a:ea typeface="+mn-ea"/>
                  <a:cs typeface="+mn-cs"/>
                </a:rPr>
                <a:t> Month/s</a:t>
              </a:r>
              <a:endParaRPr lang="en-CA" sz="1800">
                <a:solidFill>
                  <a:srgbClr val="D43260"/>
                </a:solidFill>
                <a:effectLst/>
              </a:endParaRPr>
            </a:p>
          </xdr:txBody>
        </xdr:sp>
      </xdr:grpSp>
    </xdr:grpSp>
    <xdr:clientData/>
  </xdr:twoCellAnchor>
  <xdr:twoCellAnchor editAs="absolute">
    <xdr:from>
      <xdr:col>14</xdr:col>
      <xdr:colOff>121045</xdr:colOff>
      <xdr:row>33</xdr:row>
      <xdr:rowOff>62643</xdr:rowOff>
    </xdr:from>
    <xdr:to>
      <xdr:col>20</xdr:col>
      <xdr:colOff>423445</xdr:colOff>
      <xdr:row>52</xdr:row>
      <xdr:rowOff>43143</xdr:rowOff>
    </xdr:to>
    <xdr:grpSp>
      <xdr:nvGrpSpPr>
        <xdr:cNvPr id="2261" name="Group 2260">
          <a:extLst>
            <a:ext uri="{FF2B5EF4-FFF2-40B4-BE49-F238E27FC236}">
              <a16:creationId xmlns:a16="http://schemas.microsoft.com/office/drawing/2014/main" id="{00000000-0008-0000-0100-0000D5080000}"/>
            </a:ext>
          </a:extLst>
        </xdr:cNvPr>
        <xdr:cNvGrpSpPr/>
      </xdr:nvGrpSpPr>
      <xdr:grpSpPr>
        <a:xfrm rot="10800000">
          <a:off x="8655445" y="5406168"/>
          <a:ext cx="3960000" cy="3600000"/>
          <a:chOff x="3733114" y="5396643"/>
          <a:chExt cx="3960000" cy="3600000"/>
        </a:xfrm>
      </xdr:grpSpPr>
      <xdr:sp macro="" textlink="">
        <xdr:nvSpPr>
          <xdr:cNvPr id="2262" name="Rectangle: Rounded Corners 2261">
            <a:extLst>
              <a:ext uri="{FF2B5EF4-FFF2-40B4-BE49-F238E27FC236}">
                <a16:creationId xmlns:a16="http://schemas.microsoft.com/office/drawing/2014/main" id="{00000000-0008-0000-0100-0000D6080000}"/>
              </a:ext>
            </a:extLst>
          </xdr:cNvPr>
          <xdr:cNvSpPr/>
        </xdr:nvSpPr>
        <xdr:spPr>
          <a:xfrm>
            <a:off x="3733114" y="5396643"/>
            <a:ext cx="3960000" cy="3600000"/>
          </a:xfrm>
          <a:prstGeom prst="roundRect">
            <a:avLst>
              <a:gd name="adj" fmla="val 8995"/>
            </a:avLst>
          </a:prstGeom>
          <a:gradFill>
            <a:gsLst>
              <a:gs pos="0">
                <a:srgbClr val="DC25FA">
                  <a:alpha val="20000"/>
                </a:srgbClr>
              </a:gs>
              <a:gs pos="63000">
                <a:srgbClr val="9947F7">
                  <a:alpha val="20000"/>
                </a:srgbClr>
              </a:gs>
            </a:gsLst>
            <a:lin ang="3900000" scaled="0"/>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sp macro="" textlink="">
        <xdr:nvSpPr>
          <xdr:cNvPr id="2263" name="Rectangle: Rounded Corners 2262">
            <a:extLst>
              <a:ext uri="{FF2B5EF4-FFF2-40B4-BE49-F238E27FC236}">
                <a16:creationId xmlns:a16="http://schemas.microsoft.com/office/drawing/2014/main" id="{00000000-0008-0000-0100-0000D7080000}"/>
              </a:ext>
            </a:extLst>
          </xdr:cNvPr>
          <xdr:cNvSpPr/>
        </xdr:nvSpPr>
        <xdr:spPr>
          <a:xfrm>
            <a:off x="3823114" y="5486643"/>
            <a:ext cx="3780000" cy="3420000"/>
          </a:xfrm>
          <a:prstGeom prst="roundRect">
            <a:avLst>
              <a:gd name="adj" fmla="val 7259"/>
            </a:avLst>
          </a:prstGeom>
          <a:gradFill>
            <a:gsLst>
              <a:gs pos="0">
                <a:srgbClr val="DC25FA"/>
              </a:gs>
              <a:gs pos="63000">
                <a:srgbClr val="9947F7">
                  <a:alpha val="36000"/>
                </a:srgbClr>
              </a:gs>
            </a:gsLst>
            <a:lin ang="3900000" scaled="0"/>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sp macro="" textlink="">
        <xdr:nvSpPr>
          <xdr:cNvPr id="2264" name="Rectangle: Rounded Corners 2263">
            <a:extLst>
              <a:ext uri="{FF2B5EF4-FFF2-40B4-BE49-F238E27FC236}">
                <a16:creationId xmlns:a16="http://schemas.microsoft.com/office/drawing/2014/main" id="{00000000-0008-0000-0100-0000D8080000}"/>
              </a:ext>
            </a:extLst>
          </xdr:cNvPr>
          <xdr:cNvSpPr/>
        </xdr:nvSpPr>
        <xdr:spPr>
          <a:xfrm>
            <a:off x="3913114" y="5576643"/>
            <a:ext cx="3600000" cy="3240000"/>
          </a:xfrm>
          <a:prstGeom prst="roundRect">
            <a:avLst>
              <a:gd name="adj" fmla="val 5422"/>
            </a:avLst>
          </a:prstGeom>
          <a:solidFill>
            <a:schemeClr val="tx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grpSp>
    <xdr:clientData/>
  </xdr:twoCellAnchor>
  <xdr:twoCellAnchor editAs="absolute">
    <xdr:from>
      <xdr:col>21</xdr:col>
      <xdr:colOff>162777</xdr:colOff>
      <xdr:row>33</xdr:row>
      <xdr:rowOff>62643</xdr:rowOff>
    </xdr:from>
    <xdr:to>
      <xdr:col>27</xdr:col>
      <xdr:colOff>465177</xdr:colOff>
      <xdr:row>52</xdr:row>
      <xdr:rowOff>43143</xdr:rowOff>
    </xdr:to>
    <xdr:grpSp>
      <xdr:nvGrpSpPr>
        <xdr:cNvPr id="2265" name="Group 2264">
          <a:extLst>
            <a:ext uri="{FF2B5EF4-FFF2-40B4-BE49-F238E27FC236}">
              <a16:creationId xmlns:a16="http://schemas.microsoft.com/office/drawing/2014/main" id="{00000000-0008-0000-0100-0000D9080000}"/>
            </a:ext>
          </a:extLst>
        </xdr:cNvPr>
        <xdr:cNvGrpSpPr/>
      </xdr:nvGrpSpPr>
      <xdr:grpSpPr>
        <a:xfrm>
          <a:off x="12964377" y="5406168"/>
          <a:ext cx="3960000" cy="3600000"/>
          <a:chOff x="3733114" y="5396643"/>
          <a:chExt cx="3960000" cy="3600000"/>
        </a:xfrm>
      </xdr:grpSpPr>
      <xdr:sp macro="" textlink="">
        <xdr:nvSpPr>
          <xdr:cNvPr id="2266" name="Rectangle: Rounded Corners 2265">
            <a:extLst>
              <a:ext uri="{FF2B5EF4-FFF2-40B4-BE49-F238E27FC236}">
                <a16:creationId xmlns:a16="http://schemas.microsoft.com/office/drawing/2014/main" id="{00000000-0008-0000-0100-0000DA080000}"/>
              </a:ext>
            </a:extLst>
          </xdr:cNvPr>
          <xdr:cNvSpPr/>
        </xdr:nvSpPr>
        <xdr:spPr>
          <a:xfrm>
            <a:off x="3733114" y="5396643"/>
            <a:ext cx="3960000" cy="3600000"/>
          </a:xfrm>
          <a:prstGeom prst="roundRect">
            <a:avLst>
              <a:gd name="adj" fmla="val 8995"/>
            </a:avLst>
          </a:prstGeom>
          <a:gradFill>
            <a:gsLst>
              <a:gs pos="0">
                <a:srgbClr val="DC25FA">
                  <a:alpha val="20000"/>
                </a:srgbClr>
              </a:gs>
              <a:gs pos="63000">
                <a:srgbClr val="9947F7">
                  <a:alpha val="20000"/>
                </a:srgbClr>
              </a:gs>
            </a:gsLst>
            <a:lin ang="3900000" scaled="0"/>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sp macro="" textlink="">
        <xdr:nvSpPr>
          <xdr:cNvPr id="2267" name="Rectangle: Rounded Corners 2266">
            <a:extLst>
              <a:ext uri="{FF2B5EF4-FFF2-40B4-BE49-F238E27FC236}">
                <a16:creationId xmlns:a16="http://schemas.microsoft.com/office/drawing/2014/main" id="{00000000-0008-0000-0100-0000DB080000}"/>
              </a:ext>
            </a:extLst>
          </xdr:cNvPr>
          <xdr:cNvSpPr/>
        </xdr:nvSpPr>
        <xdr:spPr>
          <a:xfrm>
            <a:off x="3823114" y="5486643"/>
            <a:ext cx="3780000" cy="3420000"/>
          </a:xfrm>
          <a:prstGeom prst="roundRect">
            <a:avLst>
              <a:gd name="adj" fmla="val 7259"/>
            </a:avLst>
          </a:prstGeom>
          <a:gradFill>
            <a:gsLst>
              <a:gs pos="0">
                <a:srgbClr val="DC25FA"/>
              </a:gs>
              <a:gs pos="63000">
                <a:srgbClr val="9947F7">
                  <a:alpha val="36000"/>
                </a:srgbClr>
              </a:gs>
            </a:gsLst>
            <a:lin ang="3900000" scaled="0"/>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sp macro="" textlink="">
        <xdr:nvSpPr>
          <xdr:cNvPr id="2268" name="Rectangle: Rounded Corners 2267">
            <a:extLst>
              <a:ext uri="{FF2B5EF4-FFF2-40B4-BE49-F238E27FC236}">
                <a16:creationId xmlns:a16="http://schemas.microsoft.com/office/drawing/2014/main" id="{00000000-0008-0000-0100-0000DC080000}"/>
              </a:ext>
            </a:extLst>
          </xdr:cNvPr>
          <xdr:cNvSpPr/>
        </xdr:nvSpPr>
        <xdr:spPr>
          <a:xfrm>
            <a:off x="3913114" y="5576643"/>
            <a:ext cx="3600000" cy="3240000"/>
          </a:xfrm>
          <a:prstGeom prst="roundRect">
            <a:avLst>
              <a:gd name="adj" fmla="val 5422"/>
            </a:avLst>
          </a:prstGeom>
          <a:solidFill>
            <a:schemeClr val="tx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grpSp>
    <xdr:clientData/>
  </xdr:twoCellAnchor>
  <xdr:twoCellAnchor editAs="absolute">
    <xdr:from>
      <xdr:col>14</xdr:col>
      <xdr:colOff>323850</xdr:colOff>
      <xdr:row>35</xdr:row>
      <xdr:rowOff>104774</xdr:rowOff>
    </xdr:from>
    <xdr:to>
      <xdr:col>18</xdr:col>
      <xdr:colOff>533400</xdr:colOff>
      <xdr:row>37</xdr:row>
      <xdr:rowOff>25827</xdr:rowOff>
    </xdr:to>
    <xdr:sp macro="" textlink="">
      <xdr:nvSpPr>
        <xdr:cNvPr id="2247" name="Arrow: Pentagon 2246">
          <a:extLst>
            <a:ext uri="{FF2B5EF4-FFF2-40B4-BE49-F238E27FC236}">
              <a16:creationId xmlns:a16="http://schemas.microsoft.com/office/drawing/2014/main" id="{00000000-0008-0000-0100-0000C7080000}"/>
            </a:ext>
          </a:extLst>
        </xdr:cNvPr>
        <xdr:cNvSpPr/>
      </xdr:nvSpPr>
      <xdr:spPr>
        <a:xfrm>
          <a:off x="8858250" y="5829299"/>
          <a:ext cx="2647950" cy="302053"/>
        </a:xfrm>
        <a:prstGeom prst="homePlate">
          <a:avLst/>
        </a:prstGeom>
        <a:solidFill>
          <a:srgbClr val="070E25"/>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xdr:twoCellAnchor editAs="absolute">
    <xdr:from>
      <xdr:col>14</xdr:col>
      <xdr:colOff>323850</xdr:colOff>
      <xdr:row>42</xdr:row>
      <xdr:rowOff>190499</xdr:rowOff>
    </xdr:from>
    <xdr:to>
      <xdr:col>18</xdr:col>
      <xdr:colOff>533400</xdr:colOff>
      <xdr:row>44</xdr:row>
      <xdr:rowOff>111552</xdr:rowOff>
    </xdr:to>
    <xdr:sp macro="" textlink="">
      <xdr:nvSpPr>
        <xdr:cNvPr id="2248" name="Arrow: Pentagon 2247">
          <a:extLst>
            <a:ext uri="{FF2B5EF4-FFF2-40B4-BE49-F238E27FC236}">
              <a16:creationId xmlns:a16="http://schemas.microsoft.com/office/drawing/2014/main" id="{00000000-0008-0000-0100-0000C8080000}"/>
            </a:ext>
          </a:extLst>
        </xdr:cNvPr>
        <xdr:cNvSpPr/>
      </xdr:nvSpPr>
      <xdr:spPr>
        <a:xfrm>
          <a:off x="8858250" y="7248524"/>
          <a:ext cx="2647950" cy="302053"/>
        </a:xfrm>
        <a:prstGeom prst="homePlate">
          <a:avLst/>
        </a:prstGeom>
        <a:solidFill>
          <a:srgbClr val="070E25"/>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xdr:twoCellAnchor editAs="absolute">
    <xdr:from>
      <xdr:col>7</xdr:col>
      <xdr:colOff>266700</xdr:colOff>
      <xdr:row>35</xdr:row>
      <xdr:rowOff>104775</xdr:rowOff>
    </xdr:from>
    <xdr:to>
      <xdr:col>10</xdr:col>
      <xdr:colOff>304800</xdr:colOff>
      <xdr:row>37</xdr:row>
      <xdr:rowOff>25828</xdr:rowOff>
    </xdr:to>
    <xdr:sp macro="" textlink="">
      <xdr:nvSpPr>
        <xdr:cNvPr id="2249" name="Arrow: Pentagon 2248">
          <a:extLst>
            <a:ext uri="{FF2B5EF4-FFF2-40B4-BE49-F238E27FC236}">
              <a16:creationId xmlns:a16="http://schemas.microsoft.com/office/drawing/2014/main" id="{00000000-0008-0000-0100-0000C9080000}"/>
            </a:ext>
          </a:extLst>
        </xdr:cNvPr>
        <xdr:cNvSpPr/>
      </xdr:nvSpPr>
      <xdr:spPr>
        <a:xfrm>
          <a:off x="4533900" y="5829300"/>
          <a:ext cx="1866900" cy="302053"/>
        </a:xfrm>
        <a:prstGeom prst="homePlate">
          <a:avLst/>
        </a:prstGeom>
        <a:solidFill>
          <a:srgbClr val="070E25"/>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xdr:twoCellAnchor editAs="absolute">
    <xdr:from>
      <xdr:col>7</xdr:col>
      <xdr:colOff>266700</xdr:colOff>
      <xdr:row>43</xdr:row>
      <xdr:rowOff>0</xdr:rowOff>
    </xdr:from>
    <xdr:to>
      <xdr:col>10</xdr:col>
      <xdr:colOff>304800</xdr:colOff>
      <xdr:row>44</xdr:row>
      <xdr:rowOff>111553</xdr:rowOff>
    </xdr:to>
    <xdr:sp macro="" textlink="">
      <xdr:nvSpPr>
        <xdr:cNvPr id="2257" name="Arrow: Pentagon 2256">
          <a:extLst>
            <a:ext uri="{FF2B5EF4-FFF2-40B4-BE49-F238E27FC236}">
              <a16:creationId xmlns:a16="http://schemas.microsoft.com/office/drawing/2014/main" id="{00000000-0008-0000-0100-0000D1080000}"/>
            </a:ext>
          </a:extLst>
        </xdr:cNvPr>
        <xdr:cNvSpPr/>
      </xdr:nvSpPr>
      <xdr:spPr>
        <a:xfrm>
          <a:off x="4533900" y="7248525"/>
          <a:ext cx="1866900" cy="302053"/>
        </a:xfrm>
        <a:prstGeom prst="homePlate">
          <a:avLst/>
        </a:prstGeom>
        <a:solidFill>
          <a:srgbClr val="070E25"/>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xdr:twoCellAnchor editAs="absolute">
    <xdr:from>
      <xdr:col>7</xdr:col>
      <xdr:colOff>439313</xdr:colOff>
      <xdr:row>35</xdr:row>
      <xdr:rowOff>70221</xdr:rowOff>
    </xdr:from>
    <xdr:to>
      <xdr:col>13</xdr:col>
      <xdr:colOff>21713</xdr:colOff>
      <xdr:row>50</xdr:row>
      <xdr:rowOff>35565</xdr:rowOff>
    </xdr:to>
    <xdr:grpSp>
      <xdr:nvGrpSpPr>
        <xdr:cNvPr id="2221" name="Group 2220">
          <a:extLst>
            <a:ext uri="{FF2B5EF4-FFF2-40B4-BE49-F238E27FC236}">
              <a16:creationId xmlns:a16="http://schemas.microsoft.com/office/drawing/2014/main" id="{00000000-0008-0000-0100-0000AD080000}"/>
            </a:ext>
          </a:extLst>
        </xdr:cNvPr>
        <xdr:cNvGrpSpPr/>
      </xdr:nvGrpSpPr>
      <xdr:grpSpPr>
        <a:xfrm>
          <a:off x="4706513" y="5794746"/>
          <a:ext cx="3240000" cy="2822844"/>
          <a:chOff x="4273114" y="5804710"/>
          <a:chExt cx="2880000" cy="2646971"/>
        </a:xfrm>
      </xdr:grpSpPr>
      <xdr:grpSp>
        <xdr:nvGrpSpPr>
          <xdr:cNvPr id="48" name="Group 47">
            <a:extLst>
              <a:ext uri="{FF2B5EF4-FFF2-40B4-BE49-F238E27FC236}">
                <a16:creationId xmlns:a16="http://schemas.microsoft.com/office/drawing/2014/main" id="{00000000-0008-0000-0100-000030000000}"/>
              </a:ext>
            </a:extLst>
          </xdr:cNvPr>
          <xdr:cNvGrpSpPr/>
        </xdr:nvGrpSpPr>
        <xdr:grpSpPr>
          <a:xfrm>
            <a:off x="4273114" y="5804710"/>
            <a:ext cx="2880000" cy="1313471"/>
            <a:chOff x="2505075" y="5813599"/>
            <a:chExt cx="2538300" cy="1015826"/>
          </a:xfrm>
        </xdr:grpSpPr>
        <xdr:grpSp>
          <xdr:nvGrpSpPr>
            <xdr:cNvPr id="42" name="Group 41">
              <a:extLst>
                <a:ext uri="{FF2B5EF4-FFF2-40B4-BE49-F238E27FC236}">
                  <a16:creationId xmlns:a16="http://schemas.microsoft.com/office/drawing/2014/main" id="{00000000-0008-0000-0100-00002A000000}"/>
                </a:ext>
              </a:extLst>
            </xdr:cNvPr>
            <xdr:cNvGrpSpPr/>
          </xdr:nvGrpSpPr>
          <xdr:grpSpPr>
            <a:xfrm>
              <a:off x="2505075" y="5813599"/>
              <a:ext cx="1620000" cy="1015826"/>
              <a:chOff x="3038475" y="7270924"/>
              <a:chExt cx="1620000" cy="1015826"/>
            </a:xfrm>
          </xdr:grpSpPr>
          <xdr:sp macro="" textlink="">
            <xdr:nvSpPr>
              <xdr:cNvPr id="22" name="TextBox 21">
                <a:extLst>
                  <a:ext uri="{FF2B5EF4-FFF2-40B4-BE49-F238E27FC236}">
                    <a16:creationId xmlns:a16="http://schemas.microsoft.com/office/drawing/2014/main" id="{00000000-0008-0000-0100-000016000000}"/>
                  </a:ext>
                </a:extLst>
              </xdr:cNvPr>
              <xdr:cNvSpPr txBox="1"/>
            </xdr:nvSpPr>
            <xdr:spPr>
              <a:xfrm>
                <a:off x="3038475" y="7270924"/>
                <a:ext cx="1066174" cy="2571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CA" sz="1400">
                    <a:solidFill>
                      <a:srgbClr val="D43260"/>
                    </a:solidFill>
                    <a:latin typeface="Avenir Next LT Pro" panose="020B0504020202020204" pitchFamily="34" charset="0"/>
                  </a:rPr>
                  <a:t>Best Sale Days</a:t>
                </a:r>
              </a:p>
            </xdr:txBody>
          </xdr:sp>
          <xdr:sp macro="" textlink="Pivot_tables!AV16">
            <xdr:nvSpPr>
              <xdr:cNvPr id="23" name="TextBox 22">
                <a:extLst>
                  <a:ext uri="{FF2B5EF4-FFF2-40B4-BE49-F238E27FC236}">
                    <a16:creationId xmlns:a16="http://schemas.microsoft.com/office/drawing/2014/main" id="{00000000-0008-0000-0100-000017000000}"/>
                  </a:ext>
                </a:extLst>
              </xdr:cNvPr>
              <xdr:cNvSpPr txBox="1"/>
            </xdr:nvSpPr>
            <xdr:spPr>
              <a:xfrm>
                <a:off x="3038475" y="7762876"/>
                <a:ext cx="1620000" cy="2571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fld id="{E2D72A2E-8D7B-4A9A-BCFF-5CE1B3B81805}" type="TxLink">
                  <a:rPr lang="en-US" sz="1200" b="0" i="0" u="none" strike="noStrike">
                    <a:solidFill>
                      <a:schemeClr val="bg1"/>
                    </a:solidFill>
                    <a:latin typeface="Avenir Next LT Pro"/>
                  </a:rPr>
                  <a:pPr/>
                  <a:t>February 21, 2015</a:t>
                </a:fld>
                <a:endParaRPr lang="en-CA" sz="1400">
                  <a:solidFill>
                    <a:schemeClr val="bg1"/>
                  </a:solidFill>
                  <a:latin typeface="Avenir Next LT Pro" panose="020B0504020202020204" pitchFamily="34" charset="0"/>
                </a:endParaRPr>
              </a:p>
            </xdr:txBody>
          </xdr:sp>
          <xdr:sp macro="" textlink="Pivot_tables!AV15">
            <xdr:nvSpPr>
              <xdr:cNvPr id="24" name="TextBox 23">
                <a:extLst>
                  <a:ext uri="{FF2B5EF4-FFF2-40B4-BE49-F238E27FC236}">
                    <a16:creationId xmlns:a16="http://schemas.microsoft.com/office/drawing/2014/main" id="{00000000-0008-0000-0100-000018000000}"/>
                  </a:ext>
                </a:extLst>
              </xdr:cNvPr>
              <xdr:cNvSpPr txBox="1"/>
            </xdr:nvSpPr>
            <xdr:spPr>
              <a:xfrm>
                <a:off x="3038475" y="7496176"/>
                <a:ext cx="1620000" cy="2571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fld id="{330F874C-4C58-413D-B31B-7FE8D3AE190B}" type="TxLink">
                  <a:rPr lang="en-US" sz="1200" b="0" i="0" u="none" strike="noStrike">
                    <a:solidFill>
                      <a:schemeClr val="bg1"/>
                    </a:solidFill>
                    <a:latin typeface="Avenir Next LT Pro"/>
                  </a:rPr>
                  <a:pPr/>
                  <a:t>April 4, 2015</a:t>
                </a:fld>
                <a:endParaRPr lang="en-CA" sz="1400">
                  <a:solidFill>
                    <a:schemeClr val="bg1"/>
                  </a:solidFill>
                  <a:latin typeface="Avenir Next LT Pro" panose="020B0504020202020204" pitchFamily="34" charset="0"/>
                </a:endParaRPr>
              </a:p>
            </xdr:txBody>
          </xdr:sp>
          <xdr:sp macro="" textlink="Pivot_tables!AV17">
            <xdr:nvSpPr>
              <xdr:cNvPr id="25" name="TextBox 24">
                <a:extLst>
                  <a:ext uri="{FF2B5EF4-FFF2-40B4-BE49-F238E27FC236}">
                    <a16:creationId xmlns:a16="http://schemas.microsoft.com/office/drawing/2014/main" id="{00000000-0008-0000-0100-000019000000}"/>
                  </a:ext>
                </a:extLst>
              </xdr:cNvPr>
              <xdr:cNvSpPr txBox="1"/>
            </xdr:nvSpPr>
            <xdr:spPr>
              <a:xfrm>
                <a:off x="3038475" y="8029576"/>
                <a:ext cx="1620000" cy="2571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fld id="{653C4800-0C9E-46BE-BE43-D2D33A6C32DB}" type="TxLink">
                  <a:rPr lang="en-US" sz="1200" b="0" i="0" u="none" strike="noStrike">
                    <a:solidFill>
                      <a:schemeClr val="bg1"/>
                    </a:solidFill>
                    <a:latin typeface="Avenir Next LT Pro"/>
                  </a:rPr>
                  <a:pPr/>
                  <a:t>June 20, 2015</a:t>
                </a:fld>
                <a:endParaRPr lang="en-CA" sz="1400">
                  <a:solidFill>
                    <a:schemeClr val="bg1"/>
                  </a:solidFill>
                  <a:latin typeface="Avenir Next LT Pro" panose="020B0504020202020204" pitchFamily="34" charset="0"/>
                </a:endParaRPr>
              </a:p>
            </xdr:txBody>
          </xdr:sp>
        </xdr:grpSp>
        <xdr:grpSp>
          <xdr:nvGrpSpPr>
            <xdr:cNvPr id="43" name="Group 42">
              <a:extLst>
                <a:ext uri="{FF2B5EF4-FFF2-40B4-BE49-F238E27FC236}">
                  <a16:creationId xmlns:a16="http://schemas.microsoft.com/office/drawing/2014/main" id="{00000000-0008-0000-0100-00002B000000}"/>
                </a:ext>
              </a:extLst>
            </xdr:cNvPr>
            <xdr:cNvGrpSpPr/>
          </xdr:nvGrpSpPr>
          <xdr:grpSpPr>
            <a:xfrm>
              <a:off x="4143375" y="6038851"/>
              <a:ext cx="900000" cy="790574"/>
              <a:chOff x="3038475" y="7496176"/>
              <a:chExt cx="1620000" cy="790574"/>
            </a:xfrm>
          </xdr:grpSpPr>
          <xdr:sp macro="" textlink="Pivot_tables!AU16">
            <xdr:nvSpPr>
              <xdr:cNvPr id="45" name="TextBox 44">
                <a:extLst>
                  <a:ext uri="{FF2B5EF4-FFF2-40B4-BE49-F238E27FC236}">
                    <a16:creationId xmlns:a16="http://schemas.microsoft.com/office/drawing/2014/main" id="{00000000-0008-0000-0100-00002D000000}"/>
                  </a:ext>
                </a:extLst>
              </xdr:cNvPr>
              <xdr:cNvSpPr txBox="1"/>
            </xdr:nvSpPr>
            <xdr:spPr>
              <a:xfrm>
                <a:off x="3038475" y="7762876"/>
                <a:ext cx="1620000" cy="2571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7C3B6A5B-478D-4DE7-B2D5-F44E79C3DF8D}" type="TxLink">
                  <a:rPr lang="en-US" sz="1200" b="0" i="0" u="none" strike="noStrike">
                    <a:solidFill>
                      <a:schemeClr val="bg1"/>
                    </a:solidFill>
                    <a:latin typeface="Avenir Next LT Pro"/>
                  </a:rPr>
                  <a:pPr algn="r"/>
                  <a:t> 56,765 </a:t>
                </a:fld>
                <a:endParaRPr lang="en-CA" sz="1400">
                  <a:solidFill>
                    <a:schemeClr val="bg1"/>
                  </a:solidFill>
                  <a:latin typeface="Avenir Next LT Pro" panose="020B0504020202020204" pitchFamily="34" charset="0"/>
                </a:endParaRPr>
              </a:p>
            </xdr:txBody>
          </xdr:sp>
          <xdr:sp macro="" textlink="Pivot_tables!AU15">
            <xdr:nvSpPr>
              <xdr:cNvPr id="46" name="TextBox 45">
                <a:extLst>
                  <a:ext uri="{FF2B5EF4-FFF2-40B4-BE49-F238E27FC236}">
                    <a16:creationId xmlns:a16="http://schemas.microsoft.com/office/drawing/2014/main" id="{00000000-0008-0000-0100-00002E000000}"/>
                  </a:ext>
                </a:extLst>
              </xdr:cNvPr>
              <xdr:cNvSpPr txBox="1"/>
            </xdr:nvSpPr>
            <xdr:spPr>
              <a:xfrm>
                <a:off x="3038475" y="7496176"/>
                <a:ext cx="1620000" cy="2571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E108F922-944A-4E8F-BE5A-168348542E6F}" type="TxLink">
                  <a:rPr lang="en-US" sz="1200" b="0" i="0" u="none" strike="noStrike">
                    <a:solidFill>
                      <a:schemeClr val="bg1"/>
                    </a:solidFill>
                    <a:latin typeface="Avenir Next LT Pro"/>
                  </a:rPr>
                  <a:pPr algn="r"/>
                  <a:t> 67,268 </a:t>
                </a:fld>
                <a:endParaRPr lang="en-CA" sz="1400">
                  <a:solidFill>
                    <a:schemeClr val="bg1"/>
                  </a:solidFill>
                  <a:latin typeface="Avenir Next LT Pro" panose="020B0504020202020204" pitchFamily="34" charset="0"/>
                </a:endParaRPr>
              </a:p>
            </xdr:txBody>
          </xdr:sp>
          <xdr:sp macro="" textlink="Pivot_tables!AU17">
            <xdr:nvSpPr>
              <xdr:cNvPr id="47" name="TextBox 46">
                <a:extLst>
                  <a:ext uri="{FF2B5EF4-FFF2-40B4-BE49-F238E27FC236}">
                    <a16:creationId xmlns:a16="http://schemas.microsoft.com/office/drawing/2014/main" id="{00000000-0008-0000-0100-00002F000000}"/>
                  </a:ext>
                </a:extLst>
              </xdr:cNvPr>
              <xdr:cNvSpPr txBox="1"/>
            </xdr:nvSpPr>
            <xdr:spPr>
              <a:xfrm>
                <a:off x="3038475" y="8029576"/>
                <a:ext cx="1620000" cy="2571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1479C203-0495-4377-AF68-166E163BE501}" type="TxLink">
                  <a:rPr lang="en-US" sz="1200" b="0" i="0" u="none" strike="noStrike">
                    <a:solidFill>
                      <a:schemeClr val="bg1"/>
                    </a:solidFill>
                    <a:latin typeface="Avenir Next LT Pro"/>
                  </a:rPr>
                  <a:pPr algn="r"/>
                  <a:t> 49,028 </a:t>
                </a:fld>
                <a:endParaRPr lang="en-CA" sz="1400">
                  <a:solidFill>
                    <a:schemeClr val="bg1"/>
                  </a:solidFill>
                  <a:latin typeface="Avenir Next LT Pro" panose="020B0504020202020204" pitchFamily="34" charset="0"/>
                </a:endParaRPr>
              </a:p>
            </xdr:txBody>
          </xdr:sp>
        </xdr:grpSp>
      </xdr:grpSp>
      <xdr:grpSp>
        <xdr:nvGrpSpPr>
          <xdr:cNvPr id="2211" name="Group 2210">
            <a:extLst>
              <a:ext uri="{FF2B5EF4-FFF2-40B4-BE49-F238E27FC236}">
                <a16:creationId xmlns:a16="http://schemas.microsoft.com/office/drawing/2014/main" id="{00000000-0008-0000-0100-0000A3080000}"/>
              </a:ext>
            </a:extLst>
          </xdr:cNvPr>
          <xdr:cNvGrpSpPr/>
        </xdr:nvGrpSpPr>
        <xdr:grpSpPr>
          <a:xfrm>
            <a:off x="4273114" y="7138210"/>
            <a:ext cx="2880000" cy="1313471"/>
            <a:chOff x="2505075" y="5813599"/>
            <a:chExt cx="2538300" cy="1015826"/>
          </a:xfrm>
        </xdr:grpSpPr>
        <xdr:grpSp>
          <xdr:nvGrpSpPr>
            <xdr:cNvPr id="2212" name="Group 2211">
              <a:extLst>
                <a:ext uri="{FF2B5EF4-FFF2-40B4-BE49-F238E27FC236}">
                  <a16:creationId xmlns:a16="http://schemas.microsoft.com/office/drawing/2014/main" id="{00000000-0008-0000-0100-0000A4080000}"/>
                </a:ext>
              </a:extLst>
            </xdr:cNvPr>
            <xdr:cNvGrpSpPr/>
          </xdr:nvGrpSpPr>
          <xdr:grpSpPr>
            <a:xfrm>
              <a:off x="2505075" y="5813599"/>
              <a:ext cx="1620000" cy="1015826"/>
              <a:chOff x="3038475" y="7270924"/>
              <a:chExt cx="1620000" cy="1015826"/>
            </a:xfrm>
          </xdr:grpSpPr>
          <xdr:sp macro="" textlink="">
            <xdr:nvSpPr>
              <xdr:cNvPr id="2217" name="TextBox 2216">
                <a:extLst>
                  <a:ext uri="{FF2B5EF4-FFF2-40B4-BE49-F238E27FC236}">
                    <a16:creationId xmlns:a16="http://schemas.microsoft.com/office/drawing/2014/main" id="{00000000-0008-0000-0100-0000A9080000}"/>
                  </a:ext>
                </a:extLst>
              </xdr:cNvPr>
              <xdr:cNvSpPr txBox="1"/>
            </xdr:nvSpPr>
            <xdr:spPr>
              <a:xfrm>
                <a:off x="3038475" y="7270924"/>
                <a:ext cx="1125871" cy="2571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CA" sz="1400">
                    <a:solidFill>
                      <a:srgbClr val="D43260"/>
                    </a:solidFill>
                    <a:latin typeface="Avenir Next LT Pro" panose="020B0504020202020204" pitchFamily="34" charset="0"/>
                  </a:rPr>
                  <a:t>Least Sale Days</a:t>
                </a:r>
              </a:p>
            </xdr:txBody>
          </xdr:sp>
          <xdr:sp macro="" textlink="Pivot_tables!AV21">
            <xdr:nvSpPr>
              <xdr:cNvPr id="2218" name="TextBox 2217">
                <a:extLst>
                  <a:ext uri="{FF2B5EF4-FFF2-40B4-BE49-F238E27FC236}">
                    <a16:creationId xmlns:a16="http://schemas.microsoft.com/office/drawing/2014/main" id="{00000000-0008-0000-0100-0000AA080000}"/>
                  </a:ext>
                </a:extLst>
              </xdr:cNvPr>
              <xdr:cNvSpPr txBox="1"/>
            </xdr:nvSpPr>
            <xdr:spPr>
              <a:xfrm>
                <a:off x="3038475" y="7762876"/>
                <a:ext cx="1620000" cy="2571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fld id="{EB00A890-C015-4B9B-A2C3-B8F1F875C2F7}" type="TxLink">
                  <a:rPr lang="en-US" sz="1200" b="0" i="0" u="none" strike="noStrike">
                    <a:solidFill>
                      <a:schemeClr val="bg1"/>
                    </a:solidFill>
                    <a:latin typeface="Avenir Next LT Pro"/>
                  </a:rPr>
                  <a:pPr/>
                  <a:t>March 3, 2015</a:t>
                </a:fld>
                <a:endParaRPr lang="en-CA" sz="1400">
                  <a:solidFill>
                    <a:schemeClr val="bg1"/>
                  </a:solidFill>
                  <a:latin typeface="Avenir Next LT Pro" panose="020B0504020202020204" pitchFamily="34" charset="0"/>
                </a:endParaRPr>
              </a:p>
            </xdr:txBody>
          </xdr:sp>
          <xdr:sp macro="" textlink="Pivot_tables!AV20">
            <xdr:nvSpPr>
              <xdr:cNvPr id="2219" name="TextBox 2218">
                <a:extLst>
                  <a:ext uri="{FF2B5EF4-FFF2-40B4-BE49-F238E27FC236}">
                    <a16:creationId xmlns:a16="http://schemas.microsoft.com/office/drawing/2014/main" id="{00000000-0008-0000-0100-0000AB080000}"/>
                  </a:ext>
                </a:extLst>
              </xdr:cNvPr>
              <xdr:cNvSpPr txBox="1"/>
            </xdr:nvSpPr>
            <xdr:spPr>
              <a:xfrm>
                <a:off x="3038475" y="7496176"/>
                <a:ext cx="1620000" cy="2571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fld id="{F799C927-36C0-4FB5-AB35-EC8CA00864E8}" type="TxLink">
                  <a:rPr lang="en-US" sz="1200" b="0" i="0" u="none" strike="noStrike">
                    <a:solidFill>
                      <a:schemeClr val="bg1"/>
                    </a:solidFill>
                    <a:latin typeface="Avenir Next LT Pro"/>
                  </a:rPr>
                  <a:pPr/>
                  <a:t>March 31, 2015</a:t>
                </a:fld>
                <a:endParaRPr lang="en-CA" sz="1400">
                  <a:solidFill>
                    <a:schemeClr val="bg1"/>
                  </a:solidFill>
                  <a:latin typeface="Avenir Next LT Pro" panose="020B0504020202020204" pitchFamily="34" charset="0"/>
                </a:endParaRPr>
              </a:p>
            </xdr:txBody>
          </xdr:sp>
          <xdr:sp macro="" textlink="Pivot_tables!AV22">
            <xdr:nvSpPr>
              <xdr:cNvPr id="2220" name="TextBox 2219">
                <a:extLst>
                  <a:ext uri="{FF2B5EF4-FFF2-40B4-BE49-F238E27FC236}">
                    <a16:creationId xmlns:a16="http://schemas.microsoft.com/office/drawing/2014/main" id="{00000000-0008-0000-0100-0000AC080000}"/>
                  </a:ext>
                </a:extLst>
              </xdr:cNvPr>
              <xdr:cNvSpPr txBox="1"/>
            </xdr:nvSpPr>
            <xdr:spPr>
              <a:xfrm>
                <a:off x="3038475" y="8029576"/>
                <a:ext cx="1620000" cy="2571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fld id="{05953B16-2A7E-47C0-BA0B-D783865CA86B}" type="TxLink">
                  <a:rPr lang="en-US" sz="1200" b="0" i="0" u="none" strike="noStrike">
                    <a:solidFill>
                      <a:schemeClr val="bg1"/>
                    </a:solidFill>
                    <a:latin typeface="Avenir Next LT Pro"/>
                  </a:rPr>
                  <a:pPr/>
                  <a:t>June 27, 2015</a:t>
                </a:fld>
                <a:endParaRPr lang="en-CA" sz="1400">
                  <a:solidFill>
                    <a:schemeClr val="bg1"/>
                  </a:solidFill>
                  <a:latin typeface="Avenir Next LT Pro" panose="020B0504020202020204" pitchFamily="34" charset="0"/>
                </a:endParaRPr>
              </a:p>
            </xdr:txBody>
          </xdr:sp>
        </xdr:grpSp>
        <xdr:grpSp>
          <xdr:nvGrpSpPr>
            <xdr:cNvPr id="2213" name="Group 2212">
              <a:extLst>
                <a:ext uri="{FF2B5EF4-FFF2-40B4-BE49-F238E27FC236}">
                  <a16:creationId xmlns:a16="http://schemas.microsoft.com/office/drawing/2014/main" id="{00000000-0008-0000-0100-0000A5080000}"/>
                </a:ext>
              </a:extLst>
            </xdr:cNvPr>
            <xdr:cNvGrpSpPr/>
          </xdr:nvGrpSpPr>
          <xdr:grpSpPr>
            <a:xfrm>
              <a:off x="4143375" y="6038851"/>
              <a:ext cx="900000" cy="790574"/>
              <a:chOff x="3038475" y="7496176"/>
              <a:chExt cx="1620000" cy="790574"/>
            </a:xfrm>
          </xdr:grpSpPr>
          <xdr:sp macro="" textlink="Pivot_tables!AU21">
            <xdr:nvSpPr>
              <xdr:cNvPr id="2214" name="TextBox 2213">
                <a:extLst>
                  <a:ext uri="{FF2B5EF4-FFF2-40B4-BE49-F238E27FC236}">
                    <a16:creationId xmlns:a16="http://schemas.microsoft.com/office/drawing/2014/main" id="{00000000-0008-0000-0100-0000A6080000}"/>
                  </a:ext>
                </a:extLst>
              </xdr:cNvPr>
              <xdr:cNvSpPr txBox="1"/>
            </xdr:nvSpPr>
            <xdr:spPr>
              <a:xfrm>
                <a:off x="3038475" y="7762876"/>
                <a:ext cx="1620000" cy="2571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E0E4E9E1-5F89-4612-89B0-2BF3F12EEAAE}" type="TxLink">
                  <a:rPr lang="en-US" sz="1200" b="0" i="0" u="none" strike="noStrike">
                    <a:solidFill>
                      <a:schemeClr val="bg1"/>
                    </a:solidFill>
                    <a:latin typeface="Avenir Next LT Pro"/>
                  </a:rPr>
                  <a:pPr algn="r"/>
                  <a:t> 263 </a:t>
                </a:fld>
                <a:endParaRPr lang="en-CA" sz="1400">
                  <a:solidFill>
                    <a:schemeClr val="bg1"/>
                  </a:solidFill>
                  <a:latin typeface="Avenir Next LT Pro" panose="020B0504020202020204" pitchFamily="34" charset="0"/>
                </a:endParaRPr>
              </a:p>
            </xdr:txBody>
          </xdr:sp>
          <xdr:sp macro="" textlink="Pivot_tables!AU20">
            <xdr:nvSpPr>
              <xdr:cNvPr id="2215" name="TextBox 2214">
                <a:extLst>
                  <a:ext uri="{FF2B5EF4-FFF2-40B4-BE49-F238E27FC236}">
                    <a16:creationId xmlns:a16="http://schemas.microsoft.com/office/drawing/2014/main" id="{00000000-0008-0000-0100-0000A7080000}"/>
                  </a:ext>
                </a:extLst>
              </xdr:cNvPr>
              <xdr:cNvSpPr txBox="1"/>
            </xdr:nvSpPr>
            <xdr:spPr>
              <a:xfrm>
                <a:off x="3038475" y="7496176"/>
                <a:ext cx="1620000" cy="2571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94DB2BCB-1A9E-49CD-B8C6-065AAB579474}" type="TxLink">
                  <a:rPr lang="en-US" sz="1200" b="0" i="0" u="none" strike="noStrike">
                    <a:solidFill>
                      <a:schemeClr val="bg1"/>
                    </a:solidFill>
                    <a:latin typeface="Avenir Next LT Pro"/>
                  </a:rPr>
                  <a:pPr algn="r"/>
                  <a:t> 102 </a:t>
                </a:fld>
                <a:endParaRPr lang="en-CA" sz="1400">
                  <a:solidFill>
                    <a:schemeClr val="bg1"/>
                  </a:solidFill>
                  <a:latin typeface="Avenir Next LT Pro" panose="020B0504020202020204" pitchFamily="34" charset="0"/>
                </a:endParaRPr>
              </a:p>
            </xdr:txBody>
          </xdr:sp>
          <xdr:sp macro="" textlink="Pivot_tables!AU22">
            <xdr:nvSpPr>
              <xdr:cNvPr id="2216" name="TextBox 2215">
                <a:extLst>
                  <a:ext uri="{FF2B5EF4-FFF2-40B4-BE49-F238E27FC236}">
                    <a16:creationId xmlns:a16="http://schemas.microsoft.com/office/drawing/2014/main" id="{00000000-0008-0000-0100-0000A8080000}"/>
                  </a:ext>
                </a:extLst>
              </xdr:cNvPr>
              <xdr:cNvSpPr txBox="1"/>
            </xdr:nvSpPr>
            <xdr:spPr>
              <a:xfrm>
                <a:off x="3038475" y="8029576"/>
                <a:ext cx="1620000" cy="2571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435DA16B-1F80-4A5E-A9DA-80939AA281BC}" type="TxLink">
                  <a:rPr lang="en-US" sz="1200" b="0" i="0" u="none" strike="noStrike">
                    <a:solidFill>
                      <a:schemeClr val="bg1"/>
                    </a:solidFill>
                    <a:latin typeface="Avenir Next LT Pro"/>
                  </a:rPr>
                  <a:pPr algn="r"/>
                  <a:t> 338 </a:t>
                </a:fld>
                <a:endParaRPr lang="en-CA" sz="1400">
                  <a:solidFill>
                    <a:schemeClr val="bg1"/>
                  </a:solidFill>
                  <a:latin typeface="Avenir Next LT Pro" panose="020B0504020202020204" pitchFamily="34" charset="0"/>
                </a:endParaRPr>
              </a:p>
            </xdr:txBody>
          </xdr:sp>
        </xdr:grpSp>
      </xdr:grpSp>
    </xdr:grpSp>
    <xdr:clientData/>
  </xdr:twoCellAnchor>
  <xdr:twoCellAnchor editAs="absolute">
    <xdr:from>
      <xdr:col>14</xdr:col>
      <xdr:colOff>481044</xdr:colOff>
      <xdr:row>35</xdr:row>
      <xdr:rowOff>70221</xdr:rowOff>
    </xdr:from>
    <xdr:to>
      <xdr:col>20</xdr:col>
      <xdr:colOff>63444</xdr:colOff>
      <xdr:row>50</xdr:row>
      <xdr:rowOff>35565</xdr:rowOff>
    </xdr:to>
    <xdr:grpSp>
      <xdr:nvGrpSpPr>
        <xdr:cNvPr id="49" name="Group 48">
          <a:extLst>
            <a:ext uri="{FF2B5EF4-FFF2-40B4-BE49-F238E27FC236}">
              <a16:creationId xmlns:a16="http://schemas.microsoft.com/office/drawing/2014/main" id="{00000000-0008-0000-0100-000031000000}"/>
            </a:ext>
          </a:extLst>
        </xdr:cNvPr>
        <xdr:cNvGrpSpPr/>
      </xdr:nvGrpSpPr>
      <xdr:grpSpPr>
        <a:xfrm>
          <a:off x="9015444" y="5794746"/>
          <a:ext cx="3240000" cy="2822844"/>
          <a:chOff x="4273114" y="5804710"/>
          <a:chExt cx="2880000" cy="2646971"/>
        </a:xfrm>
      </xdr:grpSpPr>
      <xdr:grpSp>
        <xdr:nvGrpSpPr>
          <xdr:cNvPr id="50" name="Group 49">
            <a:extLst>
              <a:ext uri="{FF2B5EF4-FFF2-40B4-BE49-F238E27FC236}">
                <a16:creationId xmlns:a16="http://schemas.microsoft.com/office/drawing/2014/main" id="{00000000-0008-0000-0100-000032000000}"/>
              </a:ext>
            </a:extLst>
          </xdr:cNvPr>
          <xdr:cNvGrpSpPr/>
        </xdr:nvGrpSpPr>
        <xdr:grpSpPr>
          <a:xfrm>
            <a:off x="4273114" y="5804710"/>
            <a:ext cx="2880000" cy="1313471"/>
            <a:chOff x="2505075" y="5813599"/>
            <a:chExt cx="2538300" cy="1015826"/>
          </a:xfrm>
        </xdr:grpSpPr>
        <xdr:grpSp>
          <xdr:nvGrpSpPr>
            <xdr:cNvPr id="61" name="Group 60">
              <a:extLst>
                <a:ext uri="{FF2B5EF4-FFF2-40B4-BE49-F238E27FC236}">
                  <a16:creationId xmlns:a16="http://schemas.microsoft.com/office/drawing/2014/main" id="{00000000-0008-0000-0100-00003D000000}"/>
                </a:ext>
              </a:extLst>
            </xdr:cNvPr>
            <xdr:cNvGrpSpPr/>
          </xdr:nvGrpSpPr>
          <xdr:grpSpPr>
            <a:xfrm>
              <a:off x="2505075" y="5813599"/>
              <a:ext cx="2357112" cy="1015826"/>
              <a:chOff x="3038475" y="7270924"/>
              <a:chExt cx="2357112" cy="1015826"/>
            </a:xfrm>
          </xdr:grpSpPr>
          <xdr:sp macro="" textlink="">
            <xdr:nvSpPr>
              <xdr:cNvPr id="2242" name="TextBox 2241">
                <a:extLst>
                  <a:ext uri="{FF2B5EF4-FFF2-40B4-BE49-F238E27FC236}">
                    <a16:creationId xmlns:a16="http://schemas.microsoft.com/office/drawing/2014/main" id="{00000000-0008-0000-0100-0000C2080000}"/>
                  </a:ext>
                </a:extLst>
              </xdr:cNvPr>
              <xdr:cNvSpPr txBox="1"/>
            </xdr:nvSpPr>
            <xdr:spPr>
              <a:xfrm>
                <a:off x="3038475" y="7270924"/>
                <a:ext cx="2357112" cy="2571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CA" sz="1400">
                    <a:solidFill>
                      <a:srgbClr val="D43260"/>
                    </a:solidFill>
                    <a:latin typeface="Avenir Next LT Pro" panose="020B0504020202020204" pitchFamily="34" charset="0"/>
                  </a:rPr>
                  <a:t>Best Performing Products</a:t>
                </a:r>
              </a:p>
            </xdr:txBody>
          </xdr:sp>
          <xdr:sp macro="" textlink="Pivot_tables!AX16">
            <xdr:nvSpPr>
              <xdr:cNvPr id="2243" name="TextBox 2242">
                <a:extLst>
                  <a:ext uri="{FF2B5EF4-FFF2-40B4-BE49-F238E27FC236}">
                    <a16:creationId xmlns:a16="http://schemas.microsoft.com/office/drawing/2014/main" id="{00000000-0008-0000-0100-0000C3080000}"/>
                  </a:ext>
                </a:extLst>
              </xdr:cNvPr>
              <xdr:cNvSpPr txBox="1"/>
            </xdr:nvSpPr>
            <xdr:spPr>
              <a:xfrm>
                <a:off x="3038475" y="7762876"/>
                <a:ext cx="1928936" cy="2571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fld id="{766C2540-5EB6-4021-ABE5-F912556BDF90}" type="TxLink">
                  <a:rPr lang="en-US" sz="1200" b="0" i="0" u="none" strike="noStrike">
                    <a:solidFill>
                      <a:schemeClr val="bg1"/>
                    </a:solidFill>
                    <a:latin typeface="Avenir Next LT Pro"/>
                  </a:rPr>
                  <a:pPr/>
                  <a:t>Chairs &amp; Chairmats</a:t>
                </a:fld>
                <a:endParaRPr lang="en-CA" sz="1400">
                  <a:solidFill>
                    <a:schemeClr val="bg1"/>
                  </a:solidFill>
                  <a:latin typeface="Avenir Next LT Pro" panose="020B0504020202020204" pitchFamily="34" charset="0"/>
                </a:endParaRPr>
              </a:p>
            </xdr:txBody>
          </xdr:sp>
          <xdr:sp macro="" textlink="Pivot_tables!AX15">
            <xdr:nvSpPr>
              <xdr:cNvPr id="2244" name="TextBox 2243">
                <a:extLst>
                  <a:ext uri="{FF2B5EF4-FFF2-40B4-BE49-F238E27FC236}">
                    <a16:creationId xmlns:a16="http://schemas.microsoft.com/office/drawing/2014/main" id="{00000000-0008-0000-0100-0000C4080000}"/>
                  </a:ext>
                </a:extLst>
              </xdr:cNvPr>
              <xdr:cNvSpPr txBox="1"/>
            </xdr:nvSpPr>
            <xdr:spPr>
              <a:xfrm>
                <a:off x="3038475" y="7496176"/>
                <a:ext cx="1620000" cy="2571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fld id="{64E956EE-A4A9-4A85-90FD-AEAE4C859EA3}" type="TxLink">
                  <a:rPr lang="en-US" sz="1200" b="0" i="0" u="none" strike="noStrike">
                    <a:solidFill>
                      <a:schemeClr val="bg1"/>
                    </a:solidFill>
                    <a:latin typeface="Avenir Next LT Pro"/>
                  </a:rPr>
                  <a:pPr/>
                  <a:t>Office Machines</a:t>
                </a:fld>
                <a:endParaRPr lang="en-CA" sz="1400">
                  <a:solidFill>
                    <a:schemeClr val="bg1"/>
                  </a:solidFill>
                  <a:latin typeface="Avenir Next LT Pro" panose="020B0504020202020204" pitchFamily="34" charset="0"/>
                </a:endParaRPr>
              </a:p>
            </xdr:txBody>
          </xdr:sp>
          <xdr:sp macro="" textlink="Pivot_tables!AX17">
            <xdr:nvSpPr>
              <xdr:cNvPr id="2246" name="TextBox 2245">
                <a:extLst>
                  <a:ext uri="{FF2B5EF4-FFF2-40B4-BE49-F238E27FC236}">
                    <a16:creationId xmlns:a16="http://schemas.microsoft.com/office/drawing/2014/main" id="{00000000-0008-0000-0100-0000C6080000}"/>
                  </a:ext>
                </a:extLst>
              </xdr:cNvPr>
              <xdr:cNvSpPr txBox="1"/>
            </xdr:nvSpPr>
            <xdr:spPr>
              <a:xfrm>
                <a:off x="3038475" y="8029576"/>
                <a:ext cx="1973709" cy="2571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fld id="{F15C2C18-CC6E-43C4-AFA5-D060E8EED1A6}" type="TxLink">
                  <a:rPr lang="en-US" sz="1200" b="0" i="0" u="none" strike="noStrike">
                    <a:solidFill>
                      <a:schemeClr val="bg1"/>
                    </a:solidFill>
                    <a:latin typeface="Avenir Next LT Pro"/>
                  </a:rPr>
                  <a:pPr/>
                  <a:t>Telephones and Communication</a:t>
                </a:fld>
                <a:endParaRPr lang="en-CA" sz="1400">
                  <a:solidFill>
                    <a:schemeClr val="bg1"/>
                  </a:solidFill>
                  <a:latin typeface="Avenir Next LT Pro" panose="020B0504020202020204" pitchFamily="34" charset="0"/>
                </a:endParaRPr>
              </a:p>
            </xdr:txBody>
          </xdr:sp>
        </xdr:grpSp>
        <xdr:grpSp>
          <xdr:nvGrpSpPr>
            <xdr:cNvPr id="62" name="Group 61">
              <a:extLst>
                <a:ext uri="{FF2B5EF4-FFF2-40B4-BE49-F238E27FC236}">
                  <a16:creationId xmlns:a16="http://schemas.microsoft.com/office/drawing/2014/main" id="{00000000-0008-0000-0100-00003E000000}"/>
                </a:ext>
              </a:extLst>
            </xdr:cNvPr>
            <xdr:cNvGrpSpPr/>
          </xdr:nvGrpSpPr>
          <xdr:grpSpPr>
            <a:xfrm>
              <a:off x="4143375" y="6038851"/>
              <a:ext cx="900000" cy="790574"/>
              <a:chOff x="3038475" y="7496176"/>
              <a:chExt cx="1620000" cy="790574"/>
            </a:xfrm>
          </xdr:grpSpPr>
          <xdr:sp macro="" textlink="Pivot_tables!AW16">
            <xdr:nvSpPr>
              <xdr:cNvPr id="63" name="TextBox 62">
                <a:extLst>
                  <a:ext uri="{FF2B5EF4-FFF2-40B4-BE49-F238E27FC236}">
                    <a16:creationId xmlns:a16="http://schemas.microsoft.com/office/drawing/2014/main" id="{00000000-0008-0000-0100-00003F000000}"/>
                  </a:ext>
                </a:extLst>
              </xdr:cNvPr>
              <xdr:cNvSpPr txBox="1"/>
            </xdr:nvSpPr>
            <xdr:spPr>
              <a:xfrm>
                <a:off x="3038475" y="7762876"/>
                <a:ext cx="1620000" cy="2571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6F6C3E88-1DFD-46EE-8190-93CBBFAE769D}" type="TxLink">
                  <a:rPr lang="en-US" sz="1200" b="0" i="0" u="none" strike="noStrike">
                    <a:solidFill>
                      <a:schemeClr val="bg1"/>
                    </a:solidFill>
                    <a:latin typeface="Avenir Next LT Pro"/>
                  </a:rPr>
                  <a:pPr algn="r"/>
                  <a:t> 241,200 </a:t>
                </a:fld>
                <a:endParaRPr lang="en-CA" sz="1600">
                  <a:solidFill>
                    <a:schemeClr val="bg1"/>
                  </a:solidFill>
                  <a:latin typeface="Avenir Next LT Pro" panose="020B0504020202020204" pitchFamily="34" charset="0"/>
                </a:endParaRPr>
              </a:p>
            </xdr:txBody>
          </xdr:sp>
          <xdr:sp macro="" textlink="Pivot_tables!AW15">
            <xdr:nvSpPr>
              <xdr:cNvPr id="2240" name="TextBox 2239">
                <a:extLst>
                  <a:ext uri="{FF2B5EF4-FFF2-40B4-BE49-F238E27FC236}">
                    <a16:creationId xmlns:a16="http://schemas.microsoft.com/office/drawing/2014/main" id="{00000000-0008-0000-0100-0000C0080000}"/>
                  </a:ext>
                </a:extLst>
              </xdr:cNvPr>
              <xdr:cNvSpPr txBox="1"/>
            </xdr:nvSpPr>
            <xdr:spPr>
              <a:xfrm>
                <a:off x="3038475" y="7496176"/>
                <a:ext cx="1620000" cy="2571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B0929295-2125-40B0-9508-B53B4F3EA2BF}" type="TxLink">
                  <a:rPr lang="en-US" sz="1200" b="0" i="0" u="none" strike="noStrike">
                    <a:solidFill>
                      <a:schemeClr val="bg1"/>
                    </a:solidFill>
                    <a:latin typeface="Avenir Next LT Pro"/>
                  </a:rPr>
                  <a:pPr algn="r"/>
                  <a:t> 318,170 </a:t>
                </a:fld>
                <a:endParaRPr lang="en-CA" sz="1600">
                  <a:solidFill>
                    <a:schemeClr val="bg1"/>
                  </a:solidFill>
                  <a:latin typeface="Avenir Next LT Pro" panose="020B0504020202020204" pitchFamily="34" charset="0"/>
                </a:endParaRPr>
              </a:p>
            </xdr:txBody>
          </xdr:sp>
          <xdr:sp macro="" textlink="Pivot_tables!AW17">
            <xdr:nvSpPr>
              <xdr:cNvPr id="2241" name="TextBox 2240">
                <a:extLst>
                  <a:ext uri="{FF2B5EF4-FFF2-40B4-BE49-F238E27FC236}">
                    <a16:creationId xmlns:a16="http://schemas.microsoft.com/office/drawing/2014/main" id="{00000000-0008-0000-0100-0000C1080000}"/>
                  </a:ext>
                </a:extLst>
              </xdr:cNvPr>
              <xdr:cNvSpPr txBox="1"/>
            </xdr:nvSpPr>
            <xdr:spPr>
              <a:xfrm>
                <a:off x="3038475" y="8029576"/>
                <a:ext cx="1620000" cy="2571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5B4B0428-2D74-4D15-AE19-4B3A2D7EFD34}" type="TxLink">
                  <a:rPr lang="en-US" sz="1200" b="0" i="0" u="none" strike="noStrike">
                    <a:solidFill>
                      <a:schemeClr val="bg1"/>
                    </a:solidFill>
                    <a:latin typeface="Avenir Next LT Pro"/>
                  </a:rPr>
                  <a:pPr algn="r"/>
                  <a:t> 198,764 </a:t>
                </a:fld>
                <a:endParaRPr lang="en-CA" sz="1600">
                  <a:solidFill>
                    <a:schemeClr val="bg1"/>
                  </a:solidFill>
                  <a:latin typeface="Avenir Next LT Pro" panose="020B0504020202020204" pitchFamily="34" charset="0"/>
                </a:endParaRPr>
              </a:p>
            </xdr:txBody>
          </xdr:sp>
        </xdr:grpSp>
      </xdr:grpSp>
      <xdr:grpSp>
        <xdr:nvGrpSpPr>
          <xdr:cNvPr id="51" name="Group 50">
            <a:extLst>
              <a:ext uri="{FF2B5EF4-FFF2-40B4-BE49-F238E27FC236}">
                <a16:creationId xmlns:a16="http://schemas.microsoft.com/office/drawing/2014/main" id="{00000000-0008-0000-0100-000033000000}"/>
              </a:ext>
            </a:extLst>
          </xdr:cNvPr>
          <xdr:cNvGrpSpPr/>
        </xdr:nvGrpSpPr>
        <xdr:grpSpPr>
          <a:xfrm>
            <a:off x="4273114" y="7138210"/>
            <a:ext cx="2880000" cy="1313471"/>
            <a:chOff x="2505075" y="5813599"/>
            <a:chExt cx="2538300" cy="1015826"/>
          </a:xfrm>
        </xdr:grpSpPr>
        <xdr:grpSp>
          <xdr:nvGrpSpPr>
            <xdr:cNvPr id="52" name="Group 51">
              <a:extLst>
                <a:ext uri="{FF2B5EF4-FFF2-40B4-BE49-F238E27FC236}">
                  <a16:creationId xmlns:a16="http://schemas.microsoft.com/office/drawing/2014/main" id="{00000000-0008-0000-0100-000034000000}"/>
                </a:ext>
              </a:extLst>
            </xdr:cNvPr>
            <xdr:cNvGrpSpPr/>
          </xdr:nvGrpSpPr>
          <xdr:grpSpPr>
            <a:xfrm>
              <a:off x="2505075" y="5813599"/>
              <a:ext cx="2309706" cy="1015826"/>
              <a:chOff x="3038475" y="7270924"/>
              <a:chExt cx="2309706" cy="1015826"/>
            </a:xfrm>
          </xdr:grpSpPr>
          <xdr:sp macro="" textlink="">
            <xdr:nvSpPr>
              <xdr:cNvPr id="57" name="TextBox 56">
                <a:extLst>
                  <a:ext uri="{FF2B5EF4-FFF2-40B4-BE49-F238E27FC236}">
                    <a16:creationId xmlns:a16="http://schemas.microsoft.com/office/drawing/2014/main" id="{00000000-0008-0000-0100-000039000000}"/>
                  </a:ext>
                </a:extLst>
              </xdr:cNvPr>
              <xdr:cNvSpPr txBox="1"/>
            </xdr:nvSpPr>
            <xdr:spPr>
              <a:xfrm>
                <a:off x="3038475" y="7270924"/>
                <a:ext cx="2309706" cy="2571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CA" sz="1400">
                    <a:solidFill>
                      <a:srgbClr val="D43260"/>
                    </a:solidFill>
                    <a:latin typeface="Avenir Next LT Pro" panose="020B0504020202020204" pitchFamily="34" charset="0"/>
                  </a:rPr>
                  <a:t>Least Performing Products</a:t>
                </a:r>
              </a:p>
            </xdr:txBody>
          </xdr:sp>
          <xdr:sp macro="" textlink="Pivot_tables!AX21">
            <xdr:nvSpPr>
              <xdr:cNvPr id="58" name="TextBox 57">
                <a:extLst>
                  <a:ext uri="{FF2B5EF4-FFF2-40B4-BE49-F238E27FC236}">
                    <a16:creationId xmlns:a16="http://schemas.microsoft.com/office/drawing/2014/main" id="{00000000-0008-0000-0100-00003A000000}"/>
                  </a:ext>
                </a:extLst>
              </xdr:cNvPr>
              <xdr:cNvSpPr txBox="1"/>
            </xdr:nvSpPr>
            <xdr:spPr>
              <a:xfrm>
                <a:off x="3038475" y="7762876"/>
                <a:ext cx="1620000" cy="2571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fld id="{92D30DFF-0C53-44ED-A810-A0A70AF5EEC0}" type="TxLink">
                  <a:rPr lang="en-US" sz="1200" b="0" i="0" u="none" strike="noStrike">
                    <a:solidFill>
                      <a:schemeClr val="bg1"/>
                    </a:solidFill>
                    <a:latin typeface="Avenir Next LT Pro"/>
                  </a:rPr>
                  <a:pPr/>
                  <a:t>Labels</a:t>
                </a:fld>
                <a:endParaRPr lang="en-CA" sz="1400">
                  <a:solidFill>
                    <a:schemeClr val="bg1"/>
                  </a:solidFill>
                  <a:latin typeface="Avenir Next LT Pro" panose="020B0504020202020204" pitchFamily="34" charset="0"/>
                </a:endParaRPr>
              </a:p>
            </xdr:txBody>
          </xdr:sp>
          <xdr:sp macro="" textlink="Pivot_tables!AX20">
            <xdr:nvSpPr>
              <xdr:cNvPr id="59" name="TextBox 58">
                <a:extLst>
                  <a:ext uri="{FF2B5EF4-FFF2-40B4-BE49-F238E27FC236}">
                    <a16:creationId xmlns:a16="http://schemas.microsoft.com/office/drawing/2014/main" id="{00000000-0008-0000-0100-00003B000000}"/>
                  </a:ext>
                </a:extLst>
              </xdr:cNvPr>
              <xdr:cNvSpPr txBox="1"/>
            </xdr:nvSpPr>
            <xdr:spPr>
              <a:xfrm>
                <a:off x="3038475" y="7496176"/>
                <a:ext cx="1620000" cy="2571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fld id="{7405F9CF-25A4-45AA-BAA7-70013A265618}" type="TxLink">
                  <a:rPr lang="en-US" sz="1200" b="0" i="0" u="none" strike="noStrike">
                    <a:solidFill>
                      <a:schemeClr val="bg1"/>
                    </a:solidFill>
                    <a:latin typeface="Avenir Next LT Pro"/>
                  </a:rPr>
                  <a:pPr/>
                  <a:t>Rubber Bands</a:t>
                </a:fld>
                <a:endParaRPr lang="en-CA" sz="1400">
                  <a:solidFill>
                    <a:schemeClr val="bg1"/>
                  </a:solidFill>
                  <a:latin typeface="Avenir Next LT Pro" panose="020B0504020202020204" pitchFamily="34" charset="0"/>
                </a:endParaRPr>
              </a:p>
            </xdr:txBody>
          </xdr:sp>
          <xdr:sp macro="" textlink="Pivot_tables!AX22">
            <xdr:nvSpPr>
              <xdr:cNvPr id="60" name="TextBox 59">
                <a:extLst>
                  <a:ext uri="{FF2B5EF4-FFF2-40B4-BE49-F238E27FC236}">
                    <a16:creationId xmlns:a16="http://schemas.microsoft.com/office/drawing/2014/main" id="{00000000-0008-0000-0100-00003C000000}"/>
                  </a:ext>
                </a:extLst>
              </xdr:cNvPr>
              <xdr:cNvSpPr txBox="1"/>
            </xdr:nvSpPr>
            <xdr:spPr>
              <a:xfrm>
                <a:off x="3038475" y="8029576"/>
                <a:ext cx="1921475" cy="2571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fld id="{2B13961E-2D77-4D9D-85D0-D1E4477FDCED}" type="TxLink">
                  <a:rPr lang="en-US" sz="1200" b="0" i="0" u="none" strike="noStrike">
                    <a:solidFill>
                      <a:schemeClr val="bg1"/>
                    </a:solidFill>
                    <a:latin typeface="Avenir Next LT Pro"/>
                  </a:rPr>
                  <a:pPr/>
                  <a:t>Scissors, Rulers and Trimmers</a:t>
                </a:fld>
                <a:endParaRPr lang="en-CA" sz="1400">
                  <a:solidFill>
                    <a:schemeClr val="bg1"/>
                  </a:solidFill>
                  <a:latin typeface="Avenir Next LT Pro" panose="020B0504020202020204" pitchFamily="34" charset="0"/>
                </a:endParaRPr>
              </a:p>
            </xdr:txBody>
          </xdr:sp>
        </xdr:grpSp>
        <xdr:grpSp>
          <xdr:nvGrpSpPr>
            <xdr:cNvPr id="53" name="Group 52">
              <a:extLst>
                <a:ext uri="{FF2B5EF4-FFF2-40B4-BE49-F238E27FC236}">
                  <a16:creationId xmlns:a16="http://schemas.microsoft.com/office/drawing/2014/main" id="{00000000-0008-0000-0100-000035000000}"/>
                </a:ext>
              </a:extLst>
            </xdr:cNvPr>
            <xdr:cNvGrpSpPr/>
          </xdr:nvGrpSpPr>
          <xdr:grpSpPr>
            <a:xfrm>
              <a:off x="4143375" y="6038851"/>
              <a:ext cx="900000" cy="790574"/>
              <a:chOff x="3038475" y="7496176"/>
              <a:chExt cx="1620000" cy="790574"/>
            </a:xfrm>
          </xdr:grpSpPr>
          <xdr:sp macro="" textlink="Pivot_tables!AW21">
            <xdr:nvSpPr>
              <xdr:cNvPr id="54" name="TextBox 53">
                <a:extLst>
                  <a:ext uri="{FF2B5EF4-FFF2-40B4-BE49-F238E27FC236}">
                    <a16:creationId xmlns:a16="http://schemas.microsoft.com/office/drawing/2014/main" id="{00000000-0008-0000-0100-000036000000}"/>
                  </a:ext>
                </a:extLst>
              </xdr:cNvPr>
              <xdr:cNvSpPr txBox="1"/>
            </xdr:nvSpPr>
            <xdr:spPr>
              <a:xfrm>
                <a:off x="3038475" y="7762876"/>
                <a:ext cx="1620000" cy="2571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2FE1AD60-A701-47A4-A62D-78BB7CADD5BD}" type="TxLink">
                  <a:rPr lang="en-US" sz="1200" b="0" i="0" u="none" strike="noStrike">
                    <a:solidFill>
                      <a:schemeClr val="bg1"/>
                    </a:solidFill>
                    <a:latin typeface="Avenir Next LT Pro"/>
                  </a:rPr>
                  <a:pPr algn="r"/>
                  <a:t> 4,915 </a:t>
                </a:fld>
                <a:endParaRPr lang="en-CA" sz="1600">
                  <a:solidFill>
                    <a:schemeClr val="bg1"/>
                  </a:solidFill>
                  <a:latin typeface="Avenir Next LT Pro" panose="020B0504020202020204" pitchFamily="34" charset="0"/>
                </a:endParaRPr>
              </a:p>
            </xdr:txBody>
          </xdr:sp>
          <xdr:sp macro="" textlink="Pivot_tables!AW20">
            <xdr:nvSpPr>
              <xdr:cNvPr id="55" name="TextBox 54">
                <a:extLst>
                  <a:ext uri="{FF2B5EF4-FFF2-40B4-BE49-F238E27FC236}">
                    <a16:creationId xmlns:a16="http://schemas.microsoft.com/office/drawing/2014/main" id="{00000000-0008-0000-0100-000037000000}"/>
                  </a:ext>
                </a:extLst>
              </xdr:cNvPr>
              <xdr:cNvSpPr txBox="1"/>
            </xdr:nvSpPr>
            <xdr:spPr>
              <a:xfrm>
                <a:off x="3038475" y="7496176"/>
                <a:ext cx="1620000" cy="2571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5911899B-A892-4F07-910E-EAA5BA73B9CA}" type="TxLink">
                  <a:rPr lang="en-US" sz="1200" b="0" i="0" u="none" strike="noStrike">
                    <a:solidFill>
                      <a:schemeClr val="bg1"/>
                    </a:solidFill>
                    <a:latin typeface="Avenir Next LT Pro"/>
                  </a:rPr>
                  <a:pPr algn="r"/>
                  <a:t> 1,789 </a:t>
                </a:fld>
                <a:endParaRPr lang="en-CA" sz="1600">
                  <a:solidFill>
                    <a:schemeClr val="bg1"/>
                  </a:solidFill>
                  <a:latin typeface="Avenir Next LT Pro" panose="020B0504020202020204" pitchFamily="34" charset="0"/>
                </a:endParaRPr>
              </a:p>
            </xdr:txBody>
          </xdr:sp>
          <xdr:sp macro="" textlink="Pivot_tables!AW22">
            <xdr:nvSpPr>
              <xdr:cNvPr id="56" name="TextBox 55">
                <a:extLst>
                  <a:ext uri="{FF2B5EF4-FFF2-40B4-BE49-F238E27FC236}">
                    <a16:creationId xmlns:a16="http://schemas.microsoft.com/office/drawing/2014/main" id="{00000000-0008-0000-0100-000038000000}"/>
                  </a:ext>
                </a:extLst>
              </xdr:cNvPr>
              <xdr:cNvSpPr txBox="1"/>
            </xdr:nvSpPr>
            <xdr:spPr>
              <a:xfrm>
                <a:off x="3038475" y="8029576"/>
                <a:ext cx="1620000" cy="2571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A79D9877-8131-4A6B-850D-82A08022CADF}" type="TxLink">
                  <a:rPr lang="en-US" sz="1200" b="0" i="0" u="none" strike="noStrike">
                    <a:solidFill>
                      <a:schemeClr val="bg1"/>
                    </a:solidFill>
                    <a:latin typeface="Avenir Next LT Pro"/>
                  </a:rPr>
                  <a:pPr algn="r"/>
                  <a:t> 6,752 </a:t>
                </a:fld>
                <a:endParaRPr lang="en-CA" sz="1600">
                  <a:solidFill>
                    <a:schemeClr val="bg1"/>
                  </a:solidFill>
                  <a:latin typeface="Avenir Next LT Pro" panose="020B0504020202020204" pitchFamily="34" charset="0"/>
                </a:endParaRPr>
              </a:p>
            </xdr:txBody>
          </xdr:sp>
        </xdr:grpSp>
      </xdr:grpSp>
    </xdr:grpSp>
    <xdr:clientData/>
  </xdr:twoCellAnchor>
  <xdr:twoCellAnchor editAs="absolute">
    <xdr:from>
      <xdr:col>21</xdr:col>
      <xdr:colOff>394939</xdr:colOff>
      <xdr:row>37</xdr:row>
      <xdr:rowOff>114300</xdr:rowOff>
    </xdr:from>
    <xdr:to>
      <xdr:col>27</xdr:col>
      <xdr:colOff>233015</xdr:colOff>
      <xdr:row>50</xdr:row>
      <xdr:rowOff>171450</xdr:rowOff>
    </xdr:to>
    <xdr:graphicFrame macro="">
      <xdr:nvGraphicFramePr>
        <xdr:cNvPr id="2282" name="Chart 2281">
          <a:extLst>
            <a:ext uri="{FF2B5EF4-FFF2-40B4-BE49-F238E27FC236}">
              <a16:creationId xmlns:a16="http://schemas.microsoft.com/office/drawing/2014/main" id="{00000000-0008-0000-0100-0000EA08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333375</xdr:colOff>
      <xdr:row>3</xdr:row>
      <xdr:rowOff>38100</xdr:rowOff>
    </xdr:from>
    <xdr:to>
      <xdr:col>19</xdr:col>
      <xdr:colOff>9525</xdr:colOff>
      <xdr:row>6</xdr:row>
      <xdr:rowOff>95250</xdr:rowOff>
    </xdr:to>
    <xdr:grpSp>
      <xdr:nvGrpSpPr>
        <xdr:cNvPr id="2271" name="Group 2270">
          <a:extLst>
            <a:ext uri="{FF2B5EF4-FFF2-40B4-BE49-F238E27FC236}">
              <a16:creationId xmlns:a16="http://schemas.microsoft.com/office/drawing/2014/main" id="{00000000-0008-0000-0100-0000DF080000}"/>
            </a:ext>
          </a:extLst>
        </xdr:cNvPr>
        <xdr:cNvGrpSpPr/>
      </xdr:nvGrpSpPr>
      <xdr:grpSpPr>
        <a:xfrm>
          <a:off x="6429375" y="523875"/>
          <a:ext cx="5162550" cy="542925"/>
          <a:chOff x="6429375" y="523875"/>
          <a:chExt cx="5162550" cy="542925"/>
        </a:xfrm>
      </xdr:grpSpPr>
      <xdr:grpSp>
        <xdr:nvGrpSpPr>
          <xdr:cNvPr id="2270" name="Group 2269">
            <a:extLst>
              <a:ext uri="{FF2B5EF4-FFF2-40B4-BE49-F238E27FC236}">
                <a16:creationId xmlns:a16="http://schemas.microsoft.com/office/drawing/2014/main" id="{00000000-0008-0000-0100-0000DE080000}"/>
              </a:ext>
            </a:extLst>
          </xdr:cNvPr>
          <xdr:cNvGrpSpPr/>
        </xdr:nvGrpSpPr>
        <xdr:grpSpPr>
          <a:xfrm>
            <a:off x="6561381" y="671719"/>
            <a:ext cx="4792419" cy="261525"/>
            <a:chOff x="6561381" y="671719"/>
            <a:chExt cx="4792419" cy="261525"/>
          </a:xfrm>
        </xdr:grpSpPr>
        <xdr:grpSp>
          <xdr:nvGrpSpPr>
            <xdr:cNvPr id="2259" name="Group 2258">
              <a:extLst>
                <a:ext uri="{FF2B5EF4-FFF2-40B4-BE49-F238E27FC236}">
                  <a16:creationId xmlns:a16="http://schemas.microsoft.com/office/drawing/2014/main" id="{00000000-0008-0000-0100-0000D3080000}"/>
                </a:ext>
              </a:extLst>
            </xdr:cNvPr>
            <xdr:cNvGrpSpPr/>
          </xdr:nvGrpSpPr>
          <xdr:grpSpPr>
            <a:xfrm>
              <a:off x="6561381" y="671719"/>
              <a:ext cx="4792419" cy="259350"/>
              <a:chOff x="6561381" y="671719"/>
              <a:chExt cx="4792419" cy="259350"/>
            </a:xfrm>
          </xdr:grpSpPr>
          <xdr:sp macro="" textlink="">
            <xdr:nvSpPr>
              <xdr:cNvPr id="27" name="TextBox 26">
                <a:extLst>
                  <a:ext uri="{FF2B5EF4-FFF2-40B4-BE49-F238E27FC236}">
                    <a16:creationId xmlns:a16="http://schemas.microsoft.com/office/drawing/2014/main" id="{00000000-0008-0000-0100-00001B000000}"/>
                  </a:ext>
                </a:extLst>
              </xdr:cNvPr>
              <xdr:cNvSpPr txBox="1"/>
            </xdr:nvSpPr>
            <xdr:spPr>
              <a:xfrm>
                <a:off x="6561381" y="671719"/>
                <a:ext cx="1525344"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US" sz="1600" b="0" i="0" u="none" strike="noStrike">
                    <a:solidFill>
                      <a:srgbClr val="D43260"/>
                    </a:solidFill>
                    <a:latin typeface="Avenir Next LT Pro"/>
                  </a:rPr>
                  <a:t>Sales Trend</a:t>
                </a:r>
              </a:p>
            </xdr:txBody>
          </xdr:sp>
          <xdr:sp macro="" textlink="">
            <xdr:nvSpPr>
              <xdr:cNvPr id="30" name="TextBox 29">
                <a:extLst>
                  <a:ext uri="{FF2B5EF4-FFF2-40B4-BE49-F238E27FC236}">
                    <a16:creationId xmlns:a16="http://schemas.microsoft.com/office/drawing/2014/main" id="{00000000-0008-0000-0100-00001E000000}"/>
                  </a:ext>
                </a:extLst>
              </xdr:cNvPr>
              <xdr:cNvSpPr txBox="1"/>
            </xdr:nvSpPr>
            <xdr:spPr>
              <a:xfrm>
                <a:off x="8035029" y="673894"/>
                <a:ext cx="1509021"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US" sz="1600" b="0" i="0" u="none" strike="noStrike">
                    <a:solidFill>
                      <a:srgbClr val="D43260"/>
                    </a:solidFill>
                    <a:latin typeface="Avenir Next LT Pro"/>
                  </a:rPr>
                  <a:t>Profit Trend</a:t>
                </a:r>
              </a:p>
            </xdr:txBody>
          </xdr:sp>
          <xdr:sp macro="" textlink="">
            <xdr:nvSpPr>
              <xdr:cNvPr id="33" name="TextBox 32">
                <a:extLst>
                  <a:ext uri="{FF2B5EF4-FFF2-40B4-BE49-F238E27FC236}">
                    <a16:creationId xmlns:a16="http://schemas.microsoft.com/office/drawing/2014/main" id="{00000000-0008-0000-0100-000021000000}"/>
                  </a:ext>
                </a:extLst>
              </xdr:cNvPr>
              <xdr:cNvSpPr txBox="1"/>
            </xdr:nvSpPr>
            <xdr:spPr>
              <a:xfrm>
                <a:off x="9542706" y="671719"/>
                <a:ext cx="1811094"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US" sz="1600" b="0" i="0" u="none" strike="noStrike">
                    <a:solidFill>
                      <a:srgbClr val="D43260"/>
                    </a:solidFill>
                    <a:latin typeface="Avenir Next LT Pro"/>
                  </a:rPr>
                  <a:t>Quantity Trend</a:t>
                </a:r>
              </a:p>
            </xdr:txBody>
          </xdr:sp>
        </xdr:grpSp>
        <mc:AlternateContent xmlns:mc="http://schemas.openxmlformats.org/markup-compatibility/2006">
          <mc:Choice xmlns:a14="http://schemas.microsoft.com/office/drawing/2010/main" Requires="a14">
            <xdr:grpSp>
              <xdr:nvGrpSpPr>
                <xdr:cNvPr id="2260" name="Group 2259">
                  <a:extLst>
                    <a:ext uri="{FF2B5EF4-FFF2-40B4-BE49-F238E27FC236}">
                      <a16:creationId xmlns:a16="http://schemas.microsoft.com/office/drawing/2014/main" id="{00000000-0008-0000-0100-0000D4080000}"/>
                    </a:ext>
                  </a:extLst>
                </xdr:cNvPr>
                <xdr:cNvGrpSpPr/>
              </xdr:nvGrpSpPr>
              <xdr:grpSpPr>
                <a:xfrm>
                  <a:off x="6657705" y="678655"/>
                  <a:ext cx="4486545" cy="254589"/>
                  <a:chOff x="6657705" y="678655"/>
                  <a:chExt cx="4486545" cy="254589"/>
                </a:xfrm>
              </xdr:grpSpPr>
              <xdr:sp macro="" textlink="">
                <xdr:nvSpPr>
                  <xdr:cNvPr id="2050" name="Option Button 2"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6657705" y="681243"/>
                    <a:ext cx="1190895" cy="2520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051" name="Option Button 3"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8112303" y="678655"/>
                    <a:ext cx="1222198" cy="2520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052" name="Option Button 4"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9629506" y="681244"/>
                    <a:ext cx="1514744" cy="2520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mc:Choice>
          <mc:Fallback/>
        </mc:AlternateContent>
      </xdr:grpSp>
      <mc:AlternateContent xmlns:mc="http://schemas.openxmlformats.org/markup-compatibility/2006">
        <mc:Choice xmlns:a14="http://schemas.microsoft.com/office/drawing/2010/main" Requires="a14">
          <xdr:sp macro="" textlink="">
            <xdr:nvSpPr>
              <xdr:cNvPr id="2049" name="Group Box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6429375" y="523875"/>
                <a:ext cx="5162550" cy="542925"/>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CA" sz="800" b="0" i="0" u="none" strike="noStrike" baseline="0">
                    <a:solidFill>
                      <a:srgbClr val="000000"/>
                    </a:solidFill>
                    <a:latin typeface="Segoe UI"/>
                    <a:cs typeface="Segoe UI"/>
                  </a:rPr>
                  <a:t>Group Box 1</a:t>
                </a:r>
              </a:p>
            </xdr:txBody>
          </xdr:sp>
        </mc:Choice>
        <mc:Fallback/>
      </mc:AlternateContent>
    </xdr:grpSp>
    <xdr:clientData/>
  </xdr:twoCellAnchor>
  <xdr:twoCellAnchor>
    <xdr:from>
      <xdr:col>21</xdr:col>
      <xdr:colOff>445350</xdr:colOff>
      <xdr:row>34</xdr:row>
      <xdr:rowOff>104775</xdr:rowOff>
    </xdr:from>
    <xdr:to>
      <xdr:col>27</xdr:col>
      <xdr:colOff>197700</xdr:colOff>
      <xdr:row>37</xdr:row>
      <xdr:rowOff>123825</xdr:rowOff>
    </xdr:to>
    <xdr:grpSp>
      <xdr:nvGrpSpPr>
        <xdr:cNvPr id="2274" name="Group 2273">
          <a:extLst>
            <a:ext uri="{FF2B5EF4-FFF2-40B4-BE49-F238E27FC236}">
              <a16:creationId xmlns:a16="http://schemas.microsoft.com/office/drawing/2014/main" id="{00000000-0008-0000-0100-0000E2080000}"/>
            </a:ext>
          </a:extLst>
        </xdr:cNvPr>
        <xdr:cNvGrpSpPr/>
      </xdr:nvGrpSpPr>
      <xdr:grpSpPr>
        <a:xfrm>
          <a:off x="13246950" y="5638800"/>
          <a:ext cx="3409950" cy="590550"/>
          <a:chOff x="13246950" y="5638800"/>
          <a:chExt cx="3409950" cy="590550"/>
        </a:xfrm>
      </xdr:grpSpPr>
      <mc:AlternateContent xmlns:mc="http://schemas.openxmlformats.org/markup-compatibility/2006">
        <mc:Choice xmlns:a14="http://schemas.microsoft.com/office/drawing/2010/main" Requires="a14">
          <xdr:sp macro="" textlink="">
            <xdr:nvSpPr>
              <xdr:cNvPr id="2058" name="Group Box 10" hidden="1">
                <a:extLst>
                  <a:ext uri="{63B3BB69-23CF-44E3-9099-C40C66FF867C}">
                    <a14:compatExt spid="_x0000_s2058"/>
                  </a:ext>
                  <a:ext uri="{FF2B5EF4-FFF2-40B4-BE49-F238E27FC236}">
                    <a16:creationId xmlns:a16="http://schemas.microsoft.com/office/drawing/2014/main" id="{00000000-0008-0000-0100-00000A080000}"/>
                  </a:ext>
                </a:extLst>
              </xdr:cNvPr>
              <xdr:cNvSpPr/>
            </xdr:nvSpPr>
            <xdr:spPr bwMode="auto">
              <a:xfrm>
                <a:off x="13246950" y="5638800"/>
                <a:ext cx="3409950" cy="5905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CA" sz="800" b="0" i="0" u="none" strike="noStrike" baseline="0">
                    <a:solidFill>
                      <a:srgbClr val="000000"/>
                    </a:solidFill>
                    <a:latin typeface="Segoe UI"/>
                    <a:cs typeface="Segoe UI"/>
                  </a:rPr>
                  <a:t>Group Box 10</a:t>
                </a:r>
              </a:p>
            </xdr:txBody>
          </xdr:sp>
        </mc:Choice>
        <mc:Fallback/>
      </mc:AlternateContent>
      <xdr:grpSp>
        <xdr:nvGrpSpPr>
          <xdr:cNvPr id="2273" name="Group 2272">
            <a:extLst>
              <a:ext uri="{FF2B5EF4-FFF2-40B4-BE49-F238E27FC236}">
                <a16:creationId xmlns:a16="http://schemas.microsoft.com/office/drawing/2014/main" id="{00000000-0008-0000-0100-0000E1080000}"/>
              </a:ext>
            </a:extLst>
          </xdr:cNvPr>
          <xdr:cNvGrpSpPr/>
        </xdr:nvGrpSpPr>
        <xdr:grpSpPr>
          <a:xfrm>
            <a:off x="13472765" y="5753100"/>
            <a:ext cx="3072160" cy="354623"/>
            <a:chOff x="13472765" y="5753100"/>
            <a:chExt cx="3072160" cy="354623"/>
          </a:xfrm>
        </xdr:grpSpPr>
        <xdr:grpSp>
          <xdr:nvGrpSpPr>
            <xdr:cNvPr id="2279" name="Group 2278">
              <a:extLst>
                <a:ext uri="{FF2B5EF4-FFF2-40B4-BE49-F238E27FC236}">
                  <a16:creationId xmlns:a16="http://schemas.microsoft.com/office/drawing/2014/main" id="{00000000-0008-0000-0100-0000E7080000}"/>
                </a:ext>
              </a:extLst>
            </xdr:cNvPr>
            <xdr:cNvGrpSpPr/>
          </xdr:nvGrpSpPr>
          <xdr:grpSpPr>
            <a:xfrm>
              <a:off x="13634690" y="5753100"/>
              <a:ext cx="2910235" cy="354623"/>
              <a:chOff x="13696950" y="5791200"/>
              <a:chExt cx="2910235" cy="354623"/>
            </a:xfrm>
          </xdr:grpSpPr>
          <xdr:sp macro="" textlink="">
            <xdr:nvSpPr>
              <xdr:cNvPr id="2276" name="TextBox 2275">
                <a:extLst>
                  <a:ext uri="{FF2B5EF4-FFF2-40B4-BE49-F238E27FC236}">
                    <a16:creationId xmlns:a16="http://schemas.microsoft.com/office/drawing/2014/main" id="{00000000-0008-0000-0100-0000E4080000}"/>
                  </a:ext>
                </a:extLst>
              </xdr:cNvPr>
              <xdr:cNvSpPr txBox="1"/>
            </xdr:nvSpPr>
            <xdr:spPr>
              <a:xfrm>
                <a:off x="13696950" y="5791200"/>
                <a:ext cx="690910" cy="3546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CA" sz="1400">
                    <a:solidFill>
                      <a:srgbClr val="D43260"/>
                    </a:solidFill>
                    <a:latin typeface="Avenir Next LT Pro" panose="020B0504020202020204" pitchFamily="34" charset="0"/>
                  </a:rPr>
                  <a:t>Profit</a:t>
                </a:r>
              </a:p>
            </xdr:txBody>
          </xdr:sp>
          <xdr:sp macro="" textlink="">
            <xdr:nvSpPr>
              <xdr:cNvPr id="2277" name="TextBox 2276">
                <a:extLst>
                  <a:ext uri="{FF2B5EF4-FFF2-40B4-BE49-F238E27FC236}">
                    <a16:creationId xmlns:a16="http://schemas.microsoft.com/office/drawing/2014/main" id="{00000000-0008-0000-0100-0000E5080000}"/>
                  </a:ext>
                </a:extLst>
              </xdr:cNvPr>
              <xdr:cNvSpPr txBox="1"/>
            </xdr:nvSpPr>
            <xdr:spPr>
              <a:xfrm>
                <a:off x="14692313" y="5791200"/>
                <a:ext cx="886172" cy="3546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CA" sz="1400">
                    <a:solidFill>
                      <a:srgbClr val="D43260"/>
                    </a:solidFill>
                    <a:latin typeface="Avenir Next LT Pro" panose="020B0504020202020204" pitchFamily="34" charset="0"/>
                  </a:rPr>
                  <a:t>Quantity</a:t>
                </a:r>
                <a:endParaRPr lang="en-CA" sz="1100">
                  <a:solidFill>
                    <a:srgbClr val="D43260"/>
                  </a:solidFill>
                  <a:latin typeface="Avenir Next LT Pro" panose="020B0504020202020204" pitchFamily="34" charset="0"/>
                </a:endParaRPr>
              </a:p>
            </xdr:txBody>
          </xdr:sp>
          <xdr:sp macro="" textlink="">
            <xdr:nvSpPr>
              <xdr:cNvPr id="2278" name="TextBox 2277">
                <a:extLst>
                  <a:ext uri="{FF2B5EF4-FFF2-40B4-BE49-F238E27FC236}">
                    <a16:creationId xmlns:a16="http://schemas.microsoft.com/office/drawing/2014/main" id="{00000000-0008-0000-0100-0000E6080000}"/>
                  </a:ext>
                </a:extLst>
              </xdr:cNvPr>
              <xdr:cNvSpPr txBox="1"/>
            </xdr:nvSpPr>
            <xdr:spPr>
              <a:xfrm>
                <a:off x="15716251" y="5791200"/>
                <a:ext cx="890934" cy="3546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CA" sz="1400">
                    <a:solidFill>
                      <a:srgbClr val="D43260"/>
                    </a:solidFill>
                    <a:latin typeface="Avenir Next LT Pro" panose="020B0504020202020204" pitchFamily="34" charset="0"/>
                  </a:rPr>
                  <a:t>Sale</a:t>
                </a:r>
                <a:endParaRPr lang="en-CA" sz="1100">
                  <a:solidFill>
                    <a:srgbClr val="D43260"/>
                  </a:solidFill>
                  <a:latin typeface="Avenir Next LT Pro" panose="020B0504020202020204" pitchFamily="34" charset="0"/>
                </a:endParaRPr>
              </a:p>
            </xdr:txBody>
          </xdr:sp>
        </xdr:grpSp>
        <mc:AlternateContent xmlns:mc="http://schemas.openxmlformats.org/markup-compatibility/2006">
          <mc:Choice xmlns:a14="http://schemas.microsoft.com/office/drawing/2010/main" Requires="a14">
            <xdr:grpSp>
              <xdr:nvGrpSpPr>
                <xdr:cNvPr id="2272" name="Group 2271">
                  <a:extLst>
                    <a:ext uri="{FF2B5EF4-FFF2-40B4-BE49-F238E27FC236}">
                      <a16:creationId xmlns:a16="http://schemas.microsoft.com/office/drawing/2014/main" id="{00000000-0008-0000-0100-0000E0080000}"/>
                    </a:ext>
                  </a:extLst>
                </xdr:cNvPr>
                <xdr:cNvGrpSpPr/>
              </xdr:nvGrpSpPr>
              <xdr:grpSpPr>
                <a:xfrm>
                  <a:off x="13472765" y="5800725"/>
                  <a:ext cx="2529236" cy="257175"/>
                  <a:chOff x="13472765" y="5800725"/>
                  <a:chExt cx="2529236" cy="257175"/>
                </a:xfrm>
              </xdr:grpSpPr>
              <xdr:sp macro="" textlink="">
                <xdr:nvSpPr>
                  <xdr:cNvPr id="2060" name="Option Button 12" hidden="1">
                    <a:extLst>
                      <a:ext uri="{63B3BB69-23CF-44E3-9099-C40C66FF867C}">
                        <a14:compatExt spid="_x0000_s2060"/>
                      </a:ext>
                      <a:ext uri="{FF2B5EF4-FFF2-40B4-BE49-F238E27FC236}">
                        <a16:creationId xmlns:a16="http://schemas.microsoft.com/office/drawing/2014/main" id="{00000000-0008-0000-0100-00000C080000}"/>
                      </a:ext>
                    </a:extLst>
                  </xdr:cNvPr>
                  <xdr:cNvSpPr/>
                </xdr:nvSpPr>
                <xdr:spPr bwMode="auto">
                  <a:xfrm>
                    <a:off x="14453840" y="5800725"/>
                    <a:ext cx="871885" cy="2571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061" name="Option Button 13" hidden="1">
                    <a:extLst>
                      <a:ext uri="{63B3BB69-23CF-44E3-9099-C40C66FF867C}">
                        <a14:compatExt spid="_x0000_s2061"/>
                      </a:ext>
                      <a:ext uri="{FF2B5EF4-FFF2-40B4-BE49-F238E27FC236}">
                        <a16:creationId xmlns:a16="http://schemas.microsoft.com/office/drawing/2014/main" id="{00000000-0008-0000-0100-00000D080000}"/>
                      </a:ext>
                    </a:extLst>
                  </xdr:cNvPr>
                  <xdr:cNvSpPr/>
                </xdr:nvSpPr>
                <xdr:spPr bwMode="auto">
                  <a:xfrm>
                    <a:off x="15501591" y="5800725"/>
                    <a:ext cx="500410" cy="2571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059" name="Option Button 11" hidden="1">
                    <a:extLst>
                      <a:ext uri="{63B3BB69-23CF-44E3-9099-C40C66FF867C}">
                        <a14:compatExt spid="_x0000_s2059"/>
                      </a:ext>
                      <a:ext uri="{FF2B5EF4-FFF2-40B4-BE49-F238E27FC236}">
                        <a16:creationId xmlns:a16="http://schemas.microsoft.com/office/drawing/2014/main" id="{00000000-0008-0000-0100-00000B080000}"/>
                      </a:ext>
                    </a:extLst>
                  </xdr:cNvPr>
                  <xdr:cNvSpPr/>
                </xdr:nvSpPr>
                <xdr:spPr bwMode="auto">
                  <a:xfrm>
                    <a:off x="13472765" y="5800725"/>
                    <a:ext cx="624235" cy="2571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mc:Choice>
          <mc:Fallback/>
        </mc:AlternateContent>
      </xdr:grpSp>
    </xdr:grpSp>
    <xdr:clientData/>
  </xdr:twoCellAnchor>
  <xdr:twoCellAnchor>
    <xdr:from>
      <xdr:col>0</xdr:col>
      <xdr:colOff>0</xdr:colOff>
      <xdr:row>0</xdr:row>
      <xdr:rowOff>0</xdr:rowOff>
    </xdr:from>
    <xdr:to>
      <xdr:col>37</xdr:col>
      <xdr:colOff>361950</xdr:colOff>
      <xdr:row>3</xdr:row>
      <xdr:rowOff>95250</xdr:rowOff>
    </xdr:to>
    <xdr:grpSp>
      <xdr:nvGrpSpPr>
        <xdr:cNvPr id="12" name="Group 11">
          <a:extLst>
            <a:ext uri="{FF2B5EF4-FFF2-40B4-BE49-F238E27FC236}">
              <a16:creationId xmlns:a16="http://schemas.microsoft.com/office/drawing/2014/main" id="{00000000-0008-0000-0100-00000C000000}"/>
            </a:ext>
          </a:extLst>
        </xdr:cNvPr>
        <xdr:cNvGrpSpPr/>
      </xdr:nvGrpSpPr>
      <xdr:grpSpPr>
        <a:xfrm>
          <a:off x="0" y="0"/>
          <a:ext cx="22917150" cy="581025"/>
          <a:chOff x="0" y="0"/>
          <a:chExt cx="22917150" cy="581025"/>
        </a:xfrm>
      </xdr:grpSpPr>
      <xdr:grpSp>
        <xdr:nvGrpSpPr>
          <xdr:cNvPr id="13" name="Group 12">
            <a:extLst>
              <a:ext uri="{FF2B5EF4-FFF2-40B4-BE49-F238E27FC236}">
                <a16:creationId xmlns:a16="http://schemas.microsoft.com/office/drawing/2014/main" id="{00000000-0008-0000-0100-00000D000000}"/>
              </a:ext>
            </a:extLst>
          </xdr:cNvPr>
          <xdr:cNvGrpSpPr/>
        </xdr:nvGrpSpPr>
        <xdr:grpSpPr>
          <a:xfrm>
            <a:off x="0" y="0"/>
            <a:ext cx="22917150" cy="581025"/>
            <a:chOff x="0" y="0"/>
            <a:chExt cx="22917150" cy="581025"/>
          </a:xfrm>
        </xdr:grpSpPr>
        <xdr:sp macro="" textlink="">
          <xdr:nvSpPr>
            <xdr:cNvPr id="17" name="Rectangle 16">
              <a:extLst>
                <a:ext uri="{FF2B5EF4-FFF2-40B4-BE49-F238E27FC236}">
                  <a16:creationId xmlns:a16="http://schemas.microsoft.com/office/drawing/2014/main" id="{00000000-0008-0000-0100-000011000000}"/>
                </a:ext>
              </a:extLst>
            </xdr:cNvPr>
            <xdr:cNvSpPr/>
          </xdr:nvSpPr>
          <xdr:spPr>
            <a:xfrm>
              <a:off x="0" y="0"/>
              <a:ext cx="22917150" cy="457200"/>
            </a:xfrm>
            <a:prstGeom prst="rect">
              <a:avLst/>
            </a:prstGeom>
            <a:solidFill>
              <a:srgbClr val="1D1D3C"/>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pic>
          <xdr:nvPicPr>
            <xdr:cNvPr id="18" name="Picture 17" descr="Superstore - NBC.com">
              <a:extLst>
                <a:ext uri="{FF2B5EF4-FFF2-40B4-BE49-F238E27FC236}">
                  <a16:creationId xmlns:a16="http://schemas.microsoft.com/office/drawing/2014/main" id="{00000000-0008-0000-0100-000012000000}"/>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238126" y="142875"/>
              <a:ext cx="1314450" cy="438150"/>
            </a:xfrm>
            <a:prstGeom prst="rect">
              <a:avLst/>
            </a:prstGeom>
            <a:noFill/>
            <a:effectLst>
              <a:outerShdw blurRad="50800" dist="38100" dir="2700000" algn="tl" rotWithShape="0">
                <a:schemeClr val="tx1">
                  <a:alpha val="40000"/>
                </a:schemeClr>
              </a:outerShdw>
            </a:effectLst>
            <a:extLst>
              <a:ext uri="{909E8E84-426E-40DD-AFC4-6F175D3DCCD1}">
                <a14:hiddenFill xmlns:a14="http://schemas.microsoft.com/office/drawing/2010/main">
                  <a:solidFill>
                    <a:srgbClr val="FFFFFF"/>
                  </a:solidFill>
                </a14:hiddenFill>
              </a:ext>
            </a:extLst>
          </xdr:spPr>
        </xdr:pic>
        <xdr:sp macro="" textlink="">
          <xdr:nvSpPr>
            <xdr:cNvPr id="20" name="TextBox 19">
              <a:hlinkClick xmlns:r="http://schemas.openxmlformats.org/officeDocument/2006/relationships" r:id="rId5" tooltip="Distribution"/>
              <a:extLst>
                <a:ext uri="{FF2B5EF4-FFF2-40B4-BE49-F238E27FC236}">
                  <a16:creationId xmlns:a16="http://schemas.microsoft.com/office/drawing/2014/main" id="{00000000-0008-0000-0100-000014000000}"/>
                </a:ext>
              </a:extLst>
            </xdr:cNvPr>
            <xdr:cNvSpPr txBox="1"/>
          </xdr:nvSpPr>
          <xdr:spPr>
            <a:xfrm>
              <a:off x="12355214" y="73558"/>
              <a:ext cx="1222374" cy="31008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CA" sz="1400">
                  <a:solidFill>
                    <a:schemeClr val="bg1"/>
                  </a:solidFill>
                  <a:latin typeface="Avenir Next LT Pro" panose="020B0504020202020204" pitchFamily="34" charset="0"/>
                </a:rPr>
                <a:t>Distribution</a:t>
              </a:r>
            </a:p>
          </xdr:txBody>
        </xdr:sp>
        <xdr:sp macro="" textlink="">
          <xdr:nvSpPr>
            <xdr:cNvPr id="21" name="TextBox 20">
              <a:hlinkClick xmlns:r="http://schemas.openxmlformats.org/officeDocument/2006/relationships" r:id="rId6" tooltip="Sales &amp; Profit"/>
              <a:extLst>
                <a:ext uri="{FF2B5EF4-FFF2-40B4-BE49-F238E27FC236}">
                  <a16:creationId xmlns:a16="http://schemas.microsoft.com/office/drawing/2014/main" id="{00000000-0008-0000-0100-000015000000}"/>
                </a:ext>
              </a:extLst>
            </xdr:cNvPr>
            <xdr:cNvSpPr txBox="1"/>
          </xdr:nvSpPr>
          <xdr:spPr>
            <a:xfrm>
              <a:off x="10029825" y="73558"/>
              <a:ext cx="1266824" cy="31008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CA" sz="1400">
                  <a:solidFill>
                    <a:schemeClr val="bg1"/>
                  </a:solidFill>
                  <a:latin typeface="Avenir Next LT Pro" panose="020B0504020202020204" pitchFamily="34" charset="0"/>
                </a:rPr>
                <a:t>Sales &amp;</a:t>
              </a:r>
              <a:r>
                <a:rPr lang="en-CA" sz="1400" baseline="0">
                  <a:solidFill>
                    <a:schemeClr val="bg1"/>
                  </a:solidFill>
                  <a:latin typeface="Avenir Next LT Pro" panose="020B0504020202020204" pitchFamily="34" charset="0"/>
                </a:rPr>
                <a:t> Profit</a:t>
              </a:r>
              <a:endParaRPr lang="en-CA" sz="1400">
                <a:solidFill>
                  <a:schemeClr val="bg1"/>
                </a:solidFill>
                <a:latin typeface="Avenir Next LT Pro" panose="020B0504020202020204" pitchFamily="34" charset="0"/>
              </a:endParaRPr>
            </a:p>
          </xdr:txBody>
        </xdr:sp>
        <xdr:sp macro="" textlink="">
          <xdr:nvSpPr>
            <xdr:cNvPr id="26" name="TextBox 25">
              <a:hlinkClick xmlns:r="http://schemas.openxmlformats.org/officeDocument/2006/relationships" r:id="rId7" tooltip="Trends"/>
              <a:extLst>
                <a:ext uri="{FF2B5EF4-FFF2-40B4-BE49-F238E27FC236}">
                  <a16:creationId xmlns:a16="http://schemas.microsoft.com/office/drawing/2014/main" id="{00000000-0008-0000-0100-00001A000000}"/>
                </a:ext>
              </a:extLst>
            </xdr:cNvPr>
            <xdr:cNvSpPr txBox="1"/>
          </xdr:nvSpPr>
          <xdr:spPr>
            <a:xfrm>
              <a:off x="11441757" y="73558"/>
              <a:ext cx="768349" cy="31008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CA" sz="1400">
                  <a:solidFill>
                    <a:schemeClr val="bg1"/>
                  </a:solidFill>
                  <a:latin typeface="Avenir Next LT Pro" panose="020B0504020202020204" pitchFamily="34" charset="0"/>
                </a:rPr>
                <a:t>Trends</a:t>
              </a:r>
            </a:p>
          </xdr:txBody>
        </xdr:sp>
        <xdr:sp macro="" textlink="">
          <xdr:nvSpPr>
            <xdr:cNvPr id="28" name="TextBox 27">
              <a:extLst>
                <a:ext uri="{FF2B5EF4-FFF2-40B4-BE49-F238E27FC236}">
                  <a16:creationId xmlns:a16="http://schemas.microsoft.com/office/drawing/2014/main" id="{00000000-0008-0000-0100-00001C000000}"/>
                </a:ext>
              </a:extLst>
            </xdr:cNvPr>
            <xdr:cNvSpPr txBox="1"/>
          </xdr:nvSpPr>
          <xdr:spPr>
            <a:xfrm>
              <a:off x="2505075" y="95979"/>
              <a:ext cx="2619375" cy="31008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CA" sz="1400">
                  <a:solidFill>
                    <a:schemeClr val="bg1"/>
                  </a:solidFill>
                  <a:latin typeface="Avenir Next LT Pro" panose="020B0504020202020204" pitchFamily="34" charset="0"/>
                </a:rPr>
                <a:t>Sales Performance  - FY 2015</a:t>
              </a:r>
            </a:p>
          </xdr:txBody>
        </xdr:sp>
        <xdr:sp macro="" textlink="">
          <xdr:nvSpPr>
            <xdr:cNvPr id="29" name="Rectangle: Rounded Corners 28">
              <a:extLst>
                <a:ext uri="{FF2B5EF4-FFF2-40B4-BE49-F238E27FC236}">
                  <a16:creationId xmlns:a16="http://schemas.microsoft.com/office/drawing/2014/main" id="{00000000-0008-0000-0100-00001D000000}"/>
                </a:ext>
              </a:extLst>
            </xdr:cNvPr>
            <xdr:cNvSpPr/>
          </xdr:nvSpPr>
          <xdr:spPr>
            <a:xfrm>
              <a:off x="11591287" y="361950"/>
              <a:ext cx="468000" cy="36000"/>
            </a:xfrm>
            <a:prstGeom prst="roundRect">
              <a:avLst/>
            </a:prstGeom>
            <a:solidFill>
              <a:srgbClr val="194AFE"/>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sp macro="" textlink="">
          <xdr:nvSpPr>
            <xdr:cNvPr id="31" name="TextBox 30">
              <a:hlinkClick xmlns:r="http://schemas.openxmlformats.org/officeDocument/2006/relationships" r:id="rId8" tooltip="Sales Map"/>
              <a:extLst>
                <a:ext uri="{FF2B5EF4-FFF2-40B4-BE49-F238E27FC236}">
                  <a16:creationId xmlns:a16="http://schemas.microsoft.com/office/drawing/2014/main" id="{00000000-0008-0000-0100-00001F000000}"/>
                </a:ext>
              </a:extLst>
            </xdr:cNvPr>
            <xdr:cNvSpPr txBox="1"/>
          </xdr:nvSpPr>
          <xdr:spPr>
            <a:xfrm>
              <a:off x="13722696" y="73558"/>
              <a:ext cx="1019769" cy="31008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CA" sz="1400">
                  <a:solidFill>
                    <a:schemeClr val="bg1"/>
                  </a:solidFill>
                  <a:latin typeface="Avenir Next LT Pro" panose="020B0504020202020204" pitchFamily="34" charset="0"/>
                </a:rPr>
                <a:t>Sales Map</a:t>
              </a:r>
            </a:p>
          </xdr:txBody>
        </xdr:sp>
      </xdr:grpSp>
      <xdr:pic>
        <xdr:nvPicPr>
          <xdr:cNvPr id="15" name="Picture 14">
            <a:hlinkClick xmlns:r="http://schemas.openxmlformats.org/officeDocument/2006/relationships" r:id="rId9"/>
            <a:extLst>
              <a:ext uri="{FF2B5EF4-FFF2-40B4-BE49-F238E27FC236}">
                <a16:creationId xmlns:a16="http://schemas.microsoft.com/office/drawing/2014/main" id="{00000000-0008-0000-0100-00000F00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16144875" y="114300"/>
            <a:ext cx="1680593" cy="252000"/>
          </a:xfrm>
          <a:prstGeom prst="rect">
            <a:avLst/>
          </a:prstGeom>
        </xdr:spPr>
      </xdr:pic>
    </xdr:grp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37</xdr:row>
      <xdr:rowOff>104775</xdr:rowOff>
    </xdr:from>
    <xdr:to>
      <xdr:col>29</xdr:col>
      <xdr:colOff>514350</xdr:colOff>
      <xdr:row>56</xdr:row>
      <xdr:rowOff>9525</xdr:rowOff>
    </xdr:to>
    <xdr:grpSp>
      <xdr:nvGrpSpPr>
        <xdr:cNvPr id="3242" name="Group 3241">
          <a:extLst>
            <a:ext uri="{FF2B5EF4-FFF2-40B4-BE49-F238E27FC236}">
              <a16:creationId xmlns:a16="http://schemas.microsoft.com/office/drawing/2014/main" id="{00000000-0008-0000-0200-0000AA0C0000}"/>
            </a:ext>
          </a:extLst>
        </xdr:cNvPr>
        <xdr:cNvGrpSpPr>
          <a:grpSpLocks noChangeAspect="1"/>
        </xdr:cNvGrpSpPr>
      </xdr:nvGrpSpPr>
      <xdr:grpSpPr>
        <a:xfrm>
          <a:off x="0" y="6238875"/>
          <a:ext cx="18192750" cy="2981325"/>
          <a:chOff x="0" y="6353175"/>
          <a:chExt cx="17887950" cy="2981325"/>
        </a:xfrm>
      </xdr:grpSpPr>
      <xdr:pic>
        <xdr:nvPicPr>
          <xdr:cNvPr id="3239" name="Picture 3238">
            <a:extLst>
              <a:ext uri="{FF2B5EF4-FFF2-40B4-BE49-F238E27FC236}">
                <a16:creationId xmlns:a16="http://schemas.microsoft.com/office/drawing/2014/main" id="{00000000-0008-0000-0200-0000A70C0000}"/>
              </a:ext>
            </a:extLst>
          </xdr:cNvPr>
          <xdr:cNvPicPr>
            <a:picLocks noChangeAspect="1" noChangeArrowheads="1"/>
          </xdr:cNvPicPr>
        </xdr:nvPicPr>
        <xdr:blipFill>
          <a:blip xmlns:r="http://schemas.openxmlformats.org/officeDocument/2006/relationships" r:embed="rId1">
            <a:duotone>
              <a:prstClr val="black"/>
              <a:srgbClr val="DC25FA">
                <a:tint val="45000"/>
                <a:satMod val="400000"/>
              </a:srgbClr>
            </a:duotone>
            <a:alphaModFix amt="50000"/>
            <a:extLst>
              <a:ext uri="{28A0092B-C50C-407E-A947-70E740481C1C}">
                <a14:useLocalDpi xmlns:a14="http://schemas.microsoft.com/office/drawing/2010/main" val="0"/>
              </a:ext>
            </a:extLst>
          </a:blip>
          <a:srcRect/>
          <a:stretch>
            <a:fillRect/>
          </a:stretch>
        </xdr:blipFill>
        <xdr:spPr bwMode="auto">
          <a:xfrm>
            <a:off x="0" y="6353175"/>
            <a:ext cx="5962650" cy="2981325"/>
          </a:xfrm>
          <a:prstGeom prst="rect">
            <a:avLst/>
          </a:prstGeom>
          <a:noFill/>
          <a:extLst>
            <a:ext uri="{909E8E84-426E-40DD-AFC4-6F175D3DCCD1}">
              <a14:hiddenFill xmlns:a14="http://schemas.microsoft.com/office/drawing/2010/main">
                <a:solidFill>
                  <a:srgbClr val="FFFFFF"/>
                </a:solidFill>
              </a14:hiddenFill>
            </a:ext>
          </a:extLst>
        </xdr:spPr>
      </xdr:pic>
      <xdr:pic>
        <xdr:nvPicPr>
          <xdr:cNvPr id="3240" name="Picture 3239">
            <a:extLst>
              <a:ext uri="{FF2B5EF4-FFF2-40B4-BE49-F238E27FC236}">
                <a16:creationId xmlns:a16="http://schemas.microsoft.com/office/drawing/2014/main" id="{00000000-0008-0000-0200-0000A80C0000}"/>
              </a:ext>
            </a:extLst>
          </xdr:cNvPr>
          <xdr:cNvPicPr>
            <a:picLocks noChangeAspect="1" noChangeArrowheads="1"/>
          </xdr:cNvPicPr>
        </xdr:nvPicPr>
        <xdr:blipFill>
          <a:blip xmlns:r="http://schemas.openxmlformats.org/officeDocument/2006/relationships" r:embed="rId1">
            <a:duotone>
              <a:prstClr val="black"/>
              <a:srgbClr val="DC25FA">
                <a:tint val="45000"/>
                <a:satMod val="400000"/>
              </a:srgbClr>
            </a:duotone>
            <a:alphaModFix amt="50000"/>
            <a:extLst>
              <a:ext uri="{28A0092B-C50C-407E-A947-70E740481C1C}">
                <a14:useLocalDpi xmlns:a14="http://schemas.microsoft.com/office/drawing/2010/main" val="0"/>
              </a:ext>
            </a:extLst>
          </a:blip>
          <a:srcRect/>
          <a:stretch>
            <a:fillRect/>
          </a:stretch>
        </xdr:blipFill>
        <xdr:spPr bwMode="auto">
          <a:xfrm flipH="1">
            <a:off x="5962650" y="6353175"/>
            <a:ext cx="5962650" cy="2981325"/>
          </a:xfrm>
          <a:prstGeom prst="rect">
            <a:avLst/>
          </a:prstGeom>
          <a:noFill/>
          <a:extLst>
            <a:ext uri="{909E8E84-426E-40DD-AFC4-6F175D3DCCD1}">
              <a14:hiddenFill xmlns:a14="http://schemas.microsoft.com/office/drawing/2010/main">
                <a:solidFill>
                  <a:srgbClr val="FFFFFF"/>
                </a:solidFill>
              </a14:hiddenFill>
            </a:ext>
          </a:extLst>
        </xdr:spPr>
      </xdr:pic>
      <xdr:pic>
        <xdr:nvPicPr>
          <xdr:cNvPr id="3241" name="Picture 3240">
            <a:extLst>
              <a:ext uri="{FF2B5EF4-FFF2-40B4-BE49-F238E27FC236}">
                <a16:creationId xmlns:a16="http://schemas.microsoft.com/office/drawing/2014/main" id="{00000000-0008-0000-0200-0000A90C0000}"/>
              </a:ext>
            </a:extLst>
          </xdr:cNvPr>
          <xdr:cNvPicPr>
            <a:picLocks noChangeAspect="1" noChangeArrowheads="1"/>
          </xdr:cNvPicPr>
        </xdr:nvPicPr>
        <xdr:blipFill>
          <a:blip xmlns:r="http://schemas.openxmlformats.org/officeDocument/2006/relationships" r:embed="rId1">
            <a:duotone>
              <a:prstClr val="black"/>
              <a:srgbClr val="DC25FA">
                <a:tint val="45000"/>
                <a:satMod val="400000"/>
              </a:srgbClr>
            </a:duotone>
            <a:alphaModFix amt="50000"/>
            <a:extLst>
              <a:ext uri="{28A0092B-C50C-407E-A947-70E740481C1C}">
                <a14:useLocalDpi xmlns:a14="http://schemas.microsoft.com/office/drawing/2010/main" val="0"/>
              </a:ext>
            </a:extLst>
          </a:blip>
          <a:srcRect/>
          <a:stretch>
            <a:fillRect/>
          </a:stretch>
        </xdr:blipFill>
        <xdr:spPr bwMode="auto">
          <a:xfrm>
            <a:off x="11925300" y="6353175"/>
            <a:ext cx="5962650" cy="2981325"/>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twoCellAnchor>
    <xdr:from>
      <xdr:col>0</xdr:col>
      <xdr:colOff>0</xdr:colOff>
      <xdr:row>30</xdr:row>
      <xdr:rowOff>152400</xdr:rowOff>
    </xdr:from>
    <xdr:to>
      <xdr:col>29</xdr:col>
      <xdr:colOff>428625</xdr:colOff>
      <xdr:row>50</xdr:row>
      <xdr:rowOff>57151</xdr:rowOff>
    </xdr:to>
    <xdr:grpSp>
      <xdr:nvGrpSpPr>
        <xdr:cNvPr id="3209" name="Group 3208">
          <a:extLst>
            <a:ext uri="{FF2B5EF4-FFF2-40B4-BE49-F238E27FC236}">
              <a16:creationId xmlns:a16="http://schemas.microsoft.com/office/drawing/2014/main" id="{00000000-0008-0000-0200-0000890C0000}"/>
            </a:ext>
          </a:extLst>
        </xdr:cNvPr>
        <xdr:cNvGrpSpPr/>
      </xdr:nvGrpSpPr>
      <xdr:grpSpPr>
        <a:xfrm>
          <a:off x="0" y="5153025"/>
          <a:ext cx="18107025" cy="3143251"/>
          <a:chOff x="561975" y="5295900"/>
          <a:chExt cx="18107025" cy="3143251"/>
        </a:xfrm>
      </xdr:grpSpPr>
      <xdr:grpSp>
        <xdr:nvGrpSpPr>
          <xdr:cNvPr id="3145" name="Group 3144">
            <a:extLst>
              <a:ext uri="{FF2B5EF4-FFF2-40B4-BE49-F238E27FC236}">
                <a16:creationId xmlns:a16="http://schemas.microsoft.com/office/drawing/2014/main" id="{00000000-0008-0000-0200-0000490C0000}"/>
              </a:ext>
            </a:extLst>
          </xdr:cNvPr>
          <xdr:cNvGrpSpPr/>
        </xdr:nvGrpSpPr>
        <xdr:grpSpPr>
          <a:xfrm flipH="1">
            <a:off x="9925050" y="5295900"/>
            <a:ext cx="8743950" cy="3143251"/>
            <a:chOff x="409575" y="5238750"/>
            <a:chExt cx="8743950" cy="3143251"/>
          </a:xfrm>
        </xdr:grpSpPr>
        <xdr:pic>
          <xdr:nvPicPr>
            <xdr:cNvPr id="3143" name="Picture 3142">
              <a:extLst>
                <a:ext uri="{FF2B5EF4-FFF2-40B4-BE49-F238E27FC236}">
                  <a16:creationId xmlns:a16="http://schemas.microsoft.com/office/drawing/2014/main" id="{00000000-0008-0000-0200-0000470C0000}"/>
                </a:ext>
              </a:extLst>
            </xdr:cNvPr>
            <xdr:cNvPicPr>
              <a:picLocks noChangeAspect="1" noChangeArrowheads="1"/>
            </xdr:cNvPicPr>
          </xdr:nvPicPr>
          <xdr:blipFill rotWithShape="1">
            <a:blip xmlns:r="http://schemas.openxmlformats.org/officeDocument/2006/relationships" r:embed="rId2">
              <a:duotone>
                <a:prstClr val="black"/>
                <a:srgbClr val="DC25FA">
                  <a:tint val="45000"/>
                  <a:satMod val="400000"/>
                </a:srgbClr>
              </a:duotone>
              <a:extLst>
                <a:ext uri="{28A0092B-C50C-407E-A947-70E740481C1C}">
                  <a14:useLocalDpi xmlns:a14="http://schemas.microsoft.com/office/drawing/2010/main" val="0"/>
                </a:ext>
              </a:extLst>
            </a:blip>
            <a:srcRect l="11275" t="8611" r="10948" b="8333"/>
            <a:stretch/>
          </xdr:blipFill>
          <xdr:spPr bwMode="auto">
            <a:xfrm>
              <a:off x="4619625" y="5238750"/>
              <a:ext cx="4533900" cy="2847976"/>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3144" name="Picture 3143">
              <a:extLst>
                <a:ext uri="{FF2B5EF4-FFF2-40B4-BE49-F238E27FC236}">
                  <a16:creationId xmlns:a16="http://schemas.microsoft.com/office/drawing/2014/main" id="{00000000-0008-0000-0200-0000480C0000}"/>
                </a:ext>
              </a:extLst>
            </xdr:cNvPr>
            <xdr:cNvPicPr>
              <a:picLocks noChangeAspect="1" noChangeArrowheads="1"/>
            </xdr:cNvPicPr>
          </xdr:nvPicPr>
          <xdr:blipFill rotWithShape="1">
            <a:blip xmlns:r="http://schemas.openxmlformats.org/officeDocument/2006/relationships" r:embed="rId2">
              <a:duotone>
                <a:prstClr val="black"/>
                <a:srgbClr val="DC25FA">
                  <a:tint val="45000"/>
                  <a:satMod val="400000"/>
                </a:srgbClr>
              </a:duotone>
              <a:extLst>
                <a:ext uri="{28A0092B-C50C-407E-A947-70E740481C1C}">
                  <a14:useLocalDpi xmlns:a14="http://schemas.microsoft.com/office/drawing/2010/main" val="0"/>
                </a:ext>
              </a:extLst>
            </a:blip>
            <a:srcRect l="11275" t="8611" r="10948" b="8333"/>
            <a:stretch/>
          </xdr:blipFill>
          <xdr:spPr bwMode="auto">
            <a:xfrm>
              <a:off x="409575" y="5534025"/>
              <a:ext cx="4533900" cy="2847976"/>
            </a:xfrm>
            <a:prstGeom prst="rect">
              <a:avLst/>
            </a:prstGeom>
            <a:noFill/>
            <a:ln>
              <a:noFill/>
            </a:ln>
            <a:extLst>
              <a:ext uri="{909E8E84-426E-40DD-AFC4-6F175D3DCCD1}">
                <a14:hiddenFill xmlns:a14="http://schemas.microsoft.com/office/drawing/2010/main">
                  <a:solidFill>
                    <a:srgbClr val="FFFFFF"/>
                  </a:solidFill>
                </a14:hiddenFill>
              </a:ext>
            </a:extLst>
          </xdr:spPr>
        </xdr:pic>
      </xdr:grpSp>
      <xdr:grpSp>
        <xdr:nvGrpSpPr>
          <xdr:cNvPr id="3198" name="Group 3197">
            <a:extLst>
              <a:ext uri="{FF2B5EF4-FFF2-40B4-BE49-F238E27FC236}">
                <a16:creationId xmlns:a16="http://schemas.microsoft.com/office/drawing/2014/main" id="{00000000-0008-0000-0200-00007E0C0000}"/>
              </a:ext>
            </a:extLst>
          </xdr:cNvPr>
          <xdr:cNvGrpSpPr/>
        </xdr:nvGrpSpPr>
        <xdr:grpSpPr>
          <a:xfrm>
            <a:off x="561975" y="5295900"/>
            <a:ext cx="8743950" cy="3143251"/>
            <a:chOff x="409575" y="5238750"/>
            <a:chExt cx="8743950" cy="3143251"/>
          </a:xfrm>
        </xdr:grpSpPr>
        <xdr:pic>
          <xdr:nvPicPr>
            <xdr:cNvPr id="3199" name="Picture 3198">
              <a:extLst>
                <a:ext uri="{FF2B5EF4-FFF2-40B4-BE49-F238E27FC236}">
                  <a16:creationId xmlns:a16="http://schemas.microsoft.com/office/drawing/2014/main" id="{00000000-0008-0000-0200-00007F0C0000}"/>
                </a:ext>
              </a:extLst>
            </xdr:cNvPr>
            <xdr:cNvPicPr>
              <a:picLocks noChangeAspect="1" noChangeArrowheads="1"/>
            </xdr:cNvPicPr>
          </xdr:nvPicPr>
          <xdr:blipFill rotWithShape="1">
            <a:blip xmlns:r="http://schemas.openxmlformats.org/officeDocument/2006/relationships" r:embed="rId2">
              <a:duotone>
                <a:prstClr val="black"/>
                <a:srgbClr val="DC25FA">
                  <a:tint val="45000"/>
                  <a:satMod val="400000"/>
                </a:srgbClr>
              </a:duotone>
              <a:extLst>
                <a:ext uri="{28A0092B-C50C-407E-A947-70E740481C1C}">
                  <a14:useLocalDpi xmlns:a14="http://schemas.microsoft.com/office/drawing/2010/main" val="0"/>
                </a:ext>
              </a:extLst>
            </a:blip>
            <a:srcRect l="11275" t="8611" r="10948" b="8333"/>
            <a:stretch/>
          </xdr:blipFill>
          <xdr:spPr bwMode="auto">
            <a:xfrm>
              <a:off x="4619625" y="5238750"/>
              <a:ext cx="4533900" cy="2847976"/>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3206" name="Picture 3205">
              <a:extLst>
                <a:ext uri="{FF2B5EF4-FFF2-40B4-BE49-F238E27FC236}">
                  <a16:creationId xmlns:a16="http://schemas.microsoft.com/office/drawing/2014/main" id="{00000000-0008-0000-0200-0000860C0000}"/>
                </a:ext>
              </a:extLst>
            </xdr:cNvPr>
            <xdr:cNvPicPr>
              <a:picLocks noChangeAspect="1" noChangeArrowheads="1"/>
            </xdr:cNvPicPr>
          </xdr:nvPicPr>
          <xdr:blipFill rotWithShape="1">
            <a:blip xmlns:r="http://schemas.openxmlformats.org/officeDocument/2006/relationships" r:embed="rId2">
              <a:duotone>
                <a:prstClr val="black"/>
                <a:srgbClr val="DC25FA">
                  <a:tint val="45000"/>
                  <a:satMod val="400000"/>
                </a:srgbClr>
              </a:duotone>
              <a:extLst>
                <a:ext uri="{28A0092B-C50C-407E-A947-70E740481C1C}">
                  <a14:useLocalDpi xmlns:a14="http://schemas.microsoft.com/office/drawing/2010/main" val="0"/>
                </a:ext>
              </a:extLst>
            </a:blip>
            <a:srcRect l="11275" t="8611" r="10948" b="8333"/>
            <a:stretch/>
          </xdr:blipFill>
          <xdr:spPr bwMode="auto">
            <a:xfrm>
              <a:off x="409575" y="5534025"/>
              <a:ext cx="4533900" cy="2847976"/>
            </a:xfrm>
            <a:prstGeom prst="rect">
              <a:avLst/>
            </a:prstGeom>
            <a:noFill/>
            <a:ln>
              <a:noFill/>
            </a:ln>
            <a:extLst>
              <a:ext uri="{909E8E84-426E-40DD-AFC4-6F175D3DCCD1}">
                <a14:hiddenFill xmlns:a14="http://schemas.microsoft.com/office/drawing/2010/main">
                  <a:solidFill>
                    <a:srgbClr val="FFFFFF"/>
                  </a:solidFill>
                </a14:hiddenFill>
              </a:ext>
            </a:extLst>
          </xdr:spPr>
        </xdr:pic>
      </xdr:grpSp>
    </xdr:grpSp>
    <xdr:clientData/>
  </xdr:twoCellAnchor>
  <xdr:twoCellAnchor>
    <xdr:from>
      <xdr:col>5</xdr:col>
      <xdr:colOff>607435</xdr:colOff>
      <xdr:row>12</xdr:row>
      <xdr:rowOff>2005</xdr:rowOff>
    </xdr:from>
    <xdr:to>
      <xdr:col>14</xdr:col>
      <xdr:colOff>166148</xdr:colOff>
      <xdr:row>27</xdr:row>
      <xdr:rowOff>58518</xdr:rowOff>
    </xdr:to>
    <xdr:grpSp>
      <xdr:nvGrpSpPr>
        <xdr:cNvPr id="58" name="Group 57">
          <a:extLst>
            <a:ext uri="{FF2B5EF4-FFF2-40B4-BE49-F238E27FC236}">
              <a16:creationId xmlns:a16="http://schemas.microsoft.com/office/drawing/2014/main" id="{00000000-0008-0000-0200-00003A000000}"/>
            </a:ext>
          </a:extLst>
        </xdr:cNvPr>
        <xdr:cNvGrpSpPr/>
      </xdr:nvGrpSpPr>
      <xdr:grpSpPr>
        <a:xfrm>
          <a:off x="3655435" y="1973680"/>
          <a:ext cx="5045113" cy="2599688"/>
          <a:chOff x="3655435" y="1973680"/>
          <a:chExt cx="5045113" cy="2599688"/>
        </a:xfrm>
      </xdr:grpSpPr>
      <xdr:grpSp>
        <xdr:nvGrpSpPr>
          <xdr:cNvPr id="9" name="Group 8">
            <a:extLst>
              <a:ext uri="{FF2B5EF4-FFF2-40B4-BE49-F238E27FC236}">
                <a16:creationId xmlns:a16="http://schemas.microsoft.com/office/drawing/2014/main" id="{00000000-0008-0000-0200-000009000000}"/>
              </a:ext>
            </a:extLst>
          </xdr:cNvPr>
          <xdr:cNvGrpSpPr/>
        </xdr:nvGrpSpPr>
        <xdr:grpSpPr>
          <a:xfrm>
            <a:off x="3655435" y="1973680"/>
            <a:ext cx="5045113" cy="2599688"/>
            <a:chOff x="3655435" y="1973680"/>
            <a:chExt cx="5045113" cy="2599688"/>
          </a:xfrm>
        </xdr:grpSpPr>
        <xdr:grpSp>
          <xdr:nvGrpSpPr>
            <xdr:cNvPr id="3205" name="Group 3204">
              <a:extLst>
                <a:ext uri="{FF2B5EF4-FFF2-40B4-BE49-F238E27FC236}">
                  <a16:creationId xmlns:a16="http://schemas.microsoft.com/office/drawing/2014/main" id="{00000000-0008-0000-0200-0000850C0000}"/>
                </a:ext>
              </a:extLst>
            </xdr:cNvPr>
            <xdr:cNvGrpSpPr/>
          </xdr:nvGrpSpPr>
          <xdr:grpSpPr>
            <a:xfrm>
              <a:off x="3655435" y="1973680"/>
              <a:ext cx="5045113" cy="2599688"/>
              <a:chOff x="5176487" y="4724400"/>
              <a:chExt cx="5045113" cy="2599688"/>
            </a:xfrm>
          </xdr:grpSpPr>
          <xdr:sp macro="" textlink="">
            <xdr:nvSpPr>
              <xdr:cNvPr id="8" name="Rectangle: Rounded Corners 40">
                <a:extLst>
                  <a:ext uri="{FF2B5EF4-FFF2-40B4-BE49-F238E27FC236}">
                    <a16:creationId xmlns:a16="http://schemas.microsoft.com/office/drawing/2014/main" id="{00000000-0008-0000-0200-000008000000}"/>
                  </a:ext>
                </a:extLst>
              </xdr:cNvPr>
              <xdr:cNvSpPr/>
            </xdr:nvSpPr>
            <xdr:spPr>
              <a:xfrm>
                <a:off x="5181600" y="4724400"/>
                <a:ext cx="5040000" cy="2599688"/>
              </a:xfrm>
              <a:prstGeom prst="roundRect">
                <a:avLst>
                  <a:gd name="adj" fmla="val 10439"/>
                </a:avLst>
              </a:prstGeom>
              <a:gradFill>
                <a:gsLst>
                  <a:gs pos="0">
                    <a:srgbClr val="DC25FA">
                      <a:alpha val="20000"/>
                    </a:srgbClr>
                  </a:gs>
                  <a:gs pos="63000">
                    <a:srgbClr val="9947F7">
                      <a:alpha val="20000"/>
                    </a:srgbClr>
                  </a:gs>
                </a:gsLst>
                <a:lin ang="3900000" scaled="0"/>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lvl="2" algn="ctr"/>
                <a:endParaRPr lang="en-US"/>
              </a:p>
            </xdr:txBody>
          </xdr:sp>
          <xdr:grpSp>
            <xdr:nvGrpSpPr>
              <xdr:cNvPr id="3204" name="Group 3203">
                <a:extLst>
                  <a:ext uri="{FF2B5EF4-FFF2-40B4-BE49-F238E27FC236}">
                    <a16:creationId xmlns:a16="http://schemas.microsoft.com/office/drawing/2014/main" id="{00000000-0008-0000-0200-0000840C0000}"/>
                  </a:ext>
                </a:extLst>
              </xdr:cNvPr>
              <xdr:cNvGrpSpPr/>
            </xdr:nvGrpSpPr>
            <xdr:grpSpPr>
              <a:xfrm>
                <a:off x="5176487" y="5416182"/>
                <a:ext cx="5040000" cy="1622793"/>
                <a:chOff x="5176487" y="5463807"/>
                <a:chExt cx="5040000" cy="1854870"/>
              </a:xfrm>
            </xdr:grpSpPr>
            <xdr:grpSp>
              <xdr:nvGrpSpPr>
                <xdr:cNvPr id="3200" name="Group 3199">
                  <a:extLst>
                    <a:ext uri="{FF2B5EF4-FFF2-40B4-BE49-F238E27FC236}">
                      <a16:creationId xmlns:a16="http://schemas.microsoft.com/office/drawing/2014/main" id="{00000000-0008-0000-0200-0000800C0000}"/>
                    </a:ext>
                  </a:extLst>
                </xdr:cNvPr>
                <xdr:cNvGrpSpPr/>
              </xdr:nvGrpSpPr>
              <xdr:grpSpPr>
                <a:xfrm>
                  <a:off x="8514791" y="5463807"/>
                  <a:ext cx="1701696" cy="1854870"/>
                  <a:chOff x="8514791" y="5463807"/>
                  <a:chExt cx="1701696" cy="1854870"/>
                </a:xfrm>
              </xdr:grpSpPr>
              <xdr:grpSp>
                <xdr:nvGrpSpPr>
                  <xdr:cNvPr id="3164" name="Group 3163">
                    <a:extLst>
                      <a:ext uri="{FF2B5EF4-FFF2-40B4-BE49-F238E27FC236}">
                        <a16:creationId xmlns:a16="http://schemas.microsoft.com/office/drawing/2014/main" id="{00000000-0008-0000-0200-00005C0C0000}"/>
                      </a:ext>
                    </a:extLst>
                  </xdr:cNvPr>
                  <xdr:cNvGrpSpPr/>
                </xdr:nvGrpSpPr>
                <xdr:grpSpPr>
                  <a:xfrm>
                    <a:off x="8514791" y="5463807"/>
                    <a:ext cx="1701696" cy="1575168"/>
                    <a:chOff x="8474036" y="5863857"/>
                    <a:chExt cx="1598400" cy="1216422"/>
                  </a:xfrm>
                </xdr:grpSpPr>
                <xdr:sp macro="" textlink="Pivot_tables!CC5">
                  <xdr:nvSpPr>
                    <xdr:cNvPr id="25" name="TextBox 24">
                      <a:extLst>
                        <a:ext uri="{FF2B5EF4-FFF2-40B4-BE49-F238E27FC236}">
                          <a16:creationId xmlns:a16="http://schemas.microsoft.com/office/drawing/2014/main" id="{00000000-0008-0000-0200-000019000000}"/>
                        </a:ext>
                      </a:extLst>
                    </xdr:cNvPr>
                    <xdr:cNvSpPr txBox="1"/>
                  </xdr:nvSpPr>
                  <xdr:spPr>
                    <a:xfrm>
                      <a:off x="8474036" y="5863857"/>
                      <a:ext cx="1598400" cy="352425"/>
                    </a:xfrm>
                    <a:prstGeom prst="rect">
                      <a:avLst/>
                    </a:prstGeom>
                    <a:solidFill>
                      <a:srgbClr val="1D1D3A"/>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6BD65CB3-1A29-4192-8B5E-0D80CD395DD7}" type="TxLink">
                        <a:rPr lang="en-US" sz="1400" b="0" i="0" u="none" strike="noStrike">
                          <a:ln>
                            <a:noFill/>
                          </a:ln>
                          <a:solidFill>
                            <a:srgbClr val="D43260"/>
                          </a:solidFill>
                          <a:latin typeface="Avenir Next LT Pro"/>
                        </a:rPr>
                        <a:pPr algn="r"/>
                        <a:t>Cust. Segment</a:t>
                      </a:fld>
                      <a:endParaRPr lang="en-US" sz="3200" b="0" i="0" u="none" strike="noStrike">
                        <a:ln>
                          <a:noFill/>
                        </a:ln>
                        <a:solidFill>
                          <a:srgbClr val="D43260"/>
                        </a:solidFill>
                        <a:latin typeface="Avenir Next LT Pro"/>
                      </a:endParaRPr>
                    </a:p>
                  </xdr:txBody>
                </xdr:sp>
                <xdr:grpSp>
                  <xdr:nvGrpSpPr>
                    <xdr:cNvPr id="50" name="Group 49">
                      <a:extLst>
                        <a:ext uri="{FF2B5EF4-FFF2-40B4-BE49-F238E27FC236}">
                          <a16:creationId xmlns:a16="http://schemas.microsoft.com/office/drawing/2014/main" id="{00000000-0008-0000-0200-000032000000}"/>
                        </a:ext>
                      </a:extLst>
                    </xdr:cNvPr>
                    <xdr:cNvGrpSpPr/>
                  </xdr:nvGrpSpPr>
                  <xdr:grpSpPr>
                    <a:xfrm>
                      <a:off x="8474036" y="6216281"/>
                      <a:ext cx="1597789" cy="863998"/>
                      <a:chOff x="8991825" y="6240787"/>
                      <a:chExt cx="1080000" cy="863998"/>
                    </a:xfrm>
                  </xdr:grpSpPr>
                  <xdr:sp macro="" textlink="Pivot_tables!CD5">
                    <xdr:nvSpPr>
                      <xdr:cNvPr id="26" name="TextBox 25">
                        <a:extLst>
                          <a:ext uri="{FF2B5EF4-FFF2-40B4-BE49-F238E27FC236}">
                            <a16:creationId xmlns:a16="http://schemas.microsoft.com/office/drawing/2014/main" id="{00000000-0008-0000-0200-00001A000000}"/>
                          </a:ext>
                        </a:extLst>
                      </xdr:cNvPr>
                      <xdr:cNvSpPr txBox="1"/>
                    </xdr:nvSpPr>
                    <xdr:spPr>
                      <a:xfrm>
                        <a:off x="8991825" y="6240787"/>
                        <a:ext cx="1080000" cy="216000"/>
                      </a:xfrm>
                      <a:prstGeom prst="rect">
                        <a:avLst/>
                      </a:prstGeom>
                      <a:solidFill>
                        <a:srgbClr val="1D1D3A"/>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lvl="1" algn="r"/>
                        <a:fld id="{113937E3-9FBA-4950-A447-E8AE9F07F568}" type="TxLink">
                          <a:rPr lang="en-US" sz="1100" b="0" i="0" u="none" strike="noStrike">
                            <a:ln>
                              <a:noFill/>
                            </a:ln>
                            <a:solidFill>
                              <a:schemeClr val="bg1"/>
                            </a:solidFill>
                            <a:latin typeface="Avenir Next LT Pro"/>
                          </a:rPr>
                          <a:pPr lvl="1" algn="r"/>
                          <a:t>Home Office</a:t>
                        </a:fld>
                        <a:endParaRPr lang="en-US" sz="1200" b="0" i="0" u="none" strike="noStrike">
                          <a:ln>
                            <a:noFill/>
                          </a:ln>
                          <a:solidFill>
                            <a:schemeClr val="bg1"/>
                          </a:solidFill>
                          <a:latin typeface="Avenir Next LT Pro"/>
                        </a:endParaRPr>
                      </a:p>
                    </xdr:txBody>
                  </xdr:sp>
                  <xdr:sp macro="" textlink="Pivot_tables!CE5">
                    <xdr:nvSpPr>
                      <xdr:cNvPr id="27" name="TextBox 26">
                        <a:extLst>
                          <a:ext uri="{FF2B5EF4-FFF2-40B4-BE49-F238E27FC236}">
                            <a16:creationId xmlns:a16="http://schemas.microsoft.com/office/drawing/2014/main" id="{00000000-0008-0000-0200-00001B000000}"/>
                          </a:ext>
                        </a:extLst>
                      </xdr:cNvPr>
                      <xdr:cNvSpPr txBox="1"/>
                    </xdr:nvSpPr>
                    <xdr:spPr>
                      <a:xfrm>
                        <a:off x="8991825" y="6456787"/>
                        <a:ext cx="1080000" cy="216000"/>
                      </a:xfrm>
                      <a:prstGeom prst="rect">
                        <a:avLst/>
                      </a:prstGeom>
                      <a:solidFill>
                        <a:srgbClr val="1D1D3A"/>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89185862-6810-443A-A8AA-0400C6519284}" type="TxLink">
                          <a:rPr lang="en-US" sz="1100" b="0" i="0" u="none" strike="noStrike">
                            <a:ln>
                              <a:noFill/>
                            </a:ln>
                            <a:solidFill>
                              <a:schemeClr val="bg1"/>
                            </a:solidFill>
                            <a:latin typeface="Avenir Next LT Pro"/>
                          </a:rPr>
                          <a:pPr algn="r"/>
                          <a:t>Consumer</a:t>
                        </a:fld>
                        <a:endParaRPr lang="en-US" sz="1200" b="0" i="0" u="none" strike="noStrike">
                          <a:ln>
                            <a:noFill/>
                          </a:ln>
                          <a:solidFill>
                            <a:schemeClr val="bg1"/>
                          </a:solidFill>
                          <a:latin typeface="Avenir Next LT Pro"/>
                        </a:endParaRPr>
                      </a:p>
                    </xdr:txBody>
                  </xdr:sp>
                  <xdr:sp macro="" textlink="Pivot_tables!CF5">
                    <xdr:nvSpPr>
                      <xdr:cNvPr id="28" name="TextBox 27">
                        <a:extLst>
                          <a:ext uri="{FF2B5EF4-FFF2-40B4-BE49-F238E27FC236}">
                            <a16:creationId xmlns:a16="http://schemas.microsoft.com/office/drawing/2014/main" id="{00000000-0008-0000-0200-00001C000000}"/>
                          </a:ext>
                        </a:extLst>
                      </xdr:cNvPr>
                      <xdr:cNvSpPr txBox="1"/>
                    </xdr:nvSpPr>
                    <xdr:spPr>
                      <a:xfrm>
                        <a:off x="8991825" y="6672786"/>
                        <a:ext cx="1080000" cy="216000"/>
                      </a:xfrm>
                      <a:prstGeom prst="rect">
                        <a:avLst/>
                      </a:prstGeom>
                      <a:solidFill>
                        <a:srgbClr val="1D1D3A"/>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6192A286-4C33-4A12-8F2E-2D96CB91892A}" type="TxLink">
                          <a:rPr lang="en-US" sz="1100" b="0" i="0" u="none" strike="noStrike">
                            <a:ln>
                              <a:noFill/>
                            </a:ln>
                            <a:solidFill>
                              <a:schemeClr val="bg1"/>
                            </a:solidFill>
                            <a:latin typeface="Avenir Next LT Pro"/>
                          </a:rPr>
                          <a:pPr algn="r"/>
                          <a:t>Corporate</a:t>
                        </a:fld>
                        <a:endParaRPr lang="en-US" sz="1200" b="0" i="0" u="none" strike="noStrike">
                          <a:ln>
                            <a:noFill/>
                          </a:ln>
                          <a:solidFill>
                            <a:schemeClr val="bg1"/>
                          </a:solidFill>
                          <a:latin typeface="Avenir Next LT Pro"/>
                        </a:endParaRPr>
                      </a:p>
                    </xdr:txBody>
                  </xdr:sp>
                  <xdr:sp macro="" textlink="Pivot_tables!CG5">
                    <xdr:nvSpPr>
                      <xdr:cNvPr id="41" name="TextBox 40">
                        <a:extLst>
                          <a:ext uri="{FF2B5EF4-FFF2-40B4-BE49-F238E27FC236}">
                            <a16:creationId xmlns:a16="http://schemas.microsoft.com/office/drawing/2014/main" id="{00000000-0008-0000-0200-000029000000}"/>
                          </a:ext>
                        </a:extLst>
                      </xdr:cNvPr>
                      <xdr:cNvSpPr txBox="1"/>
                    </xdr:nvSpPr>
                    <xdr:spPr>
                      <a:xfrm>
                        <a:off x="8991825" y="6888785"/>
                        <a:ext cx="1080000" cy="216000"/>
                      </a:xfrm>
                      <a:prstGeom prst="rect">
                        <a:avLst/>
                      </a:prstGeom>
                      <a:solidFill>
                        <a:srgbClr val="1D1D3A"/>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BA2342A2-1B0F-42BB-A337-8D010E624A6D}" type="TxLink">
                          <a:rPr lang="en-US" sz="1100" b="0" i="0" u="none" strike="noStrike">
                            <a:ln>
                              <a:noFill/>
                            </a:ln>
                            <a:solidFill>
                              <a:schemeClr val="bg1"/>
                            </a:solidFill>
                            <a:latin typeface="Avenir Next LT Pro"/>
                          </a:rPr>
                          <a:pPr algn="r"/>
                          <a:t>Small Business</a:t>
                        </a:fld>
                        <a:endParaRPr lang="en-US" sz="1200" b="0" i="0" u="none" strike="noStrike">
                          <a:ln>
                            <a:noFill/>
                          </a:ln>
                          <a:solidFill>
                            <a:schemeClr val="bg1"/>
                          </a:solidFill>
                          <a:latin typeface="Avenir Next LT Pro"/>
                        </a:endParaRPr>
                      </a:p>
                    </xdr:txBody>
                  </xdr:sp>
                </xdr:grpSp>
              </xdr:grpSp>
              <xdr:sp macro="" textlink="">
                <xdr:nvSpPr>
                  <xdr:cNvPr id="3190" name="TextBox 3189">
                    <a:extLst>
                      <a:ext uri="{FF2B5EF4-FFF2-40B4-BE49-F238E27FC236}">
                        <a16:creationId xmlns:a16="http://schemas.microsoft.com/office/drawing/2014/main" id="{00000000-0008-0000-0200-0000760C0000}"/>
                      </a:ext>
                    </a:extLst>
                  </xdr:cNvPr>
                  <xdr:cNvSpPr txBox="1"/>
                </xdr:nvSpPr>
                <xdr:spPr>
                  <a:xfrm>
                    <a:off x="8515441" y="7038975"/>
                    <a:ext cx="1701046" cy="279702"/>
                  </a:xfrm>
                  <a:prstGeom prst="rect">
                    <a:avLst/>
                  </a:prstGeom>
                  <a:solidFill>
                    <a:srgbClr val="1D1D3A"/>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endParaRPr lang="en-US" sz="1100" b="0" i="0" u="none" strike="noStrike">
                      <a:ln>
                        <a:noFill/>
                      </a:ln>
                      <a:solidFill>
                        <a:schemeClr val="bg1"/>
                      </a:solidFill>
                      <a:latin typeface="Avenir Next LT Pro"/>
                    </a:endParaRPr>
                  </a:p>
                </xdr:txBody>
              </xdr:sp>
            </xdr:grpSp>
            <xdr:grpSp>
              <xdr:nvGrpSpPr>
                <xdr:cNvPr id="3201" name="Group 3200">
                  <a:extLst>
                    <a:ext uri="{FF2B5EF4-FFF2-40B4-BE49-F238E27FC236}">
                      <a16:creationId xmlns:a16="http://schemas.microsoft.com/office/drawing/2014/main" id="{00000000-0008-0000-0200-0000810C0000}"/>
                    </a:ext>
                  </a:extLst>
                </xdr:cNvPr>
                <xdr:cNvGrpSpPr/>
              </xdr:nvGrpSpPr>
              <xdr:grpSpPr>
                <a:xfrm>
                  <a:off x="7402023" y="5463807"/>
                  <a:ext cx="1112993" cy="1854870"/>
                  <a:chOff x="7402023" y="5463807"/>
                  <a:chExt cx="1112993" cy="1854870"/>
                </a:xfrm>
              </xdr:grpSpPr>
              <xdr:grpSp>
                <xdr:nvGrpSpPr>
                  <xdr:cNvPr id="3163" name="Group 3162">
                    <a:extLst>
                      <a:ext uri="{FF2B5EF4-FFF2-40B4-BE49-F238E27FC236}">
                        <a16:creationId xmlns:a16="http://schemas.microsoft.com/office/drawing/2014/main" id="{00000000-0008-0000-0200-00005B0C0000}"/>
                      </a:ext>
                    </a:extLst>
                  </xdr:cNvPr>
                  <xdr:cNvGrpSpPr/>
                </xdr:nvGrpSpPr>
                <xdr:grpSpPr>
                  <a:xfrm>
                    <a:off x="7402023" y="5463807"/>
                    <a:ext cx="1112768" cy="1575168"/>
                    <a:chOff x="7408843" y="5863857"/>
                    <a:chExt cx="1065600" cy="1216422"/>
                  </a:xfrm>
                </xdr:grpSpPr>
                <xdr:sp macro="" textlink="Pivot_tables!CC6">
                  <xdr:nvSpPr>
                    <xdr:cNvPr id="19" name="TextBox 18">
                      <a:extLst>
                        <a:ext uri="{FF2B5EF4-FFF2-40B4-BE49-F238E27FC236}">
                          <a16:creationId xmlns:a16="http://schemas.microsoft.com/office/drawing/2014/main" id="{00000000-0008-0000-0200-000013000000}"/>
                        </a:ext>
                      </a:extLst>
                    </xdr:cNvPr>
                    <xdr:cNvSpPr txBox="1"/>
                  </xdr:nvSpPr>
                  <xdr:spPr>
                    <a:xfrm>
                      <a:off x="7408843" y="5863857"/>
                      <a:ext cx="1065600" cy="352425"/>
                    </a:xfrm>
                    <a:prstGeom prst="rect">
                      <a:avLst/>
                    </a:prstGeom>
                    <a:solidFill>
                      <a:srgbClr val="1D1D3A"/>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F3AA1E9B-CF31-4893-8430-EB0BCDC3409C}" type="TxLink">
                        <a:rPr lang="en-US" sz="1400" b="0" i="0" u="none" strike="noStrike">
                          <a:ln>
                            <a:noFill/>
                          </a:ln>
                          <a:solidFill>
                            <a:srgbClr val="D43260"/>
                          </a:solidFill>
                          <a:latin typeface="Avenir Next LT Pro"/>
                        </a:rPr>
                        <a:pPr algn="ctr"/>
                        <a:t>Sales</a:t>
                      </a:fld>
                      <a:endParaRPr lang="en-US" sz="1800" b="0" i="0" u="none" strike="noStrike">
                        <a:ln>
                          <a:noFill/>
                        </a:ln>
                        <a:solidFill>
                          <a:srgbClr val="D43260"/>
                        </a:solidFill>
                        <a:latin typeface="Avenir Next LT Pro"/>
                      </a:endParaRPr>
                    </a:p>
                  </xdr:txBody>
                </xdr:sp>
                <xdr:grpSp>
                  <xdr:nvGrpSpPr>
                    <xdr:cNvPr id="49" name="Group 48">
                      <a:extLst>
                        <a:ext uri="{FF2B5EF4-FFF2-40B4-BE49-F238E27FC236}">
                          <a16:creationId xmlns:a16="http://schemas.microsoft.com/office/drawing/2014/main" id="{00000000-0008-0000-0200-000031000000}"/>
                        </a:ext>
                      </a:extLst>
                    </xdr:cNvPr>
                    <xdr:cNvGrpSpPr/>
                  </xdr:nvGrpSpPr>
                  <xdr:grpSpPr>
                    <a:xfrm>
                      <a:off x="7408843" y="6216281"/>
                      <a:ext cx="1065193" cy="863998"/>
                      <a:chOff x="8001224" y="6240787"/>
                      <a:chExt cx="720000" cy="863998"/>
                    </a:xfrm>
                  </xdr:grpSpPr>
                  <xdr:sp macro="" textlink="Pivot_tables!CD6">
                    <xdr:nvSpPr>
                      <xdr:cNvPr id="20" name="TextBox 19">
                        <a:extLst>
                          <a:ext uri="{FF2B5EF4-FFF2-40B4-BE49-F238E27FC236}">
                            <a16:creationId xmlns:a16="http://schemas.microsoft.com/office/drawing/2014/main" id="{00000000-0008-0000-0200-000014000000}"/>
                          </a:ext>
                        </a:extLst>
                      </xdr:cNvPr>
                      <xdr:cNvSpPr txBox="1"/>
                    </xdr:nvSpPr>
                    <xdr:spPr>
                      <a:xfrm>
                        <a:off x="8001224" y="6240787"/>
                        <a:ext cx="720000" cy="216000"/>
                      </a:xfrm>
                      <a:prstGeom prst="rect">
                        <a:avLst/>
                      </a:prstGeom>
                      <a:solidFill>
                        <a:srgbClr val="1D1D3A"/>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343B0BA-E783-4783-BEB1-96BA34D3F91A}" type="TxLink">
                          <a:rPr lang="en-US" sz="1100" b="0" i="0" u="none" strike="noStrike">
                            <a:ln>
                              <a:noFill/>
                            </a:ln>
                            <a:solidFill>
                              <a:schemeClr val="bg1"/>
                            </a:solidFill>
                            <a:latin typeface="Avenir Next LT Pro"/>
                          </a:rPr>
                          <a:pPr algn="ctr"/>
                          <a:t>$461,346</a:t>
                        </a:fld>
                        <a:endParaRPr lang="en-US" sz="1200" b="0" i="0" u="none" strike="noStrike">
                          <a:ln>
                            <a:noFill/>
                          </a:ln>
                          <a:solidFill>
                            <a:schemeClr val="bg1"/>
                          </a:solidFill>
                          <a:latin typeface="Avenir Next LT Pro"/>
                        </a:endParaRPr>
                      </a:p>
                    </xdr:txBody>
                  </xdr:sp>
                  <xdr:sp macro="" textlink="Pivot_tables!CE6">
                    <xdr:nvSpPr>
                      <xdr:cNvPr id="21" name="TextBox 20">
                        <a:extLst>
                          <a:ext uri="{FF2B5EF4-FFF2-40B4-BE49-F238E27FC236}">
                            <a16:creationId xmlns:a16="http://schemas.microsoft.com/office/drawing/2014/main" id="{00000000-0008-0000-0200-000015000000}"/>
                          </a:ext>
                        </a:extLst>
                      </xdr:cNvPr>
                      <xdr:cNvSpPr txBox="1"/>
                    </xdr:nvSpPr>
                    <xdr:spPr>
                      <a:xfrm>
                        <a:off x="8001224" y="6456787"/>
                        <a:ext cx="720000" cy="216000"/>
                      </a:xfrm>
                      <a:prstGeom prst="rect">
                        <a:avLst/>
                      </a:prstGeom>
                      <a:solidFill>
                        <a:srgbClr val="1D1D3A"/>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EAD394ED-41C0-4C23-B5D0-3B0E42D901FF}" type="TxLink">
                          <a:rPr lang="en-US" sz="1100" b="0" i="0" u="none" strike="noStrike">
                            <a:ln>
                              <a:noFill/>
                            </a:ln>
                            <a:solidFill>
                              <a:schemeClr val="bg1"/>
                            </a:solidFill>
                            <a:latin typeface="Avenir Next LT Pro"/>
                          </a:rPr>
                          <a:pPr algn="ctr"/>
                          <a:t>$394,052</a:t>
                        </a:fld>
                        <a:endParaRPr lang="en-US" sz="1200" b="0" i="0" u="none" strike="noStrike">
                          <a:ln>
                            <a:noFill/>
                          </a:ln>
                          <a:solidFill>
                            <a:schemeClr val="bg1"/>
                          </a:solidFill>
                          <a:latin typeface="Avenir Next LT Pro"/>
                        </a:endParaRPr>
                      </a:p>
                    </xdr:txBody>
                  </xdr:sp>
                  <xdr:sp macro="" textlink="Pivot_tables!CF6">
                    <xdr:nvSpPr>
                      <xdr:cNvPr id="22" name="TextBox 21">
                        <a:extLst>
                          <a:ext uri="{FF2B5EF4-FFF2-40B4-BE49-F238E27FC236}">
                            <a16:creationId xmlns:a16="http://schemas.microsoft.com/office/drawing/2014/main" id="{00000000-0008-0000-0200-000016000000}"/>
                          </a:ext>
                        </a:extLst>
                      </xdr:cNvPr>
                      <xdr:cNvSpPr txBox="1"/>
                    </xdr:nvSpPr>
                    <xdr:spPr>
                      <a:xfrm>
                        <a:off x="8001224" y="6672786"/>
                        <a:ext cx="720000" cy="216000"/>
                      </a:xfrm>
                      <a:prstGeom prst="rect">
                        <a:avLst/>
                      </a:prstGeom>
                      <a:solidFill>
                        <a:srgbClr val="1D1D3A"/>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9F994C8A-F4AD-44DE-971F-398CD99EACDA}" type="TxLink">
                          <a:rPr lang="en-US" sz="1100" b="0" i="0" u="none" strike="noStrike">
                            <a:ln>
                              <a:noFill/>
                            </a:ln>
                            <a:solidFill>
                              <a:schemeClr val="bg1"/>
                            </a:solidFill>
                            <a:latin typeface="Avenir Next LT Pro"/>
                          </a:rPr>
                          <a:pPr algn="ctr"/>
                          <a:t>$634,861</a:t>
                        </a:fld>
                        <a:endParaRPr lang="en-US" sz="1200" b="0" i="0" u="none" strike="noStrike">
                          <a:ln>
                            <a:noFill/>
                          </a:ln>
                          <a:solidFill>
                            <a:schemeClr val="bg1"/>
                          </a:solidFill>
                          <a:latin typeface="Avenir Next LT Pro"/>
                        </a:endParaRPr>
                      </a:p>
                    </xdr:txBody>
                  </xdr:sp>
                  <xdr:sp macro="" textlink="Pivot_tables!CG6">
                    <xdr:nvSpPr>
                      <xdr:cNvPr id="24" name="TextBox 23">
                        <a:extLst>
                          <a:ext uri="{FF2B5EF4-FFF2-40B4-BE49-F238E27FC236}">
                            <a16:creationId xmlns:a16="http://schemas.microsoft.com/office/drawing/2014/main" id="{00000000-0008-0000-0200-000018000000}"/>
                          </a:ext>
                        </a:extLst>
                      </xdr:cNvPr>
                      <xdr:cNvSpPr txBox="1"/>
                    </xdr:nvSpPr>
                    <xdr:spPr>
                      <a:xfrm>
                        <a:off x="8001224" y="6888785"/>
                        <a:ext cx="720000" cy="216000"/>
                      </a:xfrm>
                      <a:prstGeom prst="rect">
                        <a:avLst/>
                      </a:prstGeom>
                      <a:solidFill>
                        <a:srgbClr val="1D1D3A"/>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88286CFC-A858-4EB7-98AD-0382D6ABF79E}" type="TxLink">
                          <a:rPr lang="en-US" sz="1100" b="0" i="0" u="none" strike="noStrike">
                            <a:ln>
                              <a:noFill/>
                            </a:ln>
                            <a:solidFill>
                              <a:schemeClr val="bg1"/>
                            </a:solidFill>
                            <a:latin typeface="Avenir Next LT Pro"/>
                          </a:rPr>
                          <a:pPr algn="ctr"/>
                          <a:t>$391,266</a:t>
                        </a:fld>
                        <a:endParaRPr lang="en-US" sz="1200" b="0" i="0" u="none" strike="noStrike">
                          <a:ln>
                            <a:noFill/>
                          </a:ln>
                          <a:solidFill>
                            <a:schemeClr val="bg1"/>
                          </a:solidFill>
                          <a:latin typeface="Avenir Next LT Pro"/>
                        </a:endParaRPr>
                      </a:p>
                    </xdr:txBody>
                  </xdr:sp>
                </xdr:grpSp>
              </xdr:grpSp>
              <xdr:sp macro="" textlink="">
                <xdr:nvSpPr>
                  <xdr:cNvPr id="3191" name="TextBox 3190">
                    <a:extLst>
                      <a:ext uri="{FF2B5EF4-FFF2-40B4-BE49-F238E27FC236}">
                        <a16:creationId xmlns:a16="http://schemas.microsoft.com/office/drawing/2014/main" id="{00000000-0008-0000-0200-0000770C0000}"/>
                      </a:ext>
                    </a:extLst>
                  </xdr:cNvPr>
                  <xdr:cNvSpPr txBox="1"/>
                </xdr:nvSpPr>
                <xdr:spPr>
                  <a:xfrm>
                    <a:off x="7402673" y="7038975"/>
                    <a:ext cx="1112343" cy="279702"/>
                  </a:xfrm>
                  <a:prstGeom prst="rect">
                    <a:avLst/>
                  </a:prstGeom>
                  <a:solidFill>
                    <a:srgbClr val="1D1D3A"/>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b="0" i="0" u="none" strike="noStrike">
                        <a:ln>
                          <a:noFill/>
                        </a:ln>
                        <a:solidFill>
                          <a:schemeClr val="bg1"/>
                        </a:solidFill>
                        <a:latin typeface="Avenir Next LT Pro"/>
                      </a:rPr>
                      <a:t> </a:t>
                    </a:r>
                  </a:p>
                </xdr:txBody>
              </xdr:sp>
            </xdr:grpSp>
            <xdr:grpSp>
              <xdr:nvGrpSpPr>
                <xdr:cNvPr id="3202" name="Group 3201">
                  <a:extLst>
                    <a:ext uri="{FF2B5EF4-FFF2-40B4-BE49-F238E27FC236}">
                      <a16:creationId xmlns:a16="http://schemas.microsoft.com/office/drawing/2014/main" id="{00000000-0008-0000-0200-0000820C0000}"/>
                    </a:ext>
                  </a:extLst>
                </xdr:cNvPr>
                <xdr:cNvGrpSpPr/>
              </xdr:nvGrpSpPr>
              <xdr:grpSpPr>
                <a:xfrm>
                  <a:off x="6289255" y="5463807"/>
                  <a:ext cx="1113418" cy="1854870"/>
                  <a:chOff x="6289255" y="5463807"/>
                  <a:chExt cx="1113418" cy="1854870"/>
                </a:xfrm>
              </xdr:grpSpPr>
              <xdr:grpSp>
                <xdr:nvGrpSpPr>
                  <xdr:cNvPr id="3165" name="Group 3164">
                    <a:extLst>
                      <a:ext uri="{FF2B5EF4-FFF2-40B4-BE49-F238E27FC236}">
                        <a16:creationId xmlns:a16="http://schemas.microsoft.com/office/drawing/2014/main" id="{00000000-0008-0000-0200-00005D0C0000}"/>
                      </a:ext>
                    </a:extLst>
                  </xdr:cNvPr>
                  <xdr:cNvGrpSpPr/>
                </xdr:nvGrpSpPr>
                <xdr:grpSpPr>
                  <a:xfrm>
                    <a:off x="6289255" y="5463807"/>
                    <a:ext cx="1112768" cy="1575168"/>
                    <a:chOff x="6343650" y="5863857"/>
                    <a:chExt cx="1065600" cy="1216422"/>
                  </a:xfrm>
                </xdr:grpSpPr>
                <xdr:sp macro="" textlink="Pivot_tables!CC8">
                  <xdr:nvSpPr>
                    <xdr:cNvPr id="14" name="TextBox 13">
                      <a:extLst>
                        <a:ext uri="{FF2B5EF4-FFF2-40B4-BE49-F238E27FC236}">
                          <a16:creationId xmlns:a16="http://schemas.microsoft.com/office/drawing/2014/main" id="{00000000-0008-0000-0200-00000E000000}"/>
                        </a:ext>
                      </a:extLst>
                    </xdr:cNvPr>
                    <xdr:cNvSpPr txBox="1"/>
                  </xdr:nvSpPr>
                  <xdr:spPr>
                    <a:xfrm>
                      <a:off x="6343650" y="5863857"/>
                      <a:ext cx="1065600" cy="352425"/>
                    </a:xfrm>
                    <a:prstGeom prst="rect">
                      <a:avLst/>
                    </a:prstGeom>
                    <a:solidFill>
                      <a:srgbClr val="1D1D3A"/>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71C7C195-4281-4126-B894-3F73C4C06E96}" type="TxLink">
                        <a:rPr lang="en-US" sz="1400" b="0" i="0" u="none" strike="noStrike">
                          <a:ln>
                            <a:noFill/>
                          </a:ln>
                          <a:solidFill>
                            <a:srgbClr val="D43260"/>
                          </a:solidFill>
                          <a:latin typeface="Avenir Next LT Pro"/>
                        </a:rPr>
                        <a:pPr algn="l"/>
                        <a:t># of Orders</a:t>
                      </a:fld>
                      <a:endParaRPr lang="en-US" sz="1800" b="0" i="0" u="none" strike="noStrike">
                        <a:ln>
                          <a:noFill/>
                        </a:ln>
                        <a:solidFill>
                          <a:srgbClr val="D43260"/>
                        </a:solidFill>
                        <a:latin typeface="Avenir Next LT Pro"/>
                      </a:endParaRPr>
                    </a:p>
                  </xdr:txBody>
                </xdr:sp>
                <xdr:grpSp>
                  <xdr:nvGrpSpPr>
                    <xdr:cNvPr id="48" name="Group 47">
                      <a:extLst>
                        <a:ext uri="{FF2B5EF4-FFF2-40B4-BE49-F238E27FC236}">
                          <a16:creationId xmlns:a16="http://schemas.microsoft.com/office/drawing/2014/main" id="{00000000-0008-0000-0200-000030000000}"/>
                        </a:ext>
                      </a:extLst>
                    </xdr:cNvPr>
                    <xdr:cNvGrpSpPr/>
                  </xdr:nvGrpSpPr>
                  <xdr:grpSpPr>
                    <a:xfrm>
                      <a:off x="6344057" y="6216281"/>
                      <a:ext cx="1065193" cy="863998"/>
                      <a:chOff x="7018125" y="6240787"/>
                      <a:chExt cx="720000" cy="863998"/>
                    </a:xfrm>
                  </xdr:grpSpPr>
                  <xdr:sp macro="" textlink="Pivot_tables!CD8">
                    <xdr:nvSpPr>
                      <xdr:cNvPr id="15" name="TextBox 14">
                        <a:extLst>
                          <a:ext uri="{FF2B5EF4-FFF2-40B4-BE49-F238E27FC236}">
                            <a16:creationId xmlns:a16="http://schemas.microsoft.com/office/drawing/2014/main" id="{00000000-0008-0000-0200-00000F000000}"/>
                          </a:ext>
                        </a:extLst>
                      </xdr:cNvPr>
                      <xdr:cNvSpPr txBox="1"/>
                    </xdr:nvSpPr>
                    <xdr:spPr>
                      <a:xfrm>
                        <a:off x="7018125" y="6240787"/>
                        <a:ext cx="720000" cy="216000"/>
                      </a:xfrm>
                      <a:prstGeom prst="rect">
                        <a:avLst/>
                      </a:prstGeom>
                      <a:solidFill>
                        <a:srgbClr val="1D1D3A"/>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982DB21A-77BC-46AE-8BF0-0D404AE3AD68}" type="TxLink">
                          <a:rPr lang="en-US" sz="1100" b="0" i="0" u="none" strike="noStrike">
                            <a:ln>
                              <a:noFill/>
                            </a:ln>
                            <a:solidFill>
                              <a:schemeClr val="bg1"/>
                            </a:solidFill>
                            <a:latin typeface="Avenir Next LT Pro"/>
                          </a:rPr>
                          <a:pPr algn="ctr"/>
                          <a:t>334</a:t>
                        </a:fld>
                        <a:endParaRPr lang="en-US" sz="1200" b="0" i="0" u="none" strike="noStrike">
                          <a:ln>
                            <a:noFill/>
                          </a:ln>
                          <a:solidFill>
                            <a:schemeClr val="bg1"/>
                          </a:solidFill>
                          <a:latin typeface="Avenir Next LT Pro"/>
                        </a:endParaRPr>
                      </a:p>
                    </xdr:txBody>
                  </xdr:sp>
                  <xdr:sp macro="" textlink="Pivot_tables!CE8">
                    <xdr:nvSpPr>
                      <xdr:cNvPr id="16" name="TextBox 15">
                        <a:extLst>
                          <a:ext uri="{FF2B5EF4-FFF2-40B4-BE49-F238E27FC236}">
                            <a16:creationId xmlns:a16="http://schemas.microsoft.com/office/drawing/2014/main" id="{00000000-0008-0000-0200-000010000000}"/>
                          </a:ext>
                        </a:extLst>
                      </xdr:cNvPr>
                      <xdr:cNvSpPr txBox="1"/>
                    </xdr:nvSpPr>
                    <xdr:spPr>
                      <a:xfrm>
                        <a:off x="7018125" y="6456787"/>
                        <a:ext cx="720000" cy="216000"/>
                      </a:xfrm>
                      <a:prstGeom prst="rect">
                        <a:avLst/>
                      </a:prstGeom>
                      <a:solidFill>
                        <a:srgbClr val="1D1D3A"/>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E4F692E-CDD7-4DD3-95EC-405435DAFE69}" type="TxLink">
                          <a:rPr lang="en-US" sz="1100" b="0" i="0" u="none" strike="noStrike">
                            <a:ln>
                              <a:noFill/>
                            </a:ln>
                            <a:solidFill>
                              <a:schemeClr val="bg1"/>
                            </a:solidFill>
                            <a:latin typeface="Avenir Next LT Pro"/>
                          </a:rPr>
                          <a:pPr algn="ctr"/>
                          <a:t>294</a:t>
                        </a:fld>
                        <a:endParaRPr lang="en-US" sz="1200" b="0" i="0" u="none" strike="noStrike">
                          <a:ln>
                            <a:noFill/>
                          </a:ln>
                          <a:solidFill>
                            <a:schemeClr val="bg1"/>
                          </a:solidFill>
                          <a:latin typeface="Avenir Next LT Pro"/>
                        </a:endParaRPr>
                      </a:p>
                    </xdr:txBody>
                  </xdr:sp>
                  <xdr:sp macro="" textlink="Pivot_tables!CF8">
                    <xdr:nvSpPr>
                      <xdr:cNvPr id="17" name="TextBox 16">
                        <a:extLst>
                          <a:ext uri="{FF2B5EF4-FFF2-40B4-BE49-F238E27FC236}">
                            <a16:creationId xmlns:a16="http://schemas.microsoft.com/office/drawing/2014/main" id="{00000000-0008-0000-0200-000011000000}"/>
                          </a:ext>
                        </a:extLst>
                      </xdr:cNvPr>
                      <xdr:cNvSpPr txBox="1"/>
                    </xdr:nvSpPr>
                    <xdr:spPr>
                      <a:xfrm>
                        <a:off x="7018125" y="6672786"/>
                        <a:ext cx="720000" cy="216000"/>
                      </a:xfrm>
                      <a:prstGeom prst="rect">
                        <a:avLst/>
                      </a:prstGeom>
                      <a:solidFill>
                        <a:srgbClr val="1D1D3A"/>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64CF9A51-A3C3-4796-8181-2E37806DAE40}" type="TxLink">
                          <a:rPr lang="en-US" sz="1100" b="0" i="0" u="none" strike="noStrike">
                            <a:ln>
                              <a:noFill/>
                            </a:ln>
                            <a:solidFill>
                              <a:schemeClr val="bg1"/>
                            </a:solidFill>
                            <a:latin typeface="Avenir Next LT Pro"/>
                          </a:rPr>
                          <a:pPr algn="ctr"/>
                          <a:t>470</a:t>
                        </a:fld>
                        <a:endParaRPr lang="en-US" sz="1200" b="0" i="0" u="none" strike="noStrike">
                          <a:ln>
                            <a:noFill/>
                          </a:ln>
                          <a:solidFill>
                            <a:schemeClr val="bg1"/>
                          </a:solidFill>
                          <a:latin typeface="Avenir Next LT Pro"/>
                        </a:endParaRPr>
                      </a:p>
                    </xdr:txBody>
                  </xdr:sp>
                  <xdr:sp macro="" textlink="Pivot_tables!CG8">
                    <xdr:nvSpPr>
                      <xdr:cNvPr id="18" name="TextBox 17">
                        <a:extLst>
                          <a:ext uri="{FF2B5EF4-FFF2-40B4-BE49-F238E27FC236}">
                            <a16:creationId xmlns:a16="http://schemas.microsoft.com/office/drawing/2014/main" id="{00000000-0008-0000-0200-000012000000}"/>
                          </a:ext>
                        </a:extLst>
                      </xdr:cNvPr>
                      <xdr:cNvSpPr txBox="1"/>
                    </xdr:nvSpPr>
                    <xdr:spPr>
                      <a:xfrm>
                        <a:off x="7018125" y="6888785"/>
                        <a:ext cx="720000" cy="216000"/>
                      </a:xfrm>
                      <a:prstGeom prst="rect">
                        <a:avLst/>
                      </a:prstGeom>
                      <a:solidFill>
                        <a:srgbClr val="1D1D3A"/>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D44C5AD0-6B79-4963-9D54-955DC359F926}" type="TxLink">
                          <a:rPr lang="en-US" sz="1100" b="0" i="0" u="none" strike="noStrike">
                            <a:ln>
                              <a:noFill/>
                            </a:ln>
                            <a:solidFill>
                              <a:schemeClr val="bg1"/>
                            </a:solidFill>
                            <a:latin typeface="Avenir Next LT Pro"/>
                          </a:rPr>
                          <a:pPr algn="ctr"/>
                          <a:t>263</a:t>
                        </a:fld>
                        <a:endParaRPr lang="en-US" sz="1200" b="0" i="0" u="none" strike="noStrike">
                          <a:ln>
                            <a:noFill/>
                          </a:ln>
                          <a:solidFill>
                            <a:schemeClr val="bg1"/>
                          </a:solidFill>
                          <a:latin typeface="Avenir Next LT Pro"/>
                        </a:endParaRPr>
                      </a:p>
                    </xdr:txBody>
                  </xdr:sp>
                </xdr:grpSp>
              </xdr:grpSp>
              <xdr:sp macro="" textlink="">
                <xdr:nvSpPr>
                  <xdr:cNvPr id="3192" name="TextBox 3191">
                    <a:extLst>
                      <a:ext uri="{FF2B5EF4-FFF2-40B4-BE49-F238E27FC236}">
                        <a16:creationId xmlns:a16="http://schemas.microsoft.com/office/drawing/2014/main" id="{00000000-0008-0000-0200-0000780C0000}"/>
                      </a:ext>
                    </a:extLst>
                  </xdr:cNvPr>
                  <xdr:cNvSpPr txBox="1"/>
                </xdr:nvSpPr>
                <xdr:spPr>
                  <a:xfrm>
                    <a:off x="6290330" y="7038975"/>
                    <a:ext cx="1112343" cy="279702"/>
                  </a:xfrm>
                  <a:prstGeom prst="rect">
                    <a:avLst/>
                  </a:prstGeom>
                  <a:solidFill>
                    <a:srgbClr val="1D1D3A"/>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endParaRPr lang="en-US" sz="1100" b="0" i="0" u="none" strike="noStrike">
                      <a:ln>
                        <a:noFill/>
                      </a:ln>
                      <a:solidFill>
                        <a:schemeClr val="bg1"/>
                      </a:solidFill>
                      <a:latin typeface="Avenir Next LT Pro"/>
                    </a:endParaRPr>
                  </a:p>
                </xdr:txBody>
              </xdr:sp>
            </xdr:grpSp>
            <xdr:grpSp>
              <xdr:nvGrpSpPr>
                <xdr:cNvPr id="3203" name="Group 3202">
                  <a:extLst>
                    <a:ext uri="{FF2B5EF4-FFF2-40B4-BE49-F238E27FC236}">
                      <a16:creationId xmlns:a16="http://schemas.microsoft.com/office/drawing/2014/main" id="{00000000-0008-0000-0200-0000830C0000}"/>
                    </a:ext>
                  </a:extLst>
                </xdr:cNvPr>
                <xdr:cNvGrpSpPr/>
              </xdr:nvGrpSpPr>
              <xdr:grpSpPr>
                <a:xfrm>
                  <a:off x="5176487" y="5463807"/>
                  <a:ext cx="1113418" cy="1854870"/>
                  <a:chOff x="5176487" y="5463807"/>
                  <a:chExt cx="1113418" cy="1854870"/>
                </a:xfrm>
              </xdr:grpSpPr>
              <xdr:grpSp>
                <xdr:nvGrpSpPr>
                  <xdr:cNvPr id="3175" name="Group 3174">
                    <a:extLst>
                      <a:ext uri="{FF2B5EF4-FFF2-40B4-BE49-F238E27FC236}">
                        <a16:creationId xmlns:a16="http://schemas.microsoft.com/office/drawing/2014/main" id="{00000000-0008-0000-0200-0000670C0000}"/>
                      </a:ext>
                    </a:extLst>
                  </xdr:cNvPr>
                  <xdr:cNvGrpSpPr/>
                </xdr:nvGrpSpPr>
                <xdr:grpSpPr>
                  <a:xfrm>
                    <a:off x="5176487" y="5463807"/>
                    <a:ext cx="1112768" cy="1575168"/>
                    <a:chOff x="6343650" y="5863857"/>
                    <a:chExt cx="1065600" cy="1216422"/>
                  </a:xfrm>
                </xdr:grpSpPr>
                <xdr:sp macro="" textlink="">
                  <xdr:nvSpPr>
                    <xdr:cNvPr id="3176" name="TextBox 3175">
                      <a:extLst>
                        <a:ext uri="{FF2B5EF4-FFF2-40B4-BE49-F238E27FC236}">
                          <a16:creationId xmlns:a16="http://schemas.microsoft.com/office/drawing/2014/main" id="{00000000-0008-0000-0200-0000680C0000}"/>
                        </a:ext>
                      </a:extLst>
                    </xdr:cNvPr>
                    <xdr:cNvSpPr txBox="1"/>
                  </xdr:nvSpPr>
                  <xdr:spPr>
                    <a:xfrm>
                      <a:off x="6343650" y="5863857"/>
                      <a:ext cx="1065600" cy="352425"/>
                    </a:xfrm>
                    <a:prstGeom prst="rect">
                      <a:avLst/>
                    </a:prstGeom>
                    <a:solidFill>
                      <a:srgbClr val="1D1D3A"/>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endParaRPr lang="en-US" sz="1400" b="0" i="0" u="none" strike="noStrike">
                        <a:ln>
                          <a:noFill/>
                        </a:ln>
                        <a:solidFill>
                          <a:srgbClr val="D43260"/>
                        </a:solidFill>
                        <a:latin typeface="Avenir Next LT Pro"/>
                      </a:endParaRPr>
                    </a:p>
                  </xdr:txBody>
                </xdr:sp>
                <xdr:grpSp>
                  <xdr:nvGrpSpPr>
                    <xdr:cNvPr id="3177" name="Group 3176">
                      <a:extLst>
                        <a:ext uri="{FF2B5EF4-FFF2-40B4-BE49-F238E27FC236}">
                          <a16:creationId xmlns:a16="http://schemas.microsoft.com/office/drawing/2014/main" id="{00000000-0008-0000-0200-0000690C0000}"/>
                        </a:ext>
                      </a:extLst>
                    </xdr:cNvPr>
                    <xdr:cNvGrpSpPr/>
                  </xdr:nvGrpSpPr>
                  <xdr:grpSpPr>
                    <a:xfrm>
                      <a:off x="6344057" y="6216281"/>
                      <a:ext cx="1065193" cy="863998"/>
                      <a:chOff x="7018125" y="6240787"/>
                      <a:chExt cx="720000" cy="863998"/>
                    </a:xfrm>
                  </xdr:grpSpPr>
                  <xdr:sp macro="" textlink="">
                    <xdr:nvSpPr>
                      <xdr:cNvPr id="3178" name="TextBox 3177">
                        <a:extLst>
                          <a:ext uri="{FF2B5EF4-FFF2-40B4-BE49-F238E27FC236}">
                            <a16:creationId xmlns:a16="http://schemas.microsoft.com/office/drawing/2014/main" id="{00000000-0008-0000-0200-00006A0C0000}"/>
                          </a:ext>
                        </a:extLst>
                      </xdr:cNvPr>
                      <xdr:cNvSpPr txBox="1"/>
                    </xdr:nvSpPr>
                    <xdr:spPr>
                      <a:xfrm>
                        <a:off x="7018125" y="6240787"/>
                        <a:ext cx="720000" cy="216000"/>
                      </a:xfrm>
                      <a:prstGeom prst="rect">
                        <a:avLst/>
                      </a:prstGeom>
                      <a:solidFill>
                        <a:srgbClr val="1D1D3A"/>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endParaRPr lang="en-US" sz="1100" b="0" i="0" u="none" strike="noStrike">
                          <a:ln>
                            <a:noFill/>
                          </a:ln>
                          <a:solidFill>
                            <a:schemeClr val="bg1"/>
                          </a:solidFill>
                          <a:latin typeface="Avenir Next LT Pro"/>
                        </a:endParaRPr>
                      </a:p>
                    </xdr:txBody>
                  </xdr:sp>
                  <xdr:sp macro="" textlink="">
                    <xdr:nvSpPr>
                      <xdr:cNvPr id="3179" name="TextBox 3178">
                        <a:extLst>
                          <a:ext uri="{FF2B5EF4-FFF2-40B4-BE49-F238E27FC236}">
                            <a16:creationId xmlns:a16="http://schemas.microsoft.com/office/drawing/2014/main" id="{00000000-0008-0000-0200-00006B0C0000}"/>
                          </a:ext>
                        </a:extLst>
                      </xdr:cNvPr>
                      <xdr:cNvSpPr txBox="1"/>
                    </xdr:nvSpPr>
                    <xdr:spPr>
                      <a:xfrm>
                        <a:off x="7018125" y="6456787"/>
                        <a:ext cx="720000" cy="216000"/>
                      </a:xfrm>
                      <a:prstGeom prst="rect">
                        <a:avLst/>
                      </a:prstGeom>
                      <a:solidFill>
                        <a:srgbClr val="1D1D3A"/>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endParaRPr lang="en-US" sz="1100" b="0" i="0" u="none" strike="noStrike">
                          <a:ln>
                            <a:noFill/>
                          </a:ln>
                          <a:solidFill>
                            <a:schemeClr val="bg1"/>
                          </a:solidFill>
                          <a:latin typeface="Avenir Next LT Pro"/>
                        </a:endParaRPr>
                      </a:p>
                    </xdr:txBody>
                  </xdr:sp>
                  <xdr:sp macro="" textlink="">
                    <xdr:nvSpPr>
                      <xdr:cNvPr id="3180" name="TextBox 3179">
                        <a:extLst>
                          <a:ext uri="{FF2B5EF4-FFF2-40B4-BE49-F238E27FC236}">
                            <a16:creationId xmlns:a16="http://schemas.microsoft.com/office/drawing/2014/main" id="{00000000-0008-0000-0200-00006C0C0000}"/>
                          </a:ext>
                        </a:extLst>
                      </xdr:cNvPr>
                      <xdr:cNvSpPr txBox="1"/>
                    </xdr:nvSpPr>
                    <xdr:spPr>
                      <a:xfrm>
                        <a:off x="7018125" y="6672786"/>
                        <a:ext cx="720000" cy="216000"/>
                      </a:xfrm>
                      <a:prstGeom prst="rect">
                        <a:avLst/>
                      </a:prstGeom>
                      <a:solidFill>
                        <a:srgbClr val="1D1D3A"/>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endParaRPr lang="en-US" sz="1100" b="0" i="0" u="none" strike="noStrike">
                          <a:ln>
                            <a:noFill/>
                          </a:ln>
                          <a:solidFill>
                            <a:schemeClr val="bg1"/>
                          </a:solidFill>
                          <a:latin typeface="Avenir Next LT Pro"/>
                        </a:endParaRPr>
                      </a:p>
                    </xdr:txBody>
                  </xdr:sp>
                  <xdr:sp macro="" textlink="">
                    <xdr:nvSpPr>
                      <xdr:cNvPr id="3181" name="TextBox 3180">
                        <a:extLst>
                          <a:ext uri="{FF2B5EF4-FFF2-40B4-BE49-F238E27FC236}">
                            <a16:creationId xmlns:a16="http://schemas.microsoft.com/office/drawing/2014/main" id="{00000000-0008-0000-0200-00006D0C0000}"/>
                          </a:ext>
                        </a:extLst>
                      </xdr:cNvPr>
                      <xdr:cNvSpPr txBox="1"/>
                    </xdr:nvSpPr>
                    <xdr:spPr>
                      <a:xfrm>
                        <a:off x="7018125" y="6888785"/>
                        <a:ext cx="720000" cy="216000"/>
                      </a:xfrm>
                      <a:prstGeom prst="rect">
                        <a:avLst/>
                      </a:prstGeom>
                      <a:solidFill>
                        <a:srgbClr val="1D1D3A"/>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endParaRPr lang="en-US" sz="1100" b="0" i="0" u="none" strike="noStrike">
                          <a:ln>
                            <a:noFill/>
                          </a:ln>
                          <a:solidFill>
                            <a:schemeClr val="bg1"/>
                          </a:solidFill>
                          <a:latin typeface="Avenir Next LT Pro"/>
                        </a:endParaRPr>
                      </a:p>
                    </xdr:txBody>
                  </xdr:sp>
                </xdr:grpSp>
              </xdr:grpSp>
              <xdr:sp macro="" textlink="">
                <xdr:nvSpPr>
                  <xdr:cNvPr id="3193" name="TextBox 3192">
                    <a:extLst>
                      <a:ext uri="{FF2B5EF4-FFF2-40B4-BE49-F238E27FC236}">
                        <a16:creationId xmlns:a16="http://schemas.microsoft.com/office/drawing/2014/main" id="{00000000-0008-0000-0200-0000790C0000}"/>
                      </a:ext>
                    </a:extLst>
                  </xdr:cNvPr>
                  <xdr:cNvSpPr txBox="1"/>
                </xdr:nvSpPr>
                <xdr:spPr>
                  <a:xfrm>
                    <a:off x="5177562" y="7038975"/>
                    <a:ext cx="1112343" cy="279702"/>
                  </a:xfrm>
                  <a:prstGeom prst="rect">
                    <a:avLst/>
                  </a:prstGeom>
                  <a:solidFill>
                    <a:srgbClr val="1D1D3A"/>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endParaRPr lang="en-US" sz="1100" b="0" i="0" u="none" strike="noStrike">
                      <a:ln>
                        <a:noFill/>
                      </a:ln>
                      <a:solidFill>
                        <a:schemeClr val="bg1"/>
                      </a:solidFill>
                      <a:latin typeface="Avenir Next LT Pro"/>
                    </a:endParaRPr>
                  </a:p>
                </xdr:txBody>
              </xdr:sp>
            </xdr:grpSp>
          </xdr:grpSp>
        </xdr:grpSp>
        <xdr:sp macro="" textlink="Pivot_tables!CC4">
          <xdr:nvSpPr>
            <xdr:cNvPr id="2" name="TextBox 1">
              <a:extLst>
                <a:ext uri="{FF2B5EF4-FFF2-40B4-BE49-F238E27FC236}">
                  <a16:creationId xmlns:a16="http://schemas.microsoft.com/office/drawing/2014/main" id="{00000000-0008-0000-0200-000002000000}"/>
                </a:ext>
              </a:extLst>
            </xdr:cNvPr>
            <xdr:cNvSpPr txBox="1"/>
          </xdr:nvSpPr>
          <xdr:spPr>
            <a:xfrm>
              <a:off x="4709574" y="2000250"/>
              <a:ext cx="3762374" cy="647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4153B7AE-4234-4F39-AE3F-14089FB8E2B4}" type="TxLink">
                <a:rPr lang="en-US" sz="1400" b="0" i="0" u="none" strike="noStrike" cap="none" spc="0">
                  <a:ln w="0"/>
                  <a:solidFill>
                    <a:srgbClr val="B1F5F1"/>
                  </a:solidFill>
                  <a:effectLst>
                    <a:outerShdw blurRad="38100" dist="25400" dir="5400000" algn="ctr" rotWithShape="0">
                      <a:srgbClr val="6E747A">
                        <a:alpha val="43000"/>
                      </a:srgbClr>
                    </a:outerShdw>
                  </a:effectLst>
                  <a:latin typeface="Avenir Next LT Pro"/>
                </a:rPr>
                <a:pPr algn="ctr"/>
                <a:t>Distribution of Σ Sales of $1881525 Over Cust Segment, where # of Orders are 1361</a:t>
              </a:fld>
              <a:endParaRPr lang="en-CA" sz="1800" b="0" cap="none" spc="0">
                <a:ln w="0"/>
                <a:solidFill>
                  <a:srgbClr val="B1F5F1"/>
                </a:solidFill>
                <a:effectLst>
                  <a:outerShdw blurRad="38100" dist="25400" dir="5400000" algn="ctr" rotWithShape="0">
                    <a:srgbClr val="6E747A">
                      <a:alpha val="43000"/>
                    </a:srgbClr>
                  </a:outerShdw>
                </a:effectLst>
              </a:endParaRPr>
            </a:p>
          </xdr:txBody>
        </xdr:sp>
      </xdr:grpSp>
      <xdr:grpSp>
        <xdr:nvGrpSpPr>
          <xdr:cNvPr id="43" name="Group 42">
            <a:extLst>
              <a:ext uri="{FF2B5EF4-FFF2-40B4-BE49-F238E27FC236}">
                <a16:creationId xmlns:a16="http://schemas.microsoft.com/office/drawing/2014/main" id="{00000000-0008-0000-0200-00002B000000}"/>
              </a:ext>
            </a:extLst>
          </xdr:cNvPr>
          <xdr:cNvGrpSpPr/>
        </xdr:nvGrpSpPr>
        <xdr:grpSpPr>
          <a:xfrm>
            <a:off x="7058025" y="3133725"/>
            <a:ext cx="108000" cy="850950"/>
            <a:chOff x="7429500" y="3133725"/>
            <a:chExt cx="108000" cy="850950"/>
          </a:xfrm>
        </xdr:grpSpPr>
        <xdr:sp macro="" textlink="">
          <xdr:nvSpPr>
            <xdr:cNvPr id="12" name="Oval 11">
              <a:extLst>
                <a:ext uri="{FF2B5EF4-FFF2-40B4-BE49-F238E27FC236}">
                  <a16:creationId xmlns:a16="http://schemas.microsoft.com/office/drawing/2014/main" id="{00000000-0008-0000-0200-00000C000000}"/>
                </a:ext>
              </a:extLst>
            </xdr:cNvPr>
            <xdr:cNvSpPr/>
          </xdr:nvSpPr>
          <xdr:spPr>
            <a:xfrm>
              <a:off x="7429500" y="3133725"/>
              <a:ext cx="108000" cy="108000"/>
            </a:xfrm>
            <a:prstGeom prst="ellipse">
              <a:avLst/>
            </a:prstGeom>
            <a:solidFill>
              <a:srgbClr val="B1F5F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sp macro="" textlink="">
          <xdr:nvSpPr>
            <xdr:cNvPr id="13" name="Oval 12">
              <a:extLst>
                <a:ext uri="{FF2B5EF4-FFF2-40B4-BE49-F238E27FC236}">
                  <a16:creationId xmlns:a16="http://schemas.microsoft.com/office/drawing/2014/main" id="{00000000-0008-0000-0200-00000D000000}"/>
                </a:ext>
              </a:extLst>
            </xdr:cNvPr>
            <xdr:cNvSpPr/>
          </xdr:nvSpPr>
          <xdr:spPr>
            <a:xfrm>
              <a:off x="7429500" y="3381375"/>
              <a:ext cx="108000" cy="108000"/>
            </a:xfrm>
            <a:prstGeom prst="ellipse">
              <a:avLst/>
            </a:prstGeom>
            <a:solidFill>
              <a:srgbClr val="7417BD"/>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sp macro="" textlink="">
          <xdr:nvSpPr>
            <xdr:cNvPr id="40" name="Oval 39">
              <a:extLst>
                <a:ext uri="{FF2B5EF4-FFF2-40B4-BE49-F238E27FC236}">
                  <a16:creationId xmlns:a16="http://schemas.microsoft.com/office/drawing/2014/main" id="{00000000-0008-0000-0200-000028000000}"/>
                </a:ext>
              </a:extLst>
            </xdr:cNvPr>
            <xdr:cNvSpPr/>
          </xdr:nvSpPr>
          <xdr:spPr>
            <a:xfrm>
              <a:off x="7429500" y="3629025"/>
              <a:ext cx="108000" cy="108000"/>
            </a:xfrm>
            <a:prstGeom prst="ellipse">
              <a:avLst/>
            </a:prstGeom>
            <a:solidFill>
              <a:srgbClr val="D4326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sp macro="" textlink="">
          <xdr:nvSpPr>
            <xdr:cNvPr id="42" name="Oval 41">
              <a:extLst>
                <a:ext uri="{FF2B5EF4-FFF2-40B4-BE49-F238E27FC236}">
                  <a16:creationId xmlns:a16="http://schemas.microsoft.com/office/drawing/2014/main" id="{00000000-0008-0000-0200-00002A000000}"/>
                </a:ext>
              </a:extLst>
            </xdr:cNvPr>
            <xdr:cNvSpPr/>
          </xdr:nvSpPr>
          <xdr:spPr>
            <a:xfrm>
              <a:off x="7429500" y="3876675"/>
              <a:ext cx="108000" cy="108000"/>
            </a:xfrm>
            <a:prstGeom prst="ellipse">
              <a:avLst/>
            </a:prstGeom>
            <a:solidFill>
              <a:srgbClr val="194AFE"/>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grpSp>
    </xdr:grpSp>
    <xdr:clientData/>
  </xdr:twoCellAnchor>
  <xdr:twoCellAnchor>
    <xdr:from>
      <xdr:col>15</xdr:col>
      <xdr:colOff>223873</xdr:colOff>
      <xdr:row>12</xdr:row>
      <xdr:rowOff>2005</xdr:rowOff>
    </xdr:from>
    <xdr:to>
      <xdr:col>23</xdr:col>
      <xdr:colOff>387073</xdr:colOff>
      <xdr:row>27</xdr:row>
      <xdr:rowOff>58518</xdr:rowOff>
    </xdr:to>
    <xdr:grpSp>
      <xdr:nvGrpSpPr>
        <xdr:cNvPr id="57" name="Group 56">
          <a:extLst>
            <a:ext uri="{FF2B5EF4-FFF2-40B4-BE49-F238E27FC236}">
              <a16:creationId xmlns:a16="http://schemas.microsoft.com/office/drawing/2014/main" id="{00000000-0008-0000-0200-000039000000}"/>
            </a:ext>
          </a:extLst>
        </xdr:cNvPr>
        <xdr:cNvGrpSpPr/>
      </xdr:nvGrpSpPr>
      <xdr:grpSpPr>
        <a:xfrm>
          <a:off x="9367873" y="1973680"/>
          <a:ext cx="5040000" cy="2599688"/>
          <a:chOff x="9367873" y="1973680"/>
          <a:chExt cx="5040000" cy="2599688"/>
        </a:xfrm>
      </xdr:grpSpPr>
      <xdr:grpSp>
        <xdr:nvGrpSpPr>
          <xdr:cNvPr id="10" name="Group 9">
            <a:extLst>
              <a:ext uri="{FF2B5EF4-FFF2-40B4-BE49-F238E27FC236}">
                <a16:creationId xmlns:a16="http://schemas.microsoft.com/office/drawing/2014/main" id="{00000000-0008-0000-0200-00000A000000}"/>
              </a:ext>
            </a:extLst>
          </xdr:cNvPr>
          <xdr:cNvGrpSpPr/>
        </xdr:nvGrpSpPr>
        <xdr:grpSpPr>
          <a:xfrm>
            <a:off x="9367873" y="1973680"/>
            <a:ext cx="5040000" cy="2599688"/>
            <a:chOff x="9367873" y="1973680"/>
            <a:chExt cx="5040000" cy="2599688"/>
          </a:xfrm>
        </xdr:grpSpPr>
        <xdr:grpSp>
          <xdr:nvGrpSpPr>
            <xdr:cNvPr id="123" name="Group 122">
              <a:extLst>
                <a:ext uri="{FF2B5EF4-FFF2-40B4-BE49-F238E27FC236}">
                  <a16:creationId xmlns:a16="http://schemas.microsoft.com/office/drawing/2014/main" id="{00000000-0008-0000-0200-00007B000000}"/>
                </a:ext>
              </a:extLst>
            </xdr:cNvPr>
            <xdr:cNvGrpSpPr/>
          </xdr:nvGrpSpPr>
          <xdr:grpSpPr>
            <a:xfrm>
              <a:off x="9367873" y="1973680"/>
              <a:ext cx="5040000" cy="2599688"/>
              <a:chOff x="8327798" y="4802605"/>
              <a:chExt cx="5040000" cy="2599688"/>
            </a:xfrm>
          </xdr:grpSpPr>
          <xdr:sp macro="" textlink="">
            <xdr:nvSpPr>
              <xdr:cNvPr id="3207" name="Rectangle: Rounded Corners 40">
                <a:extLst>
                  <a:ext uri="{FF2B5EF4-FFF2-40B4-BE49-F238E27FC236}">
                    <a16:creationId xmlns:a16="http://schemas.microsoft.com/office/drawing/2014/main" id="{00000000-0008-0000-0200-0000870C0000}"/>
                  </a:ext>
                </a:extLst>
              </xdr:cNvPr>
              <xdr:cNvSpPr/>
            </xdr:nvSpPr>
            <xdr:spPr>
              <a:xfrm>
                <a:off x="8327798" y="4802605"/>
                <a:ext cx="5040000" cy="2599688"/>
              </a:xfrm>
              <a:prstGeom prst="roundRect">
                <a:avLst>
                  <a:gd name="adj" fmla="val 10439"/>
                </a:avLst>
              </a:prstGeom>
              <a:gradFill>
                <a:gsLst>
                  <a:gs pos="0">
                    <a:srgbClr val="DC25FA">
                      <a:alpha val="20000"/>
                    </a:srgbClr>
                  </a:gs>
                  <a:gs pos="63000">
                    <a:srgbClr val="9947F7">
                      <a:alpha val="20000"/>
                    </a:srgbClr>
                  </a:gs>
                </a:gsLst>
                <a:lin ang="3900000" scaled="0"/>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lvl="0" algn="ctr"/>
                <a:endParaRPr lang="en-US" sz="1400">
                  <a:solidFill>
                    <a:schemeClr val="bg1"/>
                  </a:solidFill>
                </a:endParaRPr>
              </a:p>
            </xdr:txBody>
          </xdr:sp>
          <xdr:grpSp>
            <xdr:nvGrpSpPr>
              <xdr:cNvPr id="122" name="Group 121">
                <a:extLst>
                  <a:ext uri="{FF2B5EF4-FFF2-40B4-BE49-F238E27FC236}">
                    <a16:creationId xmlns:a16="http://schemas.microsoft.com/office/drawing/2014/main" id="{00000000-0008-0000-0200-00007A000000}"/>
                  </a:ext>
                </a:extLst>
              </xdr:cNvPr>
              <xdr:cNvGrpSpPr/>
            </xdr:nvGrpSpPr>
            <xdr:grpSpPr>
              <a:xfrm>
                <a:off x="8327798" y="5494387"/>
                <a:ext cx="5040000" cy="1622793"/>
                <a:chOff x="8327798" y="5494387"/>
                <a:chExt cx="5040000" cy="1622793"/>
              </a:xfrm>
            </xdr:grpSpPr>
            <xdr:grpSp>
              <xdr:nvGrpSpPr>
                <xdr:cNvPr id="3213" name="Group 3212">
                  <a:extLst>
                    <a:ext uri="{FF2B5EF4-FFF2-40B4-BE49-F238E27FC236}">
                      <a16:creationId xmlns:a16="http://schemas.microsoft.com/office/drawing/2014/main" id="{00000000-0008-0000-0200-00008D0C0000}"/>
                    </a:ext>
                  </a:extLst>
                </xdr:cNvPr>
                <xdr:cNvGrpSpPr/>
              </xdr:nvGrpSpPr>
              <xdr:grpSpPr>
                <a:xfrm>
                  <a:off x="8327798" y="5494387"/>
                  <a:ext cx="1701696" cy="1622793"/>
                  <a:chOff x="8514791" y="5463807"/>
                  <a:chExt cx="1701696" cy="1854870"/>
                </a:xfrm>
              </xdr:grpSpPr>
              <xdr:grpSp>
                <xdr:nvGrpSpPr>
                  <xdr:cNvPr id="3246" name="Group 3245">
                    <a:extLst>
                      <a:ext uri="{FF2B5EF4-FFF2-40B4-BE49-F238E27FC236}">
                        <a16:creationId xmlns:a16="http://schemas.microsoft.com/office/drawing/2014/main" id="{00000000-0008-0000-0200-0000AE0C0000}"/>
                      </a:ext>
                    </a:extLst>
                  </xdr:cNvPr>
                  <xdr:cNvGrpSpPr/>
                </xdr:nvGrpSpPr>
                <xdr:grpSpPr>
                  <a:xfrm>
                    <a:off x="8514791" y="5463807"/>
                    <a:ext cx="1701696" cy="1575168"/>
                    <a:chOff x="8474036" y="5863857"/>
                    <a:chExt cx="1598400" cy="1216422"/>
                  </a:xfrm>
                </xdr:grpSpPr>
                <xdr:sp macro="" textlink="Pivot_tables!BK5">
                  <xdr:nvSpPr>
                    <xdr:cNvPr id="3248" name="TextBox 3247">
                      <a:extLst>
                        <a:ext uri="{FF2B5EF4-FFF2-40B4-BE49-F238E27FC236}">
                          <a16:creationId xmlns:a16="http://schemas.microsoft.com/office/drawing/2014/main" id="{00000000-0008-0000-0200-0000B00C0000}"/>
                        </a:ext>
                      </a:extLst>
                    </xdr:cNvPr>
                    <xdr:cNvSpPr txBox="1"/>
                  </xdr:nvSpPr>
                  <xdr:spPr>
                    <a:xfrm>
                      <a:off x="8474036" y="5863857"/>
                      <a:ext cx="1598400" cy="352425"/>
                    </a:xfrm>
                    <a:prstGeom prst="rect">
                      <a:avLst/>
                    </a:prstGeom>
                    <a:solidFill>
                      <a:srgbClr val="1D1D3A"/>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4B294D1A-3F22-4763-8F26-7EB66F58D604}" type="TxLink">
                        <a:rPr lang="en-US" sz="1400" b="0" i="0" u="none" strike="noStrike">
                          <a:ln>
                            <a:noFill/>
                          </a:ln>
                          <a:solidFill>
                            <a:srgbClr val="D43260"/>
                          </a:solidFill>
                          <a:latin typeface="Avenir Next LT Pro"/>
                        </a:rPr>
                        <a:pPr algn="l"/>
                        <a:t>Order Priority</a:t>
                      </a:fld>
                      <a:endParaRPr lang="en-US" sz="1800" b="0" i="0" u="none" strike="noStrike">
                        <a:ln>
                          <a:noFill/>
                        </a:ln>
                        <a:solidFill>
                          <a:srgbClr val="D43260"/>
                        </a:solidFill>
                        <a:latin typeface="Avenir Next LT Pro"/>
                      </a:endParaRPr>
                    </a:p>
                  </xdr:txBody>
                </xdr:sp>
                <xdr:grpSp>
                  <xdr:nvGrpSpPr>
                    <xdr:cNvPr id="3249" name="Group 3248">
                      <a:extLst>
                        <a:ext uri="{FF2B5EF4-FFF2-40B4-BE49-F238E27FC236}">
                          <a16:creationId xmlns:a16="http://schemas.microsoft.com/office/drawing/2014/main" id="{00000000-0008-0000-0200-0000B10C0000}"/>
                        </a:ext>
                      </a:extLst>
                    </xdr:cNvPr>
                    <xdr:cNvGrpSpPr/>
                  </xdr:nvGrpSpPr>
                  <xdr:grpSpPr>
                    <a:xfrm>
                      <a:off x="8474036" y="6216281"/>
                      <a:ext cx="1597789" cy="863998"/>
                      <a:chOff x="8991825" y="6240787"/>
                      <a:chExt cx="1080000" cy="863998"/>
                    </a:xfrm>
                  </xdr:grpSpPr>
                  <xdr:sp macro="" textlink="Pivot_tables!BK6">
                    <xdr:nvSpPr>
                      <xdr:cNvPr id="3250" name="TextBox 3249">
                        <a:extLst>
                          <a:ext uri="{FF2B5EF4-FFF2-40B4-BE49-F238E27FC236}">
                            <a16:creationId xmlns:a16="http://schemas.microsoft.com/office/drawing/2014/main" id="{00000000-0008-0000-0200-0000B20C0000}"/>
                          </a:ext>
                        </a:extLst>
                      </xdr:cNvPr>
                      <xdr:cNvSpPr txBox="1"/>
                    </xdr:nvSpPr>
                    <xdr:spPr>
                      <a:xfrm>
                        <a:off x="8991825" y="6240787"/>
                        <a:ext cx="1080000" cy="216000"/>
                      </a:xfrm>
                      <a:prstGeom prst="rect">
                        <a:avLst/>
                      </a:prstGeom>
                      <a:solidFill>
                        <a:srgbClr val="1D1D3A"/>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8366D323-50F7-463E-8AA0-6374CD81D029}" type="TxLink">
                          <a:rPr lang="en-US" sz="1100" b="0" i="0" u="none" strike="noStrike">
                            <a:ln>
                              <a:noFill/>
                            </a:ln>
                            <a:solidFill>
                              <a:schemeClr val="bg1"/>
                            </a:solidFill>
                            <a:latin typeface="Avenir Next LT Pro"/>
                          </a:rPr>
                          <a:pPr algn="l"/>
                          <a:t>Low</a:t>
                        </a:fld>
                        <a:endParaRPr lang="en-US" sz="1200" b="0" i="0" u="none" strike="noStrike">
                          <a:ln>
                            <a:noFill/>
                          </a:ln>
                          <a:solidFill>
                            <a:schemeClr val="bg1"/>
                          </a:solidFill>
                          <a:latin typeface="Avenir Next LT Pro"/>
                        </a:endParaRPr>
                      </a:p>
                    </xdr:txBody>
                  </xdr:sp>
                  <xdr:sp macro="" textlink="Pivot_tables!BK7">
                    <xdr:nvSpPr>
                      <xdr:cNvPr id="3251" name="TextBox 3250">
                        <a:extLst>
                          <a:ext uri="{FF2B5EF4-FFF2-40B4-BE49-F238E27FC236}">
                            <a16:creationId xmlns:a16="http://schemas.microsoft.com/office/drawing/2014/main" id="{00000000-0008-0000-0200-0000B30C0000}"/>
                          </a:ext>
                        </a:extLst>
                      </xdr:cNvPr>
                      <xdr:cNvSpPr txBox="1"/>
                    </xdr:nvSpPr>
                    <xdr:spPr>
                      <a:xfrm>
                        <a:off x="8991825" y="6456787"/>
                        <a:ext cx="1080000" cy="216000"/>
                      </a:xfrm>
                      <a:prstGeom prst="rect">
                        <a:avLst/>
                      </a:prstGeom>
                      <a:solidFill>
                        <a:srgbClr val="1D1D3A"/>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50309B01-AF73-4C5C-B555-12DCDD0C6901}" type="TxLink">
                          <a:rPr lang="en-US" sz="1100" b="0" i="0" u="none" strike="noStrike">
                            <a:ln>
                              <a:noFill/>
                            </a:ln>
                            <a:solidFill>
                              <a:schemeClr val="bg1"/>
                            </a:solidFill>
                            <a:latin typeface="Avenir Next LT Pro"/>
                          </a:rPr>
                          <a:pPr algn="l"/>
                          <a:t>Medium</a:t>
                        </a:fld>
                        <a:endParaRPr lang="en-US" sz="1200" b="0" i="0" u="none" strike="noStrike">
                          <a:ln>
                            <a:noFill/>
                          </a:ln>
                          <a:solidFill>
                            <a:schemeClr val="bg1"/>
                          </a:solidFill>
                          <a:latin typeface="Avenir Next LT Pro"/>
                        </a:endParaRPr>
                      </a:p>
                    </xdr:txBody>
                  </xdr:sp>
                  <xdr:sp macro="" textlink="Pivot_tables!BK8">
                    <xdr:nvSpPr>
                      <xdr:cNvPr id="3252" name="TextBox 3251">
                        <a:extLst>
                          <a:ext uri="{FF2B5EF4-FFF2-40B4-BE49-F238E27FC236}">
                            <a16:creationId xmlns:a16="http://schemas.microsoft.com/office/drawing/2014/main" id="{00000000-0008-0000-0200-0000B40C0000}"/>
                          </a:ext>
                        </a:extLst>
                      </xdr:cNvPr>
                      <xdr:cNvSpPr txBox="1"/>
                    </xdr:nvSpPr>
                    <xdr:spPr>
                      <a:xfrm>
                        <a:off x="8991825" y="6672786"/>
                        <a:ext cx="1080000" cy="216000"/>
                      </a:xfrm>
                      <a:prstGeom prst="rect">
                        <a:avLst/>
                      </a:prstGeom>
                      <a:solidFill>
                        <a:srgbClr val="1D1D3A"/>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4B93D631-D369-4B3B-8E82-C5E2D148EFFE}" type="TxLink">
                          <a:rPr lang="en-US" sz="1100" b="0" i="0" u="none" strike="noStrike">
                            <a:ln>
                              <a:noFill/>
                            </a:ln>
                            <a:solidFill>
                              <a:schemeClr val="bg1"/>
                            </a:solidFill>
                            <a:latin typeface="Avenir Next LT Pro"/>
                          </a:rPr>
                          <a:pPr algn="l"/>
                          <a:t>High</a:t>
                        </a:fld>
                        <a:endParaRPr lang="en-US" sz="1200" b="0" i="0" u="none" strike="noStrike">
                          <a:ln>
                            <a:noFill/>
                          </a:ln>
                          <a:solidFill>
                            <a:schemeClr val="bg1"/>
                          </a:solidFill>
                          <a:latin typeface="Avenir Next LT Pro"/>
                        </a:endParaRPr>
                      </a:p>
                    </xdr:txBody>
                  </xdr:sp>
                  <xdr:sp macro="" textlink="Pivot_tables!BK9">
                    <xdr:nvSpPr>
                      <xdr:cNvPr id="3253" name="TextBox 3252">
                        <a:extLst>
                          <a:ext uri="{FF2B5EF4-FFF2-40B4-BE49-F238E27FC236}">
                            <a16:creationId xmlns:a16="http://schemas.microsoft.com/office/drawing/2014/main" id="{00000000-0008-0000-0200-0000B50C0000}"/>
                          </a:ext>
                        </a:extLst>
                      </xdr:cNvPr>
                      <xdr:cNvSpPr txBox="1"/>
                    </xdr:nvSpPr>
                    <xdr:spPr>
                      <a:xfrm>
                        <a:off x="8991825" y="6888785"/>
                        <a:ext cx="1080000" cy="216000"/>
                      </a:xfrm>
                      <a:prstGeom prst="rect">
                        <a:avLst/>
                      </a:prstGeom>
                      <a:solidFill>
                        <a:srgbClr val="1D1D3A"/>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5D3AD9CB-F5EA-470C-B15C-2DB9C07F5744}" type="TxLink">
                          <a:rPr lang="en-US" sz="1100" b="0" i="0" u="none" strike="noStrike">
                            <a:ln>
                              <a:noFill/>
                            </a:ln>
                            <a:solidFill>
                              <a:schemeClr val="bg1"/>
                            </a:solidFill>
                            <a:latin typeface="Avenir Next LT Pro"/>
                          </a:rPr>
                          <a:pPr algn="l"/>
                          <a:t>Critical</a:t>
                        </a:fld>
                        <a:endParaRPr lang="en-US" sz="1200" b="0" i="0" u="none" strike="noStrike">
                          <a:ln>
                            <a:noFill/>
                          </a:ln>
                          <a:solidFill>
                            <a:schemeClr val="bg1"/>
                          </a:solidFill>
                          <a:latin typeface="Avenir Next LT Pro"/>
                        </a:endParaRPr>
                      </a:p>
                    </xdr:txBody>
                  </xdr:sp>
                </xdr:grpSp>
              </xdr:grpSp>
              <xdr:sp macro="" textlink="Pivot_tables!BK10">
                <xdr:nvSpPr>
                  <xdr:cNvPr id="3247" name="TextBox 3246">
                    <a:extLst>
                      <a:ext uri="{FF2B5EF4-FFF2-40B4-BE49-F238E27FC236}">
                        <a16:creationId xmlns:a16="http://schemas.microsoft.com/office/drawing/2014/main" id="{00000000-0008-0000-0200-0000AF0C0000}"/>
                      </a:ext>
                    </a:extLst>
                  </xdr:cNvPr>
                  <xdr:cNvSpPr txBox="1"/>
                </xdr:nvSpPr>
                <xdr:spPr>
                  <a:xfrm>
                    <a:off x="8515441" y="7038975"/>
                    <a:ext cx="1701046" cy="279702"/>
                  </a:xfrm>
                  <a:prstGeom prst="rect">
                    <a:avLst/>
                  </a:prstGeom>
                  <a:solidFill>
                    <a:srgbClr val="1D1D3A"/>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E69F401D-611B-42A5-83E8-F6BD33C75B9E}" type="TxLink">
                      <a:rPr lang="en-US" sz="1100" b="0" i="0" u="none" strike="noStrike">
                        <a:ln>
                          <a:noFill/>
                        </a:ln>
                        <a:solidFill>
                          <a:schemeClr val="bg1"/>
                        </a:solidFill>
                        <a:latin typeface="Avenir Next LT Pro"/>
                      </a:rPr>
                      <a:pPr algn="l"/>
                      <a:t>N/A</a:t>
                    </a:fld>
                    <a:endParaRPr lang="en-US" sz="1100" b="0" i="0" u="none" strike="noStrike">
                      <a:ln>
                        <a:noFill/>
                      </a:ln>
                      <a:solidFill>
                        <a:schemeClr val="bg1"/>
                      </a:solidFill>
                      <a:latin typeface="Avenir Next LT Pro"/>
                    </a:endParaRPr>
                  </a:p>
                </xdr:txBody>
              </xdr:sp>
            </xdr:grpSp>
            <xdr:grpSp>
              <xdr:nvGrpSpPr>
                <xdr:cNvPr id="3214" name="Group 3213">
                  <a:extLst>
                    <a:ext uri="{FF2B5EF4-FFF2-40B4-BE49-F238E27FC236}">
                      <a16:creationId xmlns:a16="http://schemas.microsoft.com/office/drawing/2014/main" id="{00000000-0008-0000-0200-00008E0C0000}"/>
                    </a:ext>
                  </a:extLst>
                </xdr:cNvPr>
                <xdr:cNvGrpSpPr/>
              </xdr:nvGrpSpPr>
              <xdr:grpSpPr>
                <a:xfrm>
                  <a:off x="10029493" y="5494387"/>
                  <a:ext cx="1112993" cy="1622793"/>
                  <a:chOff x="7402023" y="5463807"/>
                  <a:chExt cx="1112993" cy="1854870"/>
                </a:xfrm>
              </xdr:grpSpPr>
              <xdr:grpSp>
                <xdr:nvGrpSpPr>
                  <xdr:cNvPr id="3234" name="Group 3233">
                    <a:extLst>
                      <a:ext uri="{FF2B5EF4-FFF2-40B4-BE49-F238E27FC236}">
                        <a16:creationId xmlns:a16="http://schemas.microsoft.com/office/drawing/2014/main" id="{00000000-0008-0000-0200-0000A20C0000}"/>
                      </a:ext>
                    </a:extLst>
                  </xdr:cNvPr>
                  <xdr:cNvGrpSpPr/>
                </xdr:nvGrpSpPr>
                <xdr:grpSpPr>
                  <a:xfrm>
                    <a:off x="7402023" y="5463807"/>
                    <a:ext cx="1112768" cy="1575168"/>
                    <a:chOff x="7408843" y="5863857"/>
                    <a:chExt cx="1065600" cy="1216422"/>
                  </a:xfrm>
                </xdr:grpSpPr>
                <xdr:sp macro="" textlink="Pivot_tables!BL5">
                  <xdr:nvSpPr>
                    <xdr:cNvPr id="3236" name="TextBox 3235">
                      <a:extLst>
                        <a:ext uri="{FF2B5EF4-FFF2-40B4-BE49-F238E27FC236}">
                          <a16:creationId xmlns:a16="http://schemas.microsoft.com/office/drawing/2014/main" id="{00000000-0008-0000-0200-0000A40C0000}"/>
                        </a:ext>
                      </a:extLst>
                    </xdr:cNvPr>
                    <xdr:cNvSpPr txBox="1"/>
                  </xdr:nvSpPr>
                  <xdr:spPr>
                    <a:xfrm>
                      <a:off x="7408843" y="5863857"/>
                      <a:ext cx="1065600" cy="352425"/>
                    </a:xfrm>
                    <a:prstGeom prst="rect">
                      <a:avLst/>
                    </a:prstGeom>
                    <a:solidFill>
                      <a:srgbClr val="1D1D3A"/>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73252D1-418A-492B-93C6-00785D668FD3}" type="TxLink">
                        <a:rPr lang="en-US" sz="1400" b="0" i="0" u="none" strike="noStrike">
                          <a:ln>
                            <a:noFill/>
                          </a:ln>
                          <a:solidFill>
                            <a:srgbClr val="D43260"/>
                          </a:solidFill>
                          <a:latin typeface="Avenir Next LT Pro"/>
                        </a:rPr>
                        <a:pPr algn="ctr"/>
                        <a:t>Profit</a:t>
                      </a:fld>
                      <a:endParaRPr lang="en-US" sz="1800" b="0" i="0" u="none" strike="noStrike">
                        <a:ln>
                          <a:noFill/>
                        </a:ln>
                        <a:solidFill>
                          <a:srgbClr val="D43260"/>
                        </a:solidFill>
                        <a:latin typeface="Avenir Next LT Pro"/>
                      </a:endParaRPr>
                    </a:p>
                  </xdr:txBody>
                </xdr:sp>
                <xdr:grpSp>
                  <xdr:nvGrpSpPr>
                    <xdr:cNvPr id="3237" name="Group 3236">
                      <a:extLst>
                        <a:ext uri="{FF2B5EF4-FFF2-40B4-BE49-F238E27FC236}">
                          <a16:creationId xmlns:a16="http://schemas.microsoft.com/office/drawing/2014/main" id="{00000000-0008-0000-0200-0000A50C0000}"/>
                        </a:ext>
                      </a:extLst>
                    </xdr:cNvPr>
                    <xdr:cNvGrpSpPr/>
                  </xdr:nvGrpSpPr>
                  <xdr:grpSpPr>
                    <a:xfrm>
                      <a:off x="7408843" y="6216281"/>
                      <a:ext cx="1065193" cy="863998"/>
                      <a:chOff x="8001224" y="6240787"/>
                      <a:chExt cx="720000" cy="863998"/>
                    </a:xfrm>
                  </xdr:grpSpPr>
                  <xdr:sp macro="" textlink="Pivot_tables!BL6">
                    <xdr:nvSpPr>
                      <xdr:cNvPr id="3238" name="TextBox 3237">
                        <a:extLst>
                          <a:ext uri="{FF2B5EF4-FFF2-40B4-BE49-F238E27FC236}">
                            <a16:creationId xmlns:a16="http://schemas.microsoft.com/office/drawing/2014/main" id="{00000000-0008-0000-0200-0000A60C0000}"/>
                          </a:ext>
                        </a:extLst>
                      </xdr:cNvPr>
                      <xdr:cNvSpPr txBox="1"/>
                    </xdr:nvSpPr>
                    <xdr:spPr>
                      <a:xfrm>
                        <a:off x="8001224" y="6240787"/>
                        <a:ext cx="720000" cy="216000"/>
                      </a:xfrm>
                      <a:prstGeom prst="rect">
                        <a:avLst/>
                      </a:prstGeom>
                      <a:solidFill>
                        <a:srgbClr val="1D1D3A"/>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22AA8B0-6397-43CC-A275-03161A32E01F}" type="TxLink">
                          <a:rPr lang="en-US" sz="1100" b="0" i="0" u="none" strike="noStrike">
                            <a:ln>
                              <a:noFill/>
                            </a:ln>
                            <a:solidFill>
                              <a:schemeClr val="bg1"/>
                            </a:solidFill>
                            <a:latin typeface="Avenir Next LT Pro"/>
                          </a:rPr>
                          <a:pPr algn="ctr"/>
                          <a:t>$34,079</a:t>
                        </a:fld>
                        <a:endParaRPr lang="en-US" sz="1200" b="0" i="0" u="none" strike="noStrike">
                          <a:ln>
                            <a:noFill/>
                          </a:ln>
                          <a:solidFill>
                            <a:schemeClr val="bg1"/>
                          </a:solidFill>
                          <a:latin typeface="Avenir Next LT Pro"/>
                        </a:endParaRPr>
                      </a:p>
                    </xdr:txBody>
                  </xdr:sp>
                  <xdr:sp macro="" textlink="Pivot_tables!BL7">
                    <xdr:nvSpPr>
                      <xdr:cNvPr id="3243" name="TextBox 3242">
                        <a:extLst>
                          <a:ext uri="{FF2B5EF4-FFF2-40B4-BE49-F238E27FC236}">
                            <a16:creationId xmlns:a16="http://schemas.microsoft.com/office/drawing/2014/main" id="{00000000-0008-0000-0200-0000AB0C0000}"/>
                          </a:ext>
                        </a:extLst>
                      </xdr:cNvPr>
                      <xdr:cNvSpPr txBox="1"/>
                    </xdr:nvSpPr>
                    <xdr:spPr>
                      <a:xfrm>
                        <a:off x="8001224" y="6456787"/>
                        <a:ext cx="720000" cy="216000"/>
                      </a:xfrm>
                      <a:prstGeom prst="rect">
                        <a:avLst/>
                      </a:prstGeom>
                      <a:solidFill>
                        <a:srgbClr val="1D1D3A"/>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E1AEA416-D9F5-4A54-BDF7-137225499BA3}" type="TxLink">
                          <a:rPr lang="en-US" sz="1100" b="0" i="0" u="none" strike="noStrike">
                            <a:ln>
                              <a:noFill/>
                            </a:ln>
                            <a:solidFill>
                              <a:schemeClr val="bg1"/>
                            </a:solidFill>
                            <a:latin typeface="Avenir Next LT Pro"/>
                          </a:rPr>
                          <a:pPr algn="ctr"/>
                          <a:t>$42,580</a:t>
                        </a:fld>
                        <a:endParaRPr lang="en-US" sz="1200" b="0" i="0" u="none" strike="noStrike">
                          <a:ln>
                            <a:noFill/>
                          </a:ln>
                          <a:solidFill>
                            <a:schemeClr val="bg1"/>
                          </a:solidFill>
                          <a:latin typeface="Avenir Next LT Pro"/>
                        </a:endParaRPr>
                      </a:p>
                    </xdr:txBody>
                  </xdr:sp>
                  <xdr:sp macro="" textlink="Pivot_tables!BL8">
                    <xdr:nvSpPr>
                      <xdr:cNvPr id="3244" name="TextBox 3243">
                        <a:extLst>
                          <a:ext uri="{FF2B5EF4-FFF2-40B4-BE49-F238E27FC236}">
                            <a16:creationId xmlns:a16="http://schemas.microsoft.com/office/drawing/2014/main" id="{00000000-0008-0000-0200-0000AC0C0000}"/>
                          </a:ext>
                        </a:extLst>
                      </xdr:cNvPr>
                      <xdr:cNvSpPr txBox="1"/>
                    </xdr:nvSpPr>
                    <xdr:spPr>
                      <a:xfrm>
                        <a:off x="8001224" y="6672786"/>
                        <a:ext cx="720000" cy="216000"/>
                      </a:xfrm>
                      <a:prstGeom prst="rect">
                        <a:avLst/>
                      </a:prstGeom>
                      <a:solidFill>
                        <a:srgbClr val="1D1D3A"/>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8E139D21-473D-461E-8A5D-2BBD25C1019F}" type="TxLink">
                          <a:rPr lang="en-US" sz="1100" b="0" i="0" u="none" strike="noStrike">
                            <a:ln>
                              <a:noFill/>
                            </a:ln>
                            <a:solidFill>
                              <a:schemeClr val="bg1"/>
                            </a:solidFill>
                            <a:latin typeface="Avenir Next LT Pro"/>
                          </a:rPr>
                          <a:pPr algn="ctr"/>
                          <a:t>$35,793</a:t>
                        </a:fld>
                        <a:endParaRPr lang="en-US" sz="1200" b="0" i="0" u="none" strike="noStrike">
                          <a:ln>
                            <a:noFill/>
                          </a:ln>
                          <a:solidFill>
                            <a:schemeClr val="bg1"/>
                          </a:solidFill>
                          <a:latin typeface="Avenir Next LT Pro"/>
                        </a:endParaRPr>
                      </a:p>
                    </xdr:txBody>
                  </xdr:sp>
                  <xdr:sp macro="" textlink="Pivot_tables!BL9">
                    <xdr:nvSpPr>
                      <xdr:cNvPr id="3245" name="TextBox 3244">
                        <a:extLst>
                          <a:ext uri="{FF2B5EF4-FFF2-40B4-BE49-F238E27FC236}">
                            <a16:creationId xmlns:a16="http://schemas.microsoft.com/office/drawing/2014/main" id="{00000000-0008-0000-0200-0000AD0C0000}"/>
                          </a:ext>
                        </a:extLst>
                      </xdr:cNvPr>
                      <xdr:cNvSpPr txBox="1"/>
                    </xdr:nvSpPr>
                    <xdr:spPr>
                      <a:xfrm>
                        <a:off x="8001224" y="6888785"/>
                        <a:ext cx="720000" cy="216000"/>
                      </a:xfrm>
                      <a:prstGeom prst="rect">
                        <a:avLst/>
                      </a:prstGeom>
                      <a:solidFill>
                        <a:srgbClr val="1D1D3A"/>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988B68B4-BB13-4546-91D5-C058D38FE281}" type="TxLink">
                          <a:rPr lang="en-US" sz="1100" b="0" i="0" u="none" strike="noStrike">
                            <a:ln>
                              <a:noFill/>
                            </a:ln>
                            <a:solidFill>
                              <a:schemeClr val="bg1"/>
                            </a:solidFill>
                            <a:latin typeface="Avenir Next LT Pro"/>
                          </a:rPr>
                          <a:pPr algn="ctr"/>
                          <a:t>$35,087</a:t>
                        </a:fld>
                        <a:endParaRPr lang="en-US" sz="1200" b="0" i="0" u="none" strike="noStrike">
                          <a:ln>
                            <a:noFill/>
                          </a:ln>
                          <a:solidFill>
                            <a:schemeClr val="bg1"/>
                          </a:solidFill>
                          <a:latin typeface="Avenir Next LT Pro"/>
                        </a:endParaRPr>
                      </a:p>
                    </xdr:txBody>
                  </xdr:sp>
                </xdr:grpSp>
              </xdr:grpSp>
              <xdr:sp macro="" textlink="Pivot_tables!BL10">
                <xdr:nvSpPr>
                  <xdr:cNvPr id="3235" name="TextBox 3234">
                    <a:extLst>
                      <a:ext uri="{FF2B5EF4-FFF2-40B4-BE49-F238E27FC236}">
                        <a16:creationId xmlns:a16="http://schemas.microsoft.com/office/drawing/2014/main" id="{00000000-0008-0000-0200-0000A30C0000}"/>
                      </a:ext>
                    </a:extLst>
                  </xdr:cNvPr>
                  <xdr:cNvSpPr txBox="1"/>
                </xdr:nvSpPr>
                <xdr:spPr>
                  <a:xfrm>
                    <a:off x="7402673" y="7038975"/>
                    <a:ext cx="1112343" cy="279702"/>
                  </a:xfrm>
                  <a:prstGeom prst="rect">
                    <a:avLst/>
                  </a:prstGeom>
                  <a:solidFill>
                    <a:srgbClr val="1D1D3A"/>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ED4E72B9-DB32-44D6-B13B-848FF26A6B96}" type="TxLink">
                      <a:rPr lang="en-US" sz="1100" b="0" i="0" u="none" strike="noStrike">
                        <a:ln>
                          <a:noFill/>
                        </a:ln>
                        <a:solidFill>
                          <a:schemeClr val="bg1"/>
                        </a:solidFill>
                        <a:latin typeface="Avenir Next LT Pro"/>
                      </a:rPr>
                      <a:pPr algn="ctr"/>
                      <a:t>$67,485</a:t>
                    </a:fld>
                    <a:endParaRPr lang="en-US" b="0" i="0" u="none" strike="noStrike">
                      <a:ln>
                        <a:noFill/>
                      </a:ln>
                      <a:solidFill>
                        <a:schemeClr val="bg1"/>
                      </a:solidFill>
                      <a:latin typeface="Avenir Next LT Pro"/>
                    </a:endParaRPr>
                  </a:p>
                </xdr:txBody>
              </xdr:sp>
            </xdr:grpSp>
            <xdr:grpSp>
              <xdr:nvGrpSpPr>
                <xdr:cNvPr id="3215" name="Group 3214">
                  <a:extLst>
                    <a:ext uri="{FF2B5EF4-FFF2-40B4-BE49-F238E27FC236}">
                      <a16:creationId xmlns:a16="http://schemas.microsoft.com/office/drawing/2014/main" id="{00000000-0008-0000-0200-00008F0C0000}"/>
                    </a:ext>
                  </a:extLst>
                </xdr:cNvPr>
                <xdr:cNvGrpSpPr/>
              </xdr:nvGrpSpPr>
              <xdr:grpSpPr>
                <a:xfrm>
                  <a:off x="11140962" y="5494387"/>
                  <a:ext cx="1113418" cy="1622793"/>
                  <a:chOff x="6289255" y="5463807"/>
                  <a:chExt cx="1113418" cy="1854870"/>
                </a:xfrm>
              </xdr:grpSpPr>
              <xdr:grpSp>
                <xdr:nvGrpSpPr>
                  <xdr:cNvPr id="3226" name="Group 3225">
                    <a:extLst>
                      <a:ext uri="{FF2B5EF4-FFF2-40B4-BE49-F238E27FC236}">
                        <a16:creationId xmlns:a16="http://schemas.microsoft.com/office/drawing/2014/main" id="{00000000-0008-0000-0200-00009A0C0000}"/>
                      </a:ext>
                    </a:extLst>
                  </xdr:cNvPr>
                  <xdr:cNvGrpSpPr/>
                </xdr:nvGrpSpPr>
                <xdr:grpSpPr>
                  <a:xfrm>
                    <a:off x="6289255" y="5463807"/>
                    <a:ext cx="1112768" cy="1575168"/>
                    <a:chOff x="6343650" y="5863857"/>
                    <a:chExt cx="1065600" cy="1216422"/>
                  </a:xfrm>
                </xdr:grpSpPr>
                <xdr:sp macro="" textlink="Pivot_tables!BQ5">
                  <xdr:nvSpPr>
                    <xdr:cNvPr id="3228" name="TextBox 3227">
                      <a:extLst>
                        <a:ext uri="{FF2B5EF4-FFF2-40B4-BE49-F238E27FC236}">
                          <a16:creationId xmlns:a16="http://schemas.microsoft.com/office/drawing/2014/main" id="{00000000-0008-0000-0200-00009C0C0000}"/>
                        </a:ext>
                      </a:extLst>
                    </xdr:cNvPr>
                    <xdr:cNvSpPr txBox="1"/>
                  </xdr:nvSpPr>
                  <xdr:spPr>
                    <a:xfrm>
                      <a:off x="6343650" y="5863857"/>
                      <a:ext cx="1065600" cy="352425"/>
                    </a:xfrm>
                    <a:prstGeom prst="rect">
                      <a:avLst/>
                    </a:prstGeom>
                    <a:solidFill>
                      <a:srgbClr val="1D1D3A"/>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76E646A4-E871-4ECB-AA91-DE7A516DE73D}" type="TxLink">
                        <a:rPr lang="en-US" sz="1400" b="0" i="0" u="none" strike="noStrike">
                          <a:ln>
                            <a:noFill/>
                          </a:ln>
                          <a:solidFill>
                            <a:srgbClr val="D43260"/>
                          </a:solidFill>
                          <a:latin typeface="Avenir Next LT Pro"/>
                        </a:rPr>
                        <a:pPr algn="l"/>
                        <a:t># of Orders</a:t>
                      </a:fld>
                      <a:endParaRPr lang="en-US" sz="1800" b="0" i="0" u="none" strike="noStrike">
                        <a:ln>
                          <a:noFill/>
                        </a:ln>
                        <a:solidFill>
                          <a:srgbClr val="D43260"/>
                        </a:solidFill>
                        <a:latin typeface="Avenir Next LT Pro"/>
                      </a:endParaRPr>
                    </a:p>
                  </xdr:txBody>
                </xdr:sp>
                <xdr:grpSp>
                  <xdr:nvGrpSpPr>
                    <xdr:cNvPr id="3229" name="Group 3228">
                      <a:extLst>
                        <a:ext uri="{FF2B5EF4-FFF2-40B4-BE49-F238E27FC236}">
                          <a16:creationId xmlns:a16="http://schemas.microsoft.com/office/drawing/2014/main" id="{00000000-0008-0000-0200-00009D0C0000}"/>
                        </a:ext>
                      </a:extLst>
                    </xdr:cNvPr>
                    <xdr:cNvGrpSpPr/>
                  </xdr:nvGrpSpPr>
                  <xdr:grpSpPr>
                    <a:xfrm>
                      <a:off x="6344057" y="6216281"/>
                      <a:ext cx="1065193" cy="863998"/>
                      <a:chOff x="7018125" y="6240787"/>
                      <a:chExt cx="720000" cy="863998"/>
                    </a:xfrm>
                  </xdr:grpSpPr>
                  <xdr:sp macro="" textlink="Pivot_tables!BQ6">
                    <xdr:nvSpPr>
                      <xdr:cNvPr id="3230" name="TextBox 3229">
                        <a:extLst>
                          <a:ext uri="{FF2B5EF4-FFF2-40B4-BE49-F238E27FC236}">
                            <a16:creationId xmlns:a16="http://schemas.microsoft.com/office/drawing/2014/main" id="{00000000-0008-0000-0200-00009E0C0000}"/>
                          </a:ext>
                        </a:extLst>
                      </xdr:cNvPr>
                      <xdr:cNvSpPr txBox="1"/>
                    </xdr:nvSpPr>
                    <xdr:spPr>
                      <a:xfrm>
                        <a:off x="7018125" y="6240787"/>
                        <a:ext cx="720000" cy="216000"/>
                      </a:xfrm>
                      <a:prstGeom prst="rect">
                        <a:avLst/>
                      </a:prstGeom>
                      <a:solidFill>
                        <a:srgbClr val="1D1D3A"/>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908506B-C7C9-4193-B0D2-7AAB286250F7}" type="TxLink">
                          <a:rPr lang="en-US" sz="1100" b="0" i="0" u="none" strike="noStrike">
                            <a:ln>
                              <a:noFill/>
                            </a:ln>
                            <a:solidFill>
                              <a:schemeClr val="bg1"/>
                            </a:solidFill>
                            <a:latin typeface="Avenir Next LT Pro"/>
                          </a:rPr>
                          <a:pPr algn="ctr"/>
                          <a:t> 278 </a:t>
                        </a:fld>
                        <a:endParaRPr lang="en-US" sz="1200" b="0" i="0" u="none" strike="noStrike">
                          <a:ln>
                            <a:noFill/>
                          </a:ln>
                          <a:solidFill>
                            <a:schemeClr val="bg1"/>
                          </a:solidFill>
                          <a:latin typeface="Avenir Next LT Pro"/>
                        </a:endParaRPr>
                      </a:p>
                    </xdr:txBody>
                  </xdr:sp>
                  <xdr:sp macro="" textlink="Pivot_tables!BQ7">
                    <xdr:nvSpPr>
                      <xdr:cNvPr id="3231" name="TextBox 3230">
                        <a:extLst>
                          <a:ext uri="{FF2B5EF4-FFF2-40B4-BE49-F238E27FC236}">
                            <a16:creationId xmlns:a16="http://schemas.microsoft.com/office/drawing/2014/main" id="{00000000-0008-0000-0200-00009F0C0000}"/>
                          </a:ext>
                        </a:extLst>
                      </xdr:cNvPr>
                      <xdr:cNvSpPr txBox="1"/>
                    </xdr:nvSpPr>
                    <xdr:spPr>
                      <a:xfrm>
                        <a:off x="7018125" y="6456787"/>
                        <a:ext cx="720000" cy="216000"/>
                      </a:xfrm>
                      <a:prstGeom prst="rect">
                        <a:avLst/>
                      </a:prstGeom>
                      <a:solidFill>
                        <a:srgbClr val="1D1D3A"/>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5E0AD82-E204-411A-B25D-18538A2D685A}" type="TxLink">
                          <a:rPr lang="en-US" sz="1100" b="0" i="0" u="none" strike="noStrike">
                            <a:ln>
                              <a:noFill/>
                            </a:ln>
                            <a:solidFill>
                              <a:schemeClr val="bg1"/>
                            </a:solidFill>
                            <a:latin typeface="Avenir Next LT Pro"/>
                          </a:rPr>
                          <a:pPr algn="ctr"/>
                          <a:t> 263 </a:t>
                        </a:fld>
                        <a:endParaRPr lang="en-US" sz="1200" b="0" i="0" u="none" strike="noStrike">
                          <a:ln>
                            <a:noFill/>
                          </a:ln>
                          <a:solidFill>
                            <a:schemeClr val="bg1"/>
                          </a:solidFill>
                          <a:latin typeface="Avenir Next LT Pro"/>
                        </a:endParaRPr>
                      </a:p>
                    </xdr:txBody>
                  </xdr:sp>
                  <xdr:sp macro="" textlink="Pivot_tables!BQ8">
                    <xdr:nvSpPr>
                      <xdr:cNvPr id="3232" name="TextBox 3231">
                        <a:extLst>
                          <a:ext uri="{FF2B5EF4-FFF2-40B4-BE49-F238E27FC236}">
                            <a16:creationId xmlns:a16="http://schemas.microsoft.com/office/drawing/2014/main" id="{00000000-0008-0000-0200-0000A00C0000}"/>
                          </a:ext>
                        </a:extLst>
                      </xdr:cNvPr>
                      <xdr:cNvSpPr txBox="1"/>
                    </xdr:nvSpPr>
                    <xdr:spPr>
                      <a:xfrm>
                        <a:off x="7018125" y="6672786"/>
                        <a:ext cx="720000" cy="216000"/>
                      </a:xfrm>
                      <a:prstGeom prst="rect">
                        <a:avLst/>
                      </a:prstGeom>
                      <a:solidFill>
                        <a:srgbClr val="1D1D3A"/>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F1E43CB0-8F72-4B98-86BA-3B1BF138D761}" type="TxLink">
                          <a:rPr lang="en-US" sz="1100" b="0" i="0" u="none" strike="noStrike">
                            <a:ln>
                              <a:noFill/>
                            </a:ln>
                            <a:solidFill>
                              <a:schemeClr val="bg1"/>
                            </a:solidFill>
                            <a:latin typeface="Avenir Next LT Pro"/>
                          </a:rPr>
                          <a:pPr algn="ctr"/>
                          <a:t> 268 </a:t>
                        </a:fld>
                        <a:endParaRPr lang="en-US" sz="1200" b="0" i="0" u="none" strike="noStrike">
                          <a:ln>
                            <a:noFill/>
                          </a:ln>
                          <a:solidFill>
                            <a:schemeClr val="bg1"/>
                          </a:solidFill>
                          <a:latin typeface="Avenir Next LT Pro"/>
                        </a:endParaRPr>
                      </a:p>
                    </xdr:txBody>
                  </xdr:sp>
                  <xdr:sp macro="" textlink="Pivot_tables!BQ9">
                    <xdr:nvSpPr>
                      <xdr:cNvPr id="3233" name="TextBox 3232">
                        <a:extLst>
                          <a:ext uri="{FF2B5EF4-FFF2-40B4-BE49-F238E27FC236}">
                            <a16:creationId xmlns:a16="http://schemas.microsoft.com/office/drawing/2014/main" id="{00000000-0008-0000-0200-0000A10C0000}"/>
                          </a:ext>
                        </a:extLst>
                      </xdr:cNvPr>
                      <xdr:cNvSpPr txBox="1"/>
                    </xdr:nvSpPr>
                    <xdr:spPr>
                      <a:xfrm>
                        <a:off x="7018125" y="6888785"/>
                        <a:ext cx="720000" cy="216000"/>
                      </a:xfrm>
                      <a:prstGeom prst="rect">
                        <a:avLst/>
                      </a:prstGeom>
                      <a:solidFill>
                        <a:srgbClr val="1D1D3A"/>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FCEA798-F60A-4451-B95D-9A4D2CE7DEA2}" type="TxLink">
                          <a:rPr lang="en-US" sz="1100" b="0" i="0" u="none" strike="noStrike">
                            <a:ln>
                              <a:noFill/>
                            </a:ln>
                            <a:solidFill>
                              <a:schemeClr val="bg1"/>
                            </a:solidFill>
                            <a:latin typeface="Avenir Next LT Pro"/>
                          </a:rPr>
                          <a:pPr algn="ctr"/>
                          <a:t> 275 </a:t>
                        </a:fld>
                        <a:endParaRPr lang="en-US" sz="1200" b="0" i="0" u="none" strike="noStrike">
                          <a:ln>
                            <a:noFill/>
                          </a:ln>
                          <a:solidFill>
                            <a:schemeClr val="bg1"/>
                          </a:solidFill>
                          <a:latin typeface="Avenir Next LT Pro"/>
                        </a:endParaRPr>
                      </a:p>
                    </xdr:txBody>
                  </xdr:sp>
                </xdr:grpSp>
              </xdr:grpSp>
              <xdr:sp macro="" textlink="Pivot_tables!BQ10">
                <xdr:nvSpPr>
                  <xdr:cNvPr id="3227" name="TextBox 3226">
                    <a:extLst>
                      <a:ext uri="{FF2B5EF4-FFF2-40B4-BE49-F238E27FC236}">
                        <a16:creationId xmlns:a16="http://schemas.microsoft.com/office/drawing/2014/main" id="{00000000-0008-0000-0200-00009B0C0000}"/>
                      </a:ext>
                    </a:extLst>
                  </xdr:cNvPr>
                  <xdr:cNvSpPr txBox="1"/>
                </xdr:nvSpPr>
                <xdr:spPr>
                  <a:xfrm>
                    <a:off x="6290330" y="7038975"/>
                    <a:ext cx="1112343" cy="279702"/>
                  </a:xfrm>
                  <a:prstGeom prst="rect">
                    <a:avLst/>
                  </a:prstGeom>
                  <a:solidFill>
                    <a:srgbClr val="1D1D3A"/>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C8703625-A913-43D4-AA5A-8FDD1E2DB7A6}" type="TxLink">
                      <a:rPr lang="en-US" sz="1100" b="0" i="0" u="none" strike="noStrike">
                        <a:ln>
                          <a:noFill/>
                        </a:ln>
                        <a:solidFill>
                          <a:schemeClr val="bg1"/>
                        </a:solidFill>
                        <a:latin typeface="Avenir Next LT Pro"/>
                      </a:rPr>
                      <a:pPr algn="ctr"/>
                      <a:t> 277 </a:t>
                    </a:fld>
                    <a:endParaRPr lang="en-US" sz="1100" b="0" i="0" u="none" strike="noStrike">
                      <a:ln>
                        <a:noFill/>
                      </a:ln>
                      <a:solidFill>
                        <a:schemeClr val="bg1"/>
                      </a:solidFill>
                      <a:latin typeface="Avenir Next LT Pro"/>
                    </a:endParaRPr>
                  </a:p>
                </xdr:txBody>
              </xdr:sp>
            </xdr:grpSp>
            <xdr:grpSp>
              <xdr:nvGrpSpPr>
                <xdr:cNvPr id="3216" name="Group 3215">
                  <a:extLst>
                    <a:ext uri="{FF2B5EF4-FFF2-40B4-BE49-F238E27FC236}">
                      <a16:creationId xmlns:a16="http://schemas.microsoft.com/office/drawing/2014/main" id="{00000000-0008-0000-0200-0000900C0000}"/>
                    </a:ext>
                  </a:extLst>
                </xdr:cNvPr>
                <xdr:cNvGrpSpPr/>
              </xdr:nvGrpSpPr>
              <xdr:grpSpPr>
                <a:xfrm>
                  <a:off x="12254380" y="5494387"/>
                  <a:ext cx="1113418" cy="1622793"/>
                  <a:chOff x="5176487" y="5463807"/>
                  <a:chExt cx="1113418" cy="1854870"/>
                </a:xfrm>
              </xdr:grpSpPr>
              <xdr:grpSp>
                <xdr:nvGrpSpPr>
                  <xdr:cNvPr id="3217" name="Group 3216">
                    <a:extLst>
                      <a:ext uri="{FF2B5EF4-FFF2-40B4-BE49-F238E27FC236}">
                        <a16:creationId xmlns:a16="http://schemas.microsoft.com/office/drawing/2014/main" id="{00000000-0008-0000-0200-0000910C0000}"/>
                      </a:ext>
                    </a:extLst>
                  </xdr:cNvPr>
                  <xdr:cNvGrpSpPr/>
                </xdr:nvGrpSpPr>
                <xdr:grpSpPr>
                  <a:xfrm>
                    <a:off x="5176487" y="5463807"/>
                    <a:ext cx="1112768" cy="1575168"/>
                    <a:chOff x="6343650" y="5863857"/>
                    <a:chExt cx="1065600" cy="1216422"/>
                  </a:xfrm>
                </xdr:grpSpPr>
                <xdr:sp macro="" textlink="">
                  <xdr:nvSpPr>
                    <xdr:cNvPr id="3220" name="TextBox 3219">
                      <a:extLst>
                        <a:ext uri="{FF2B5EF4-FFF2-40B4-BE49-F238E27FC236}">
                          <a16:creationId xmlns:a16="http://schemas.microsoft.com/office/drawing/2014/main" id="{00000000-0008-0000-0200-0000940C0000}"/>
                        </a:ext>
                      </a:extLst>
                    </xdr:cNvPr>
                    <xdr:cNvSpPr txBox="1"/>
                  </xdr:nvSpPr>
                  <xdr:spPr>
                    <a:xfrm>
                      <a:off x="6343650" y="5863857"/>
                      <a:ext cx="1065600" cy="352425"/>
                    </a:xfrm>
                    <a:prstGeom prst="rect">
                      <a:avLst/>
                    </a:prstGeom>
                    <a:solidFill>
                      <a:srgbClr val="1D1D3A"/>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endParaRPr lang="en-US" sz="1400" b="0" i="0" u="none" strike="noStrike">
                        <a:ln>
                          <a:noFill/>
                        </a:ln>
                        <a:solidFill>
                          <a:srgbClr val="D43260"/>
                        </a:solidFill>
                        <a:latin typeface="Avenir Next LT Pro"/>
                      </a:endParaRPr>
                    </a:p>
                  </xdr:txBody>
                </xdr:sp>
                <xdr:grpSp>
                  <xdr:nvGrpSpPr>
                    <xdr:cNvPr id="3221" name="Group 3220">
                      <a:extLst>
                        <a:ext uri="{FF2B5EF4-FFF2-40B4-BE49-F238E27FC236}">
                          <a16:creationId xmlns:a16="http://schemas.microsoft.com/office/drawing/2014/main" id="{00000000-0008-0000-0200-0000950C0000}"/>
                        </a:ext>
                      </a:extLst>
                    </xdr:cNvPr>
                    <xdr:cNvGrpSpPr/>
                  </xdr:nvGrpSpPr>
                  <xdr:grpSpPr>
                    <a:xfrm>
                      <a:off x="6344057" y="6216281"/>
                      <a:ext cx="1065193" cy="863998"/>
                      <a:chOff x="7018125" y="6240787"/>
                      <a:chExt cx="720000" cy="863998"/>
                    </a:xfrm>
                  </xdr:grpSpPr>
                  <xdr:sp macro="" textlink="">
                    <xdr:nvSpPr>
                      <xdr:cNvPr id="3222" name="TextBox 3221">
                        <a:extLst>
                          <a:ext uri="{FF2B5EF4-FFF2-40B4-BE49-F238E27FC236}">
                            <a16:creationId xmlns:a16="http://schemas.microsoft.com/office/drawing/2014/main" id="{00000000-0008-0000-0200-0000960C0000}"/>
                          </a:ext>
                        </a:extLst>
                      </xdr:cNvPr>
                      <xdr:cNvSpPr txBox="1"/>
                    </xdr:nvSpPr>
                    <xdr:spPr>
                      <a:xfrm>
                        <a:off x="7018125" y="6240787"/>
                        <a:ext cx="720000" cy="216000"/>
                      </a:xfrm>
                      <a:prstGeom prst="rect">
                        <a:avLst/>
                      </a:prstGeom>
                      <a:solidFill>
                        <a:srgbClr val="1D1D3A"/>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endParaRPr lang="en-US" sz="1100" b="0" i="0" u="none" strike="noStrike">
                          <a:ln>
                            <a:noFill/>
                          </a:ln>
                          <a:solidFill>
                            <a:schemeClr val="bg1"/>
                          </a:solidFill>
                          <a:latin typeface="Avenir Next LT Pro"/>
                        </a:endParaRPr>
                      </a:p>
                    </xdr:txBody>
                  </xdr:sp>
                  <xdr:sp macro="" textlink="">
                    <xdr:nvSpPr>
                      <xdr:cNvPr id="3223" name="TextBox 3222">
                        <a:extLst>
                          <a:ext uri="{FF2B5EF4-FFF2-40B4-BE49-F238E27FC236}">
                            <a16:creationId xmlns:a16="http://schemas.microsoft.com/office/drawing/2014/main" id="{00000000-0008-0000-0200-0000970C0000}"/>
                          </a:ext>
                        </a:extLst>
                      </xdr:cNvPr>
                      <xdr:cNvSpPr txBox="1"/>
                    </xdr:nvSpPr>
                    <xdr:spPr>
                      <a:xfrm>
                        <a:off x="7018125" y="6456787"/>
                        <a:ext cx="720000" cy="216000"/>
                      </a:xfrm>
                      <a:prstGeom prst="rect">
                        <a:avLst/>
                      </a:prstGeom>
                      <a:solidFill>
                        <a:srgbClr val="1D1D3A"/>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endParaRPr lang="en-US" sz="1100" b="0" i="0" u="none" strike="noStrike">
                          <a:ln>
                            <a:noFill/>
                          </a:ln>
                          <a:solidFill>
                            <a:schemeClr val="bg1"/>
                          </a:solidFill>
                          <a:latin typeface="Avenir Next LT Pro"/>
                        </a:endParaRPr>
                      </a:p>
                    </xdr:txBody>
                  </xdr:sp>
                  <xdr:sp macro="" textlink="">
                    <xdr:nvSpPr>
                      <xdr:cNvPr id="3224" name="TextBox 3223">
                        <a:extLst>
                          <a:ext uri="{FF2B5EF4-FFF2-40B4-BE49-F238E27FC236}">
                            <a16:creationId xmlns:a16="http://schemas.microsoft.com/office/drawing/2014/main" id="{00000000-0008-0000-0200-0000980C0000}"/>
                          </a:ext>
                        </a:extLst>
                      </xdr:cNvPr>
                      <xdr:cNvSpPr txBox="1"/>
                    </xdr:nvSpPr>
                    <xdr:spPr>
                      <a:xfrm>
                        <a:off x="7018125" y="6672786"/>
                        <a:ext cx="720000" cy="216000"/>
                      </a:xfrm>
                      <a:prstGeom prst="rect">
                        <a:avLst/>
                      </a:prstGeom>
                      <a:solidFill>
                        <a:srgbClr val="1D1D3A"/>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endParaRPr lang="en-US" sz="1100" b="0" i="0" u="none" strike="noStrike">
                          <a:ln>
                            <a:noFill/>
                          </a:ln>
                          <a:solidFill>
                            <a:schemeClr val="bg1"/>
                          </a:solidFill>
                          <a:latin typeface="Avenir Next LT Pro"/>
                        </a:endParaRPr>
                      </a:p>
                    </xdr:txBody>
                  </xdr:sp>
                  <xdr:sp macro="" textlink="">
                    <xdr:nvSpPr>
                      <xdr:cNvPr id="3225" name="TextBox 3224">
                        <a:extLst>
                          <a:ext uri="{FF2B5EF4-FFF2-40B4-BE49-F238E27FC236}">
                            <a16:creationId xmlns:a16="http://schemas.microsoft.com/office/drawing/2014/main" id="{00000000-0008-0000-0200-0000990C0000}"/>
                          </a:ext>
                        </a:extLst>
                      </xdr:cNvPr>
                      <xdr:cNvSpPr txBox="1"/>
                    </xdr:nvSpPr>
                    <xdr:spPr>
                      <a:xfrm>
                        <a:off x="7018125" y="6888785"/>
                        <a:ext cx="720000" cy="216000"/>
                      </a:xfrm>
                      <a:prstGeom prst="rect">
                        <a:avLst/>
                      </a:prstGeom>
                      <a:solidFill>
                        <a:srgbClr val="1D1D3A"/>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endParaRPr lang="en-US" sz="1100" b="0" i="0" u="none" strike="noStrike">
                          <a:ln>
                            <a:noFill/>
                          </a:ln>
                          <a:solidFill>
                            <a:schemeClr val="bg1"/>
                          </a:solidFill>
                          <a:latin typeface="Avenir Next LT Pro"/>
                        </a:endParaRPr>
                      </a:p>
                    </xdr:txBody>
                  </xdr:sp>
                </xdr:grpSp>
              </xdr:grpSp>
              <xdr:sp macro="" textlink="">
                <xdr:nvSpPr>
                  <xdr:cNvPr id="3218" name="TextBox 3217">
                    <a:extLst>
                      <a:ext uri="{FF2B5EF4-FFF2-40B4-BE49-F238E27FC236}">
                        <a16:creationId xmlns:a16="http://schemas.microsoft.com/office/drawing/2014/main" id="{00000000-0008-0000-0200-0000920C0000}"/>
                      </a:ext>
                    </a:extLst>
                  </xdr:cNvPr>
                  <xdr:cNvSpPr txBox="1"/>
                </xdr:nvSpPr>
                <xdr:spPr>
                  <a:xfrm>
                    <a:off x="5177562" y="7038975"/>
                    <a:ext cx="1112343" cy="279702"/>
                  </a:xfrm>
                  <a:prstGeom prst="rect">
                    <a:avLst/>
                  </a:prstGeom>
                  <a:solidFill>
                    <a:srgbClr val="1D1D3A"/>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endParaRPr lang="en-US" sz="1100" b="0" i="0" u="none" strike="noStrike">
                      <a:ln>
                        <a:noFill/>
                      </a:ln>
                      <a:solidFill>
                        <a:schemeClr val="bg1"/>
                      </a:solidFill>
                      <a:latin typeface="Avenir Next LT Pro"/>
                    </a:endParaRPr>
                  </a:p>
                </xdr:txBody>
              </xdr:sp>
            </xdr:grpSp>
          </xdr:grpSp>
        </xdr:grpSp>
        <xdr:sp macro="" textlink="Pivot_tables!BK4">
          <xdr:nvSpPr>
            <xdr:cNvPr id="3" name="TextBox 2">
              <a:extLst>
                <a:ext uri="{FF2B5EF4-FFF2-40B4-BE49-F238E27FC236}">
                  <a16:creationId xmlns:a16="http://schemas.microsoft.com/office/drawing/2014/main" id="{00000000-0008-0000-0200-000003000000}"/>
                </a:ext>
              </a:extLst>
            </xdr:cNvPr>
            <xdr:cNvSpPr txBox="1"/>
          </xdr:nvSpPr>
          <xdr:spPr>
            <a:xfrm>
              <a:off x="9596473" y="2000250"/>
              <a:ext cx="3762000" cy="647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5C9F1E83-9AA8-4335-BEDB-E5E05FDA6407}" type="TxLink">
                <a:rPr lang="en-US" sz="1400" b="0" i="0" u="none" strike="noStrike" cap="none" spc="0">
                  <a:ln w="0"/>
                  <a:solidFill>
                    <a:srgbClr val="B1F5F1"/>
                  </a:solidFill>
                  <a:effectLst>
                    <a:outerShdw blurRad="38100" dist="25400" dir="5400000" algn="ctr" rotWithShape="0">
                      <a:srgbClr val="6E747A">
                        <a:alpha val="43000"/>
                      </a:srgbClr>
                    </a:outerShdw>
                  </a:effectLst>
                  <a:latin typeface="Avenir Next LT Pro"/>
                </a:rPr>
                <a:pPr algn="ctr"/>
                <a:t>Distribution of Σ Profit of $215023 Over Order Priority, where # of Orders are 1361</a:t>
              </a:fld>
              <a:endParaRPr lang="en-CA" sz="1800" b="0" cap="none" spc="0">
                <a:ln w="0"/>
                <a:solidFill>
                  <a:srgbClr val="B1F5F1"/>
                </a:solidFill>
                <a:effectLst>
                  <a:outerShdw blurRad="38100" dist="25400" dir="5400000" algn="ctr" rotWithShape="0">
                    <a:srgbClr val="6E747A">
                      <a:alpha val="43000"/>
                    </a:srgbClr>
                  </a:outerShdw>
                </a:effectLst>
              </a:endParaRPr>
            </a:p>
          </xdr:txBody>
        </xdr:sp>
      </xdr:grpSp>
      <xdr:grpSp>
        <xdr:nvGrpSpPr>
          <xdr:cNvPr id="56" name="Group 55">
            <a:extLst>
              <a:ext uri="{FF2B5EF4-FFF2-40B4-BE49-F238E27FC236}">
                <a16:creationId xmlns:a16="http://schemas.microsoft.com/office/drawing/2014/main" id="{00000000-0008-0000-0200-000038000000}"/>
              </a:ext>
            </a:extLst>
          </xdr:cNvPr>
          <xdr:cNvGrpSpPr/>
        </xdr:nvGrpSpPr>
        <xdr:grpSpPr>
          <a:xfrm>
            <a:off x="10891837" y="3133725"/>
            <a:ext cx="108000" cy="1089075"/>
            <a:chOff x="10739437" y="3133725"/>
            <a:chExt cx="108000" cy="1089075"/>
          </a:xfrm>
        </xdr:grpSpPr>
        <xdr:sp macro="" textlink="">
          <xdr:nvSpPr>
            <xdr:cNvPr id="45" name="Oval 44">
              <a:extLst>
                <a:ext uri="{FF2B5EF4-FFF2-40B4-BE49-F238E27FC236}">
                  <a16:creationId xmlns:a16="http://schemas.microsoft.com/office/drawing/2014/main" id="{00000000-0008-0000-0200-00002D000000}"/>
                </a:ext>
              </a:extLst>
            </xdr:cNvPr>
            <xdr:cNvSpPr/>
          </xdr:nvSpPr>
          <xdr:spPr>
            <a:xfrm>
              <a:off x="10739437" y="3133725"/>
              <a:ext cx="108000" cy="108000"/>
            </a:xfrm>
            <a:prstGeom prst="ellipse">
              <a:avLst/>
            </a:prstGeom>
            <a:solidFill>
              <a:srgbClr val="B1F5F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sp macro="" textlink="">
          <xdr:nvSpPr>
            <xdr:cNvPr id="46" name="Oval 45">
              <a:extLst>
                <a:ext uri="{FF2B5EF4-FFF2-40B4-BE49-F238E27FC236}">
                  <a16:creationId xmlns:a16="http://schemas.microsoft.com/office/drawing/2014/main" id="{00000000-0008-0000-0200-00002E000000}"/>
                </a:ext>
              </a:extLst>
            </xdr:cNvPr>
            <xdr:cNvSpPr/>
          </xdr:nvSpPr>
          <xdr:spPr>
            <a:xfrm>
              <a:off x="10739437" y="3381375"/>
              <a:ext cx="108000" cy="108000"/>
            </a:xfrm>
            <a:prstGeom prst="ellipse">
              <a:avLst/>
            </a:prstGeom>
            <a:solidFill>
              <a:srgbClr val="DC25FA"/>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sp macro="" textlink="">
          <xdr:nvSpPr>
            <xdr:cNvPr id="47" name="Oval 46">
              <a:extLst>
                <a:ext uri="{FF2B5EF4-FFF2-40B4-BE49-F238E27FC236}">
                  <a16:creationId xmlns:a16="http://schemas.microsoft.com/office/drawing/2014/main" id="{00000000-0008-0000-0200-00002F000000}"/>
                </a:ext>
              </a:extLst>
            </xdr:cNvPr>
            <xdr:cNvSpPr/>
          </xdr:nvSpPr>
          <xdr:spPr>
            <a:xfrm>
              <a:off x="10739437" y="3629025"/>
              <a:ext cx="108000" cy="108000"/>
            </a:xfrm>
            <a:prstGeom prst="ellipse">
              <a:avLst/>
            </a:prstGeom>
            <a:solidFill>
              <a:srgbClr val="7417BD"/>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sp macro="" textlink="">
          <xdr:nvSpPr>
            <xdr:cNvPr id="51" name="Oval 50">
              <a:extLst>
                <a:ext uri="{FF2B5EF4-FFF2-40B4-BE49-F238E27FC236}">
                  <a16:creationId xmlns:a16="http://schemas.microsoft.com/office/drawing/2014/main" id="{00000000-0008-0000-0200-000033000000}"/>
                </a:ext>
              </a:extLst>
            </xdr:cNvPr>
            <xdr:cNvSpPr/>
          </xdr:nvSpPr>
          <xdr:spPr>
            <a:xfrm>
              <a:off x="10739437" y="3876675"/>
              <a:ext cx="108000" cy="108000"/>
            </a:xfrm>
            <a:prstGeom prst="ellipse">
              <a:avLst/>
            </a:prstGeom>
            <a:solidFill>
              <a:srgbClr val="D4326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sp macro="" textlink="">
          <xdr:nvSpPr>
            <xdr:cNvPr id="55" name="Oval 54">
              <a:extLst>
                <a:ext uri="{FF2B5EF4-FFF2-40B4-BE49-F238E27FC236}">
                  <a16:creationId xmlns:a16="http://schemas.microsoft.com/office/drawing/2014/main" id="{00000000-0008-0000-0200-000037000000}"/>
                </a:ext>
              </a:extLst>
            </xdr:cNvPr>
            <xdr:cNvSpPr/>
          </xdr:nvSpPr>
          <xdr:spPr>
            <a:xfrm>
              <a:off x="10739437" y="4114800"/>
              <a:ext cx="108000" cy="108000"/>
            </a:xfrm>
            <a:prstGeom prst="ellipse">
              <a:avLst/>
            </a:prstGeom>
            <a:solidFill>
              <a:srgbClr val="194AFE"/>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grpSp>
    </xdr:grpSp>
    <xdr:clientData/>
  </xdr:twoCellAnchor>
  <xdr:twoCellAnchor>
    <xdr:from>
      <xdr:col>0</xdr:col>
      <xdr:colOff>290548</xdr:colOff>
      <xdr:row>6</xdr:row>
      <xdr:rowOff>51974</xdr:rowOff>
    </xdr:from>
    <xdr:to>
      <xdr:col>7</xdr:col>
      <xdr:colOff>523348</xdr:colOff>
      <xdr:row>33</xdr:row>
      <xdr:rowOff>37124</xdr:rowOff>
    </xdr:to>
    <xdr:grpSp>
      <xdr:nvGrpSpPr>
        <xdr:cNvPr id="60" name="Group 59">
          <a:extLst>
            <a:ext uri="{FF2B5EF4-FFF2-40B4-BE49-F238E27FC236}">
              <a16:creationId xmlns:a16="http://schemas.microsoft.com/office/drawing/2014/main" id="{00000000-0008-0000-0200-00003C000000}"/>
            </a:ext>
          </a:extLst>
        </xdr:cNvPr>
        <xdr:cNvGrpSpPr/>
      </xdr:nvGrpSpPr>
      <xdr:grpSpPr>
        <a:xfrm>
          <a:off x="290548" y="1023524"/>
          <a:ext cx="4500000" cy="4500000"/>
          <a:chOff x="290548" y="1023524"/>
          <a:chExt cx="4500000" cy="4500000"/>
        </a:xfrm>
      </xdr:grpSpPr>
      <xdr:sp macro="" textlink="">
        <xdr:nvSpPr>
          <xdr:cNvPr id="3118" name="TextBox 3117">
            <a:extLst>
              <a:ext uri="{FF2B5EF4-FFF2-40B4-BE49-F238E27FC236}">
                <a16:creationId xmlns:a16="http://schemas.microsoft.com/office/drawing/2014/main" id="{00000000-0008-0000-0200-00002E0C0000}"/>
              </a:ext>
            </a:extLst>
          </xdr:cNvPr>
          <xdr:cNvSpPr txBox="1">
            <a:spLocks noChangeAspect="1"/>
          </xdr:cNvSpPr>
        </xdr:nvSpPr>
        <xdr:spPr>
          <a:xfrm>
            <a:off x="290548" y="1023524"/>
            <a:ext cx="4500000" cy="450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prstTxWarp prst="textArchUp">
              <a:avLst>
                <a:gd name="adj" fmla="val 12397731"/>
              </a:avLst>
            </a:prstTxWarp>
          </a:bodyPr>
          <a:lstStyle/>
          <a:p>
            <a:r>
              <a:rPr lang="en-CA" sz="1800" b="0" cap="none" spc="0">
                <a:ln w="0"/>
                <a:solidFill>
                  <a:schemeClr val="accent1"/>
                </a:solidFill>
                <a:effectLst>
                  <a:outerShdw blurRad="38100" dist="25400" dir="5400000" algn="ctr" rotWithShape="0">
                    <a:srgbClr val="6E747A">
                      <a:alpha val="43000"/>
                    </a:srgbClr>
                  </a:outerShdw>
                </a:effectLst>
                <a:latin typeface="Avenir Next LT Pro" panose="020B0504020202020204" pitchFamily="34" charset="0"/>
              </a:rPr>
              <a:t>Customer Segments</a:t>
            </a:r>
          </a:p>
        </xdr:txBody>
      </xdr:sp>
      <xdr:grpSp>
        <xdr:nvGrpSpPr>
          <xdr:cNvPr id="3120" name="Group 3119">
            <a:extLst>
              <a:ext uri="{FF2B5EF4-FFF2-40B4-BE49-F238E27FC236}">
                <a16:creationId xmlns:a16="http://schemas.microsoft.com/office/drawing/2014/main" id="{00000000-0008-0000-0200-0000300C0000}"/>
              </a:ext>
            </a:extLst>
          </xdr:cNvPr>
          <xdr:cNvGrpSpPr/>
        </xdr:nvGrpSpPr>
        <xdr:grpSpPr>
          <a:xfrm>
            <a:off x="470548" y="1203524"/>
            <a:ext cx="4140000" cy="4140000"/>
            <a:chOff x="4850196" y="1315537"/>
            <a:chExt cx="4140000" cy="4140000"/>
          </a:xfrm>
        </xdr:grpSpPr>
        <xdr:sp macro="" textlink="">
          <xdr:nvSpPr>
            <xdr:cNvPr id="3131" name="Rectangle: Rounded Corners 40">
              <a:extLst>
                <a:ext uri="{FF2B5EF4-FFF2-40B4-BE49-F238E27FC236}">
                  <a16:creationId xmlns:a16="http://schemas.microsoft.com/office/drawing/2014/main" id="{00000000-0008-0000-0200-00003B0C0000}"/>
                </a:ext>
              </a:extLst>
            </xdr:cNvPr>
            <xdr:cNvSpPr/>
          </xdr:nvSpPr>
          <xdr:spPr>
            <a:xfrm>
              <a:off x="4850196" y="1315537"/>
              <a:ext cx="4140000" cy="4140000"/>
            </a:xfrm>
            <a:prstGeom prst="flowChartConnector">
              <a:avLst/>
            </a:prstGeom>
            <a:gradFill>
              <a:gsLst>
                <a:gs pos="0">
                  <a:srgbClr val="DC25FA">
                    <a:alpha val="20000"/>
                  </a:srgbClr>
                </a:gs>
                <a:gs pos="63000">
                  <a:srgbClr val="9947F7">
                    <a:alpha val="20000"/>
                  </a:srgbClr>
                </a:gs>
              </a:gsLst>
              <a:lin ang="3900000" scaled="0"/>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sp macro="" textlink="">
          <xdr:nvSpPr>
            <xdr:cNvPr id="3132" name="Rectangle: Rounded Corners 41">
              <a:extLst>
                <a:ext uri="{FF2B5EF4-FFF2-40B4-BE49-F238E27FC236}">
                  <a16:creationId xmlns:a16="http://schemas.microsoft.com/office/drawing/2014/main" id="{00000000-0008-0000-0200-00003C0C0000}"/>
                </a:ext>
              </a:extLst>
            </xdr:cNvPr>
            <xdr:cNvSpPr>
              <a:spLocks noChangeAspect="1"/>
            </xdr:cNvSpPr>
          </xdr:nvSpPr>
          <xdr:spPr>
            <a:xfrm>
              <a:off x="4922196" y="1387537"/>
              <a:ext cx="3996000" cy="3996000"/>
            </a:xfrm>
            <a:prstGeom prst="flowChartConnector">
              <a:avLst/>
            </a:prstGeom>
            <a:gradFill>
              <a:gsLst>
                <a:gs pos="0">
                  <a:srgbClr val="DC25FA"/>
                </a:gs>
                <a:gs pos="63000">
                  <a:srgbClr val="9947F7">
                    <a:alpha val="36000"/>
                  </a:srgbClr>
                </a:gs>
              </a:gsLst>
              <a:lin ang="3900000" scaled="0"/>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sp macro="" textlink="">
          <xdr:nvSpPr>
            <xdr:cNvPr id="3133" name="Rectangle: Rounded Corners 42">
              <a:extLst>
                <a:ext uri="{FF2B5EF4-FFF2-40B4-BE49-F238E27FC236}">
                  <a16:creationId xmlns:a16="http://schemas.microsoft.com/office/drawing/2014/main" id="{00000000-0008-0000-0200-00003D0C0000}"/>
                </a:ext>
              </a:extLst>
            </xdr:cNvPr>
            <xdr:cNvSpPr>
              <a:spLocks noChangeAspect="1"/>
            </xdr:cNvSpPr>
          </xdr:nvSpPr>
          <xdr:spPr>
            <a:xfrm>
              <a:off x="5012196" y="1477537"/>
              <a:ext cx="3816000" cy="3816000"/>
            </a:xfrm>
            <a:prstGeom prst="flowChartConnector">
              <a:avLst/>
            </a:prstGeom>
            <a:solidFill>
              <a:schemeClr val="tx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grpSp>
      <xdr:graphicFrame macro="">
        <xdr:nvGraphicFramePr>
          <xdr:cNvPr id="4" name="Chart 3">
            <a:extLst>
              <a:ext uri="{FF2B5EF4-FFF2-40B4-BE49-F238E27FC236}">
                <a16:creationId xmlns:a16="http://schemas.microsoft.com/office/drawing/2014/main" id="{00000000-0008-0000-0200-000004000000}"/>
              </a:ext>
            </a:extLst>
          </xdr:cNvPr>
          <xdr:cNvGraphicFramePr>
            <a:graphicFrameLocks/>
          </xdr:cNvGraphicFramePr>
        </xdr:nvGraphicFramePr>
        <xdr:xfrm>
          <a:off x="609599" y="1333500"/>
          <a:ext cx="3859200" cy="3859200"/>
        </xdr:xfrm>
        <a:graphic>
          <a:graphicData uri="http://schemas.openxmlformats.org/drawingml/2006/chart">
            <c:chart xmlns:c="http://schemas.openxmlformats.org/drawingml/2006/chart" xmlns:r="http://schemas.openxmlformats.org/officeDocument/2006/relationships" r:id="rId3"/>
          </a:graphicData>
        </a:graphic>
      </xdr:graphicFrame>
    </xdr:grpSp>
    <xdr:clientData/>
  </xdr:twoCellAnchor>
  <xdr:twoCellAnchor>
    <xdr:from>
      <xdr:col>0</xdr:col>
      <xdr:colOff>583977</xdr:colOff>
      <xdr:row>49</xdr:row>
      <xdr:rowOff>133350</xdr:rowOff>
    </xdr:from>
    <xdr:to>
      <xdr:col>28</xdr:col>
      <xdr:colOff>435177</xdr:colOff>
      <xdr:row>55</xdr:row>
      <xdr:rowOff>133800</xdr:rowOff>
    </xdr:to>
    <mc:AlternateContent xmlns:mc="http://schemas.openxmlformats.org/markup-compatibility/2006" xmlns:a14="http://schemas.microsoft.com/office/drawing/2010/main">
      <mc:Choice Requires="a14">
        <xdr:graphicFrame macro="">
          <xdr:nvGraphicFramePr>
            <xdr:cNvPr id="5" name="Product Sub-Category">
              <a:extLst>
                <a:ext uri="{FF2B5EF4-FFF2-40B4-BE49-F238E27FC236}">
                  <a16:creationId xmlns:a16="http://schemas.microsoft.com/office/drawing/2014/main" id="{00000000-0008-0000-0200-000005000000}"/>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Product Sub-Category"/>
            </a:graphicData>
          </a:graphic>
        </xdr:graphicFrame>
      </mc:Choice>
      <mc:Fallback xmlns="">
        <xdr:sp macro="" textlink="">
          <xdr:nvSpPr>
            <xdr:cNvPr id="0" name=""/>
            <xdr:cNvSpPr>
              <a:spLocks noTextEdit="1"/>
            </xdr:cNvSpPr>
          </xdr:nvSpPr>
          <xdr:spPr>
            <a:xfrm>
              <a:off x="583977" y="8210550"/>
              <a:ext cx="16920000" cy="972000"/>
            </a:xfrm>
            <a:prstGeom prst="rect">
              <a:avLst/>
            </a:prstGeom>
            <a:solidFill>
              <a:prstClr val="white"/>
            </a:solidFill>
            <a:ln w="1">
              <a:solidFill>
                <a:prstClr val="green"/>
              </a:solidFill>
            </a:ln>
          </xdr:spPr>
          <xdr:txBody>
            <a:bodyPr vertOverflow="clip" horzOverflow="clip"/>
            <a:lstStyle/>
            <a:p>
              <a:r>
                <a:rPr lang="en-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xdr:from>
      <xdr:col>21</xdr:col>
      <xdr:colOff>471160</xdr:colOff>
      <xdr:row>6</xdr:row>
      <xdr:rowOff>51974</xdr:rowOff>
    </xdr:from>
    <xdr:to>
      <xdr:col>29</xdr:col>
      <xdr:colOff>94360</xdr:colOff>
      <xdr:row>33</xdr:row>
      <xdr:rowOff>37124</xdr:rowOff>
    </xdr:to>
    <xdr:grpSp>
      <xdr:nvGrpSpPr>
        <xdr:cNvPr id="61" name="Group 60">
          <a:extLst>
            <a:ext uri="{FF2B5EF4-FFF2-40B4-BE49-F238E27FC236}">
              <a16:creationId xmlns:a16="http://schemas.microsoft.com/office/drawing/2014/main" id="{00000000-0008-0000-0200-00003D000000}"/>
            </a:ext>
          </a:extLst>
        </xdr:cNvPr>
        <xdr:cNvGrpSpPr/>
      </xdr:nvGrpSpPr>
      <xdr:grpSpPr>
        <a:xfrm>
          <a:off x="13272760" y="1023524"/>
          <a:ext cx="4500000" cy="4500000"/>
          <a:chOff x="13272760" y="1023524"/>
          <a:chExt cx="4500000" cy="4500000"/>
        </a:xfrm>
      </xdr:grpSpPr>
      <xdr:sp macro="" textlink="">
        <xdr:nvSpPr>
          <xdr:cNvPr id="3109" name="TextBox 3108">
            <a:extLst>
              <a:ext uri="{FF2B5EF4-FFF2-40B4-BE49-F238E27FC236}">
                <a16:creationId xmlns:a16="http://schemas.microsoft.com/office/drawing/2014/main" id="{00000000-0008-0000-0200-0000250C0000}"/>
              </a:ext>
            </a:extLst>
          </xdr:cNvPr>
          <xdr:cNvSpPr txBox="1">
            <a:spLocks noChangeAspect="1"/>
          </xdr:cNvSpPr>
        </xdr:nvSpPr>
        <xdr:spPr>
          <a:xfrm rot="5400000">
            <a:off x="13272760" y="1023524"/>
            <a:ext cx="4500000" cy="450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prstTxWarp prst="textArchUp">
              <a:avLst>
                <a:gd name="adj" fmla="val 12397731"/>
              </a:avLst>
            </a:prstTxWarp>
          </a:bodyPr>
          <a:lstStyle/>
          <a:p>
            <a:r>
              <a:rPr lang="en-CA" sz="1800" b="0" cap="none" spc="0">
                <a:ln w="0"/>
                <a:solidFill>
                  <a:schemeClr val="accent1"/>
                </a:solidFill>
                <a:effectLst>
                  <a:outerShdw blurRad="38100" dist="25400" dir="5400000" algn="ctr" rotWithShape="0">
                    <a:srgbClr val="6E747A">
                      <a:alpha val="43000"/>
                    </a:srgbClr>
                  </a:outerShdw>
                </a:effectLst>
                <a:latin typeface="Avenir Next LT Pro" panose="020B0504020202020204" pitchFamily="34" charset="0"/>
              </a:rPr>
              <a:t>Order Priority</a:t>
            </a:r>
          </a:p>
        </xdr:txBody>
      </xdr:sp>
      <xdr:grpSp>
        <xdr:nvGrpSpPr>
          <xdr:cNvPr id="3101" name="Group 3100">
            <a:extLst>
              <a:ext uri="{FF2B5EF4-FFF2-40B4-BE49-F238E27FC236}">
                <a16:creationId xmlns:a16="http://schemas.microsoft.com/office/drawing/2014/main" id="{00000000-0008-0000-0200-00001D0C0000}"/>
              </a:ext>
            </a:extLst>
          </xdr:cNvPr>
          <xdr:cNvGrpSpPr/>
        </xdr:nvGrpSpPr>
        <xdr:grpSpPr>
          <a:xfrm>
            <a:off x="13452760" y="1203524"/>
            <a:ext cx="4140000" cy="4140000"/>
            <a:chOff x="4850196" y="1315537"/>
            <a:chExt cx="4140000" cy="4140000"/>
          </a:xfrm>
        </xdr:grpSpPr>
        <xdr:sp macro="" textlink="">
          <xdr:nvSpPr>
            <xdr:cNvPr id="107" name="Rectangle: Rounded Corners 40">
              <a:extLst>
                <a:ext uri="{FF2B5EF4-FFF2-40B4-BE49-F238E27FC236}">
                  <a16:creationId xmlns:a16="http://schemas.microsoft.com/office/drawing/2014/main" id="{00000000-0008-0000-0200-00006B000000}"/>
                </a:ext>
              </a:extLst>
            </xdr:cNvPr>
            <xdr:cNvSpPr/>
          </xdr:nvSpPr>
          <xdr:spPr>
            <a:xfrm>
              <a:off x="4850196" y="1315537"/>
              <a:ext cx="4140000" cy="4140000"/>
            </a:xfrm>
            <a:prstGeom prst="flowChartConnector">
              <a:avLst/>
            </a:prstGeom>
            <a:gradFill>
              <a:gsLst>
                <a:gs pos="0">
                  <a:srgbClr val="DC25FA">
                    <a:alpha val="20000"/>
                  </a:srgbClr>
                </a:gs>
                <a:gs pos="63000">
                  <a:srgbClr val="9947F7">
                    <a:alpha val="20000"/>
                  </a:srgbClr>
                </a:gs>
              </a:gsLst>
              <a:lin ang="3900000" scaled="0"/>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sp macro="" textlink="">
          <xdr:nvSpPr>
            <xdr:cNvPr id="109" name="Rectangle: Rounded Corners 41">
              <a:extLst>
                <a:ext uri="{FF2B5EF4-FFF2-40B4-BE49-F238E27FC236}">
                  <a16:creationId xmlns:a16="http://schemas.microsoft.com/office/drawing/2014/main" id="{00000000-0008-0000-0200-00006D000000}"/>
                </a:ext>
              </a:extLst>
            </xdr:cNvPr>
            <xdr:cNvSpPr>
              <a:spLocks noChangeAspect="1"/>
            </xdr:cNvSpPr>
          </xdr:nvSpPr>
          <xdr:spPr>
            <a:xfrm>
              <a:off x="4922196" y="1387537"/>
              <a:ext cx="3996000" cy="3996000"/>
            </a:xfrm>
            <a:prstGeom prst="flowChartConnector">
              <a:avLst/>
            </a:prstGeom>
            <a:gradFill>
              <a:gsLst>
                <a:gs pos="0">
                  <a:srgbClr val="DC25FA"/>
                </a:gs>
                <a:gs pos="63000">
                  <a:srgbClr val="9947F7">
                    <a:alpha val="36000"/>
                  </a:srgbClr>
                </a:gs>
              </a:gsLst>
              <a:lin ang="3900000" scaled="0"/>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sp macro="" textlink="">
          <xdr:nvSpPr>
            <xdr:cNvPr id="102" name="Rectangle: Rounded Corners 42">
              <a:extLst>
                <a:ext uri="{FF2B5EF4-FFF2-40B4-BE49-F238E27FC236}">
                  <a16:creationId xmlns:a16="http://schemas.microsoft.com/office/drawing/2014/main" id="{00000000-0008-0000-0200-000066000000}"/>
                </a:ext>
              </a:extLst>
            </xdr:cNvPr>
            <xdr:cNvSpPr>
              <a:spLocks noChangeAspect="1"/>
            </xdr:cNvSpPr>
          </xdr:nvSpPr>
          <xdr:spPr>
            <a:xfrm>
              <a:off x="5012196" y="1477537"/>
              <a:ext cx="3816000" cy="3816000"/>
            </a:xfrm>
            <a:prstGeom prst="flowChartConnector">
              <a:avLst/>
            </a:prstGeom>
            <a:solidFill>
              <a:schemeClr val="tx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grpSp>
      <xdr:graphicFrame macro="">
        <xdr:nvGraphicFramePr>
          <xdr:cNvPr id="62" name="Chart 61">
            <a:extLst>
              <a:ext uri="{FF2B5EF4-FFF2-40B4-BE49-F238E27FC236}">
                <a16:creationId xmlns:a16="http://schemas.microsoft.com/office/drawing/2014/main" id="{00000000-0008-0000-0200-00003E000000}"/>
              </a:ext>
            </a:extLst>
          </xdr:cNvPr>
          <xdr:cNvGraphicFramePr>
            <a:graphicFrameLocks noChangeAspect="1"/>
          </xdr:cNvGraphicFramePr>
        </xdr:nvGraphicFramePr>
        <xdr:xfrm>
          <a:off x="13588862" y="1354237"/>
          <a:ext cx="3859200" cy="3811505"/>
        </xdr:xfrm>
        <a:graphic>
          <a:graphicData uri="http://schemas.openxmlformats.org/drawingml/2006/chart">
            <c:chart xmlns:c="http://schemas.openxmlformats.org/drawingml/2006/chart" xmlns:r="http://schemas.openxmlformats.org/officeDocument/2006/relationships" r:id="rId4"/>
          </a:graphicData>
        </a:graphic>
      </xdr:graphicFrame>
    </xdr:grpSp>
    <xdr:clientData/>
  </xdr:twoCellAnchor>
  <xdr:twoCellAnchor>
    <xdr:from>
      <xdr:col>7</xdr:col>
      <xdr:colOff>109573</xdr:colOff>
      <xdr:row>7</xdr:row>
      <xdr:rowOff>85725</xdr:rowOff>
    </xdr:from>
    <xdr:to>
      <xdr:col>13</xdr:col>
      <xdr:colOff>411973</xdr:colOff>
      <xdr:row>11</xdr:row>
      <xdr:rowOff>158025</xdr:rowOff>
    </xdr:to>
    <mc:AlternateContent xmlns:mc="http://schemas.openxmlformats.org/markup-compatibility/2006" xmlns:a14="http://schemas.microsoft.com/office/drawing/2010/main">
      <mc:Choice Requires="a14">
        <xdr:graphicFrame macro="">
          <xdr:nvGraphicFramePr>
            <xdr:cNvPr id="7" name="Order Priority">
              <a:extLst>
                <a:ext uri="{FF2B5EF4-FFF2-40B4-BE49-F238E27FC236}">
                  <a16:creationId xmlns:a16="http://schemas.microsoft.com/office/drawing/2014/main" id="{00000000-0008-0000-0200-000007000000}"/>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Order Priority"/>
            </a:graphicData>
          </a:graphic>
        </xdr:graphicFrame>
      </mc:Choice>
      <mc:Fallback xmlns="">
        <xdr:sp macro="" textlink="">
          <xdr:nvSpPr>
            <xdr:cNvPr id="0" name=""/>
            <xdr:cNvSpPr>
              <a:spLocks noTextEdit="1"/>
            </xdr:cNvSpPr>
          </xdr:nvSpPr>
          <xdr:spPr>
            <a:xfrm>
              <a:off x="4376773" y="1219200"/>
              <a:ext cx="3960000" cy="720000"/>
            </a:xfrm>
            <a:prstGeom prst="rect">
              <a:avLst/>
            </a:prstGeom>
            <a:solidFill>
              <a:prstClr val="white"/>
            </a:solidFill>
            <a:ln w="1">
              <a:solidFill>
                <a:prstClr val="green"/>
              </a:solidFill>
            </a:ln>
          </xdr:spPr>
          <xdr:txBody>
            <a:bodyPr vertOverflow="clip" horzOverflow="clip"/>
            <a:lstStyle/>
            <a:p>
              <a:r>
                <a:rPr lang="en-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xdr:from>
      <xdr:col>0</xdr:col>
      <xdr:colOff>0</xdr:colOff>
      <xdr:row>0</xdr:row>
      <xdr:rowOff>0</xdr:rowOff>
    </xdr:from>
    <xdr:to>
      <xdr:col>37</xdr:col>
      <xdr:colOff>361950</xdr:colOff>
      <xdr:row>3</xdr:row>
      <xdr:rowOff>95250</xdr:rowOff>
    </xdr:to>
    <xdr:grpSp>
      <xdr:nvGrpSpPr>
        <xdr:cNvPr id="29" name="Group 28">
          <a:extLst>
            <a:ext uri="{FF2B5EF4-FFF2-40B4-BE49-F238E27FC236}">
              <a16:creationId xmlns:a16="http://schemas.microsoft.com/office/drawing/2014/main" id="{00000000-0008-0000-0200-00001D000000}"/>
            </a:ext>
          </a:extLst>
        </xdr:cNvPr>
        <xdr:cNvGrpSpPr/>
      </xdr:nvGrpSpPr>
      <xdr:grpSpPr>
        <a:xfrm>
          <a:off x="0" y="0"/>
          <a:ext cx="22917150" cy="581025"/>
          <a:chOff x="0" y="0"/>
          <a:chExt cx="22917150" cy="581025"/>
        </a:xfrm>
      </xdr:grpSpPr>
      <xdr:grpSp>
        <xdr:nvGrpSpPr>
          <xdr:cNvPr id="30" name="Group 29">
            <a:extLst>
              <a:ext uri="{FF2B5EF4-FFF2-40B4-BE49-F238E27FC236}">
                <a16:creationId xmlns:a16="http://schemas.microsoft.com/office/drawing/2014/main" id="{00000000-0008-0000-0200-00001E000000}"/>
              </a:ext>
            </a:extLst>
          </xdr:cNvPr>
          <xdr:cNvGrpSpPr/>
        </xdr:nvGrpSpPr>
        <xdr:grpSpPr>
          <a:xfrm>
            <a:off x="0" y="0"/>
            <a:ext cx="22917150" cy="581025"/>
            <a:chOff x="0" y="0"/>
            <a:chExt cx="22917150" cy="581025"/>
          </a:xfrm>
        </xdr:grpSpPr>
        <xdr:sp macro="" textlink="">
          <xdr:nvSpPr>
            <xdr:cNvPr id="32" name="Rectangle 31">
              <a:extLst>
                <a:ext uri="{FF2B5EF4-FFF2-40B4-BE49-F238E27FC236}">
                  <a16:creationId xmlns:a16="http://schemas.microsoft.com/office/drawing/2014/main" id="{00000000-0008-0000-0200-000020000000}"/>
                </a:ext>
              </a:extLst>
            </xdr:cNvPr>
            <xdr:cNvSpPr/>
          </xdr:nvSpPr>
          <xdr:spPr>
            <a:xfrm>
              <a:off x="0" y="0"/>
              <a:ext cx="22917150" cy="457200"/>
            </a:xfrm>
            <a:prstGeom prst="rect">
              <a:avLst/>
            </a:prstGeom>
            <a:solidFill>
              <a:srgbClr val="1D1D3C"/>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pic>
          <xdr:nvPicPr>
            <xdr:cNvPr id="33" name="Picture 32" descr="Superstore - NBC.com">
              <a:extLst>
                <a:ext uri="{FF2B5EF4-FFF2-40B4-BE49-F238E27FC236}">
                  <a16:creationId xmlns:a16="http://schemas.microsoft.com/office/drawing/2014/main" id="{00000000-0008-0000-0200-000021000000}"/>
                </a:ext>
              </a:extLst>
            </xdr:cNvPr>
            <xdr:cNvPicPr>
              <a:picLocks noChangeAspect="1"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238126" y="142875"/>
              <a:ext cx="1314450" cy="438150"/>
            </a:xfrm>
            <a:prstGeom prst="rect">
              <a:avLst/>
            </a:prstGeom>
            <a:noFill/>
            <a:effectLst>
              <a:outerShdw blurRad="50800" dist="38100" dir="2700000" algn="tl" rotWithShape="0">
                <a:schemeClr val="tx1">
                  <a:alpha val="40000"/>
                </a:schemeClr>
              </a:outerShdw>
            </a:effectLst>
            <a:extLst>
              <a:ext uri="{909E8E84-426E-40DD-AFC4-6F175D3DCCD1}">
                <a14:hiddenFill xmlns:a14="http://schemas.microsoft.com/office/drawing/2010/main">
                  <a:solidFill>
                    <a:srgbClr val="FFFFFF"/>
                  </a:solidFill>
                </a14:hiddenFill>
              </a:ext>
            </a:extLst>
          </xdr:spPr>
        </xdr:pic>
        <xdr:sp macro="" textlink="">
          <xdr:nvSpPr>
            <xdr:cNvPr id="34" name="TextBox 33">
              <a:hlinkClick xmlns:r="http://schemas.openxmlformats.org/officeDocument/2006/relationships" r:id="rId6" tooltip="Distribution"/>
              <a:extLst>
                <a:ext uri="{FF2B5EF4-FFF2-40B4-BE49-F238E27FC236}">
                  <a16:creationId xmlns:a16="http://schemas.microsoft.com/office/drawing/2014/main" id="{00000000-0008-0000-0200-000022000000}"/>
                </a:ext>
              </a:extLst>
            </xdr:cNvPr>
            <xdr:cNvSpPr txBox="1"/>
          </xdr:nvSpPr>
          <xdr:spPr>
            <a:xfrm>
              <a:off x="12355214" y="73558"/>
              <a:ext cx="1222374" cy="31008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CA" sz="1400">
                  <a:solidFill>
                    <a:schemeClr val="bg1"/>
                  </a:solidFill>
                  <a:latin typeface="Avenir Next LT Pro" panose="020B0504020202020204" pitchFamily="34" charset="0"/>
                </a:rPr>
                <a:t>Distribution</a:t>
              </a:r>
            </a:p>
          </xdr:txBody>
        </xdr:sp>
        <xdr:sp macro="" textlink="">
          <xdr:nvSpPr>
            <xdr:cNvPr id="35" name="TextBox 34">
              <a:hlinkClick xmlns:r="http://schemas.openxmlformats.org/officeDocument/2006/relationships" r:id="rId7" tooltip="Sales &amp; Profit"/>
              <a:extLst>
                <a:ext uri="{FF2B5EF4-FFF2-40B4-BE49-F238E27FC236}">
                  <a16:creationId xmlns:a16="http://schemas.microsoft.com/office/drawing/2014/main" id="{00000000-0008-0000-0200-000023000000}"/>
                </a:ext>
              </a:extLst>
            </xdr:cNvPr>
            <xdr:cNvSpPr txBox="1"/>
          </xdr:nvSpPr>
          <xdr:spPr>
            <a:xfrm>
              <a:off x="10029825" y="73558"/>
              <a:ext cx="1266824" cy="31008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CA" sz="1400">
                  <a:solidFill>
                    <a:schemeClr val="bg1"/>
                  </a:solidFill>
                  <a:latin typeface="Avenir Next LT Pro" panose="020B0504020202020204" pitchFamily="34" charset="0"/>
                </a:rPr>
                <a:t>Sales &amp;</a:t>
              </a:r>
              <a:r>
                <a:rPr lang="en-CA" sz="1400" baseline="0">
                  <a:solidFill>
                    <a:schemeClr val="bg1"/>
                  </a:solidFill>
                  <a:latin typeface="Avenir Next LT Pro" panose="020B0504020202020204" pitchFamily="34" charset="0"/>
                </a:rPr>
                <a:t> Profit</a:t>
              </a:r>
              <a:endParaRPr lang="en-CA" sz="1400">
                <a:solidFill>
                  <a:schemeClr val="bg1"/>
                </a:solidFill>
                <a:latin typeface="Avenir Next LT Pro" panose="020B0504020202020204" pitchFamily="34" charset="0"/>
              </a:endParaRPr>
            </a:p>
          </xdr:txBody>
        </xdr:sp>
        <xdr:sp macro="" textlink="">
          <xdr:nvSpPr>
            <xdr:cNvPr id="36" name="TextBox 35">
              <a:hlinkClick xmlns:r="http://schemas.openxmlformats.org/officeDocument/2006/relationships" r:id="rId8" tooltip="Trends"/>
              <a:extLst>
                <a:ext uri="{FF2B5EF4-FFF2-40B4-BE49-F238E27FC236}">
                  <a16:creationId xmlns:a16="http://schemas.microsoft.com/office/drawing/2014/main" id="{00000000-0008-0000-0200-000024000000}"/>
                </a:ext>
              </a:extLst>
            </xdr:cNvPr>
            <xdr:cNvSpPr txBox="1"/>
          </xdr:nvSpPr>
          <xdr:spPr>
            <a:xfrm>
              <a:off x="11441757" y="73558"/>
              <a:ext cx="768349" cy="31008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CA" sz="1400">
                  <a:solidFill>
                    <a:schemeClr val="bg1"/>
                  </a:solidFill>
                  <a:latin typeface="Avenir Next LT Pro" panose="020B0504020202020204" pitchFamily="34" charset="0"/>
                </a:rPr>
                <a:t>Trends</a:t>
              </a:r>
            </a:p>
          </xdr:txBody>
        </xdr:sp>
        <xdr:sp macro="" textlink="">
          <xdr:nvSpPr>
            <xdr:cNvPr id="37" name="TextBox 36">
              <a:extLst>
                <a:ext uri="{FF2B5EF4-FFF2-40B4-BE49-F238E27FC236}">
                  <a16:creationId xmlns:a16="http://schemas.microsoft.com/office/drawing/2014/main" id="{00000000-0008-0000-0200-000025000000}"/>
                </a:ext>
              </a:extLst>
            </xdr:cNvPr>
            <xdr:cNvSpPr txBox="1"/>
          </xdr:nvSpPr>
          <xdr:spPr>
            <a:xfrm>
              <a:off x="2505075" y="95979"/>
              <a:ext cx="2619375" cy="31008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CA" sz="1400">
                  <a:solidFill>
                    <a:schemeClr val="bg1"/>
                  </a:solidFill>
                  <a:latin typeface="Avenir Next LT Pro" panose="020B0504020202020204" pitchFamily="34" charset="0"/>
                </a:rPr>
                <a:t>Sales Performance  - FY 2015</a:t>
              </a:r>
            </a:p>
          </xdr:txBody>
        </xdr:sp>
        <xdr:sp macro="" textlink="">
          <xdr:nvSpPr>
            <xdr:cNvPr id="38" name="Rectangle: Rounded Corners 37">
              <a:extLst>
                <a:ext uri="{FF2B5EF4-FFF2-40B4-BE49-F238E27FC236}">
                  <a16:creationId xmlns:a16="http://schemas.microsoft.com/office/drawing/2014/main" id="{00000000-0008-0000-0200-000026000000}"/>
                </a:ext>
              </a:extLst>
            </xdr:cNvPr>
            <xdr:cNvSpPr/>
          </xdr:nvSpPr>
          <xdr:spPr>
            <a:xfrm>
              <a:off x="12734287" y="361950"/>
              <a:ext cx="468000" cy="36000"/>
            </a:xfrm>
            <a:prstGeom prst="roundRect">
              <a:avLst/>
            </a:prstGeom>
            <a:solidFill>
              <a:srgbClr val="194AFE"/>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sp macro="" textlink="">
          <xdr:nvSpPr>
            <xdr:cNvPr id="39" name="TextBox 38">
              <a:hlinkClick xmlns:r="http://schemas.openxmlformats.org/officeDocument/2006/relationships" r:id="rId9" tooltip="Sales Map"/>
              <a:extLst>
                <a:ext uri="{FF2B5EF4-FFF2-40B4-BE49-F238E27FC236}">
                  <a16:creationId xmlns:a16="http://schemas.microsoft.com/office/drawing/2014/main" id="{00000000-0008-0000-0200-000027000000}"/>
                </a:ext>
              </a:extLst>
            </xdr:cNvPr>
            <xdr:cNvSpPr txBox="1"/>
          </xdr:nvSpPr>
          <xdr:spPr>
            <a:xfrm>
              <a:off x="13722696" y="73558"/>
              <a:ext cx="1019769" cy="31008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CA" sz="1400">
                  <a:solidFill>
                    <a:schemeClr val="bg1"/>
                  </a:solidFill>
                  <a:latin typeface="Avenir Next LT Pro" panose="020B0504020202020204" pitchFamily="34" charset="0"/>
                </a:rPr>
                <a:t>Sales Map</a:t>
              </a:r>
            </a:p>
          </xdr:txBody>
        </xdr:sp>
      </xdr:grpSp>
      <xdr:pic>
        <xdr:nvPicPr>
          <xdr:cNvPr id="31" name="Picture 30">
            <a:hlinkClick xmlns:r="http://schemas.openxmlformats.org/officeDocument/2006/relationships" r:id="rId10"/>
            <a:extLst>
              <a:ext uri="{FF2B5EF4-FFF2-40B4-BE49-F238E27FC236}">
                <a16:creationId xmlns:a16="http://schemas.microsoft.com/office/drawing/2014/main" id="{00000000-0008-0000-0200-00001F000000}"/>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Lst>
          </a:blip>
          <a:stretch>
            <a:fillRect/>
          </a:stretch>
        </xdr:blipFill>
        <xdr:spPr>
          <a:xfrm>
            <a:off x="16144875" y="114300"/>
            <a:ext cx="1680593" cy="252000"/>
          </a:xfrm>
          <a:prstGeom prst="rect">
            <a:avLst/>
          </a:prstGeom>
        </xdr:spPr>
      </xdr:pic>
    </xdr:grpSp>
    <xdr:clientData/>
  </xdr:twoCellAnchor>
  <xdr:twoCellAnchor>
    <xdr:from>
      <xdr:col>15</xdr:col>
      <xdr:colOff>566773</xdr:colOff>
      <xdr:row>7</xdr:row>
      <xdr:rowOff>76201</xdr:rowOff>
    </xdr:from>
    <xdr:to>
      <xdr:col>22</xdr:col>
      <xdr:colOff>259573</xdr:colOff>
      <xdr:row>11</xdr:row>
      <xdr:rowOff>148501</xdr:rowOff>
    </xdr:to>
    <mc:AlternateContent xmlns:mc="http://schemas.openxmlformats.org/markup-compatibility/2006" xmlns:a14="http://schemas.microsoft.com/office/drawing/2010/main">
      <mc:Choice Requires="a14">
        <xdr:graphicFrame macro="">
          <xdr:nvGraphicFramePr>
            <xdr:cNvPr id="6" name="Customer Segment 2">
              <a:extLst>
                <a:ext uri="{FF2B5EF4-FFF2-40B4-BE49-F238E27FC236}">
                  <a16:creationId xmlns:a16="http://schemas.microsoft.com/office/drawing/2014/main" id="{00000000-0008-0000-0200-000006000000}"/>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Customer Segment 2"/>
            </a:graphicData>
          </a:graphic>
        </xdr:graphicFrame>
      </mc:Choice>
      <mc:Fallback xmlns="">
        <xdr:sp macro="" textlink="">
          <xdr:nvSpPr>
            <xdr:cNvPr id="0" name=""/>
            <xdr:cNvSpPr>
              <a:spLocks noTextEdit="1"/>
            </xdr:cNvSpPr>
          </xdr:nvSpPr>
          <xdr:spPr>
            <a:xfrm>
              <a:off x="9710773" y="1209676"/>
              <a:ext cx="3960000" cy="720000"/>
            </a:xfrm>
            <a:prstGeom prst="rect">
              <a:avLst/>
            </a:prstGeom>
            <a:solidFill>
              <a:prstClr val="white"/>
            </a:solidFill>
            <a:ln w="1">
              <a:solidFill>
                <a:prstClr val="green"/>
              </a:solidFill>
            </a:ln>
          </xdr:spPr>
          <xdr:txBody>
            <a:bodyPr vertOverflow="clip" horzOverflow="clip"/>
            <a:lstStyle/>
            <a:p>
              <a:r>
                <a:rPr lang="en-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xdr:from>
      <xdr:col>3</xdr:col>
      <xdr:colOff>283814</xdr:colOff>
      <xdr:row>16</xdr:row>
      <xdr:rowOff>92174</xdr:rowOff>
    </xdr:from>
    <xdr:to>
      <xdr:col>4</xdr:col>
      <xdr:colOff>586701</xdr:colOff>
      <xdr:row>22</xdr:row>
      <xdr:rowOff>101699</xdr:rowOff>
    </xdr:to>
    <xdr:grpSp>
      <xdr:nvGrpSpPr>
        <xdr:cNvPr id="3123" name="Group 3122">
          <a:extLst>
            <a:ext uri="{FF2B5EF4-FFF2-40B4-BE49-F238E27FC236}">
              <a16:creationId xmlns:a16="http://schemas.microsoft.com/office/drawing/2014/main" id="{00000000-0008-0000-0200-0000330C0000}"/>
            </a:ext>
          </a:extLst>
        </xdr:cNvPr>
        <xdr:cNvGrpSpPr/>
      </xdr:nvGrpSpPr>
      <xdr:grpSpPr>
        <a:xfrm>
          <a:off x="2112614" y="2768699"/>
          <a:ext cx="912487" cy="1009650"/>
          <a:chOff x="7764222" y="1809750"/>
          <a:chExt cx="990668" cy="1009650"/>
        </a:xfrm>
      </xdr:grpSpPr>
      <mc:AlternateContent xmlns:mc="http://schemas.openxmlformats.org/markup-compatibility/2006">
        <mc:Choice xmlns:a14="http://schemas.microsoft.com/office/drawing/2010/main" Requires="a14">
          <xdr:sp macro="" textlink="">
            <xdr:nvSpPr>
              <xdr:cNvPr id="3083" name="Group Box 11" hidden="1">
                <a:extLst>
                  <a:ext uri="{63B3BB69-23CF-44E3-9099-C40C66FF867C}">
                    <a14:compatExt spid="_x0000_s3083"/>
                  </a:ext>
                  <a:ext uri="{FF2B5EF4-FFF2-40B4-BE49-F238E27FC236}">
                    <a16:creationId xmlns:a16="http://schemas.microsoft.com/office/drawing/2014/main" id="{00000000-0008-0000-0200-00000B0C0000}"/>
                  </a:ext>
                </a:extLst>
              </xdr:cNvPr>
              <xdr:cNvSpPr/>
            </xdr:nvSpPr>
            <xdr:spPr bwMode="auto">
              <a:xfrm>
                <a:off x="7764222" y="1809750"/>
                <a:ext cx="990668" cy="10096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CA" sz="800" b="0" i="0" u="none" strike="noStrike" baseline="0">
                    <a:solidFill>
                      <a:srgbClr val="000000"/>
                    </a:solidFill>
                    <a:latin typeface="Segoe UI"/>
                    <a:cs typeface="Segoe UI"/>
                  </a:rPr>
                  <a:t>Group Box 1</a:t>
                </a:r>
              </a:p>
            </xdr:txBody>
          </xdr:sp>
        </mc:Choice>
        <mc:Fallback/>
      </mc:AlternateContent>
      <xdr:grpSp>
        <xdr:nvGrpSpPr>
          <xdr:cNvPr id="3125" name="Group 3124">
            <a:extLst>
              <a:ext uri="{FF2B5EF4-FFF2-40B4-BE49-F238E27FC236}">
                <a16:creationId xmlns:a16="http://schemas.microsoft.com/office/drawing/2014/main" id="{00000000-0008-0000-0200-0000350C0000}"/>
              </a:ext>
            </a:extLst>
          </xdr:cNvPr>
          <xdr:cNvGrpSpPr/>
        </xdr:nvGrpSpPr>
        <xdr:grpSpPr>
          <a:xfrm>
            <a:off x="7830866" y="1971675"/>
            <a:ext cx="855818" cy="285750"/>
            <a:chOff x="7954691" y="1857375"/>
            <a:chExt cx="855818" cy="285750"/>
          </a:xfrm>
        </xdr:grpSpPr>
        <xdr:sp macro="" textlink="">
          <xdr:nvSpPr>
            <xdr:cNvPr id="3130" name="TextBox 3129">
              <a:extLst>
                <a:ext uri="{FF2B5EF4-FFF2-40B4-BE49-F238E27FC236}">
                  <a16:creationId xmlns:a16="http://schemas.microsoft.com/office/drawing/2014/main" id="{00000000-0008-0000-0200-00003A0C0000}"/>
                </a:ext>
              </a:extLst>
            </xdr:cNvPr>
            <xdr:cNvSpPr txBox="1"/>
          </xdr:nvSpPr>
          <xdr:spPr>
            <a:xfrm>
              <a:off x="8126136" y="1857375"/>
              <a:ext cx="684373" cy="285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CA" sz="1400">
                  <a:solidFill>
                    <a:schemeClr val="bg1"/>
                  </a:solidFill>
                  <a:latin typeface="Avenir Next LT Pro Light" panose="020B0304020202020204" pitchFamily="34" charset="0"/>
                </a:rPr>
                <a:t>Sales</a:t>
              </a:r>
            </a:p>
          </xdr:txBody>
        </xdr:sp>
        <mc:AlternateContent xmlns:mc="http://schemas.openxmlformats.org/markup-compatibility/2006">
          <mc:Choice xmlns:a14="http://schemas.microsoft.com/office/drawing/2010/main" Requires="a14">
            <xdr:sp macro="" textlink="">
              <xdr:nvSpPr>
                <xdr:cNvPr id="3084" name="Option Button 12" hidden="1">
                  <a:extLst>
                    <a:ext uri="{63B3BB69-23CF-44E3-9099-C40C66FF867C}">
                      <a14:compatExt spid="_x0000_s3084"/>
                    </a:ext>
                    <a:ext uri="{FF2B5EF4-FFF2-40B4-BE49-F238E27FC236}">
                      <a16:creationId xmlns:a16="http://schemas.microsoft.com/office/drawing/2014/main" id="{00000000-0008-0000-0200-00000C0C0000}"/>
                    </a:ext>
                  </a:extLst>
                </xdr:cNvPr>
                <xdr:cNvSpPr/>
              </xdr:nvSpPr>
              <xdr:spPr bwMode="auto">
                <a:xfrm>
                  <a:off x="7954691" y="1866900"/>
                  <a:ext cx="814451" cy="24765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grpSp>
      <xdr:grpSp>
        <xdr:nvGrpSpPr>
          <xdr:cNvPr id="3126" name="Group 3125">
            <a:extLst>
              <a:ext uri="{FF2B5EF4-FFF2-40B4-BE49-F238E27FC236}">
                <a16:creationId xmlns:a16="http://schemas.microsoft.com/office/drawing/2014/main" id="{00000000-0008-0000-0200-0000360C0000}"/>
              </a:ext>
            </a:extLst>
          </xdr:cNvPr>
          <xdr:cNvGrpSpPr/>
        </xdr:nvGrpSpPr>
        <xdr:grpSpPr>
          <a:xfrm>
            <a:off x="7830860" y="2314575"/>
            <a:ext cx="902967" cy="285750"/>
            <a:chOff x="11031260" y="1876425"/>
            <a:chExt cx="902967" cy="285750"/>
          </a:xfrm>
        </xdr:grpSpPr>
        <xdr:sp macro="" textlink="">
          <xdr:nvSpPr>
            <xdr:cNvPr id="3128" name="TextBox 3127">
              <a:extLst>
                <a:ext uri="{FF2B5EF4-FFF2-40B4-BE49-F238E27FC236}">
                  <a16:creationId xmlns:a16="http://schemas.microsoft.com/office/drawing/2014/main" id="{00000000-0008-0000-0200-0000380C0000}"/>
                </a:ext>
              </a:extLst>
            </xdr:cNvPr>
            <xdr:cNvSpPr txBox="1"/>
          </xdr:nvSpPr>
          <xdr:spPr>
            <a:xfrm>
              <a:off x="11193188" y="1876425"/>
              <a:ext cx="741039" cy="285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CA" sz="1400">
                  <a:solidFill>
                    <a:schemeClr val="bg1"/>
                  </a:solidFill>
                  <a:latin typeface="Avenir Next LT Pro Light" panose="020B0304020202020204" pitchFamily="34" charset="0"/>
                </a:rPr>
                <a:t>Profit</a:t>
              </a:r>
            </a:p>
          </xdr:txBody>
        </xdr:sp>
        <mc:AlternateContent xmlns:mc="http://schemas.openxmlformats.org/markup-compatibility/2006">
          <mc:Choice xmlns:a14="http://schemas.microsoft.com/office/drawing/2010/main" Requires="a14">
            <xdr:sp macro="" textlink="">
              <xdr:nvSpPr>
                <xdr:cNvPr id="3085" name="Option Button 13" hidden="1">
                  <a:extLst>
                    <a:ext uri="{63B3BB69-23CF-44E3-9099-C40C66FF867C}">
                      <a14:compatExt spid="_x0000_s3085"/>
                    </a:ext>
                    <a:ext uri="{FF2B5EF4-FFF2-40B4-BE49-F238E27FC236}">
                      <a16:creationId xmlns:a16="http://schemas.microsoft.com/office/drawing/2014/main" id="{00000000-0008-0000-0200-00000D0C0000}"/>
                    </a:ext>
                  </a:extLst>
                </xdr:cNvPr>
                <xdr:cNvSpPr/>
              </xdr:nvSpPr>
              <xdr:spPr bwMode="auto">
                <a:xfrm>
                  <a:off x="11031260" y="1885950"/>
                  <a:ext cx="793774" cy="24765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grpSp>
    </xdr:grpSp>
    <xdr:clientData/>
  </xdr:twoCellAnchor>
  <xdr:twoCellAnchor>
    <xdr:from>
      <xdr:col>24</xdr:col>
      <xdr:colOff>492999</xdr:colOff>
      <xdr:row>16</xdr:row>
      <xdr:rowOff>92174</xdr:rowOff>
    </xdr:from>
    <xdr:to>
      <xdr:col>26</xdr:col>
      <xdr:colOff>152430</xdr:colOff>
      <xdr:row>22</xdr:row>
      <xdr:rowOff>101699</xdr:rowOff>
    </xdr:to>
    <xdr:grpSp>
      <xdr:nvGrpSpPr>
        <xdr:cNvPr id="54" name="Group 53">
          <a:extLst>
            <a:ext uri="{FF2B5EF4-FFF2-40B4-BE49-F238E27FC236}">
              <a16:creationId xmlns:a16="http://schemas.microsoft.com/office/drawing/2014/main" id="{00000000-0008-0000-0200-000036000000}"/>
            </a:ext>
          </a:extLst>
        </xdr:cNvPr>
        <xdr:cNvGrpSpPr/>
      </xdr:nvGrpSpPr>
      <xdr:grpSpPr>
        <a:xfrm>
          <a:off x="15123399" y="2768699"/>
          <a:ext cx="878631" cy="1009650"/>
          <a:chOff x="7764227" y="1809750"/>
          <a:chExt cx="970037" cy="1009650"/>
        </a:xfrm>
      </xdr:grpSpPr>
      <mc:AlternateContent xmlns:mc="http://schemas.openxmlformats.org/markup-compatibility/2006">
        <mc:Choice xmlns:a14="http://schemas.microsoft.com/office/drawing/2010/main" Requires="a14">
          <xdr:sp macro="" textlink="">
            <xdr:nvSpPr>
              <xdr:cNvPr id="3073" name="Group Box 1" hidden="1">
                <a:extLst>
                  <a:ext uri="{63B3BB69-23CF-44E3-9099-C40C66FF867C}">
                    <a14:compatExt spid="_x0000_s3073"/>
                  </a:ext>
                  <a:ext uri="{FF2B5EF4-FFF2-40B4-BE49-F238E27FC236}">
                    <a16:creationId xmlns:a16="http://schemas.microsoft.com/office/drawing/2014/main" id="{00000000-0008-0000-0200-0000010C0000}"/>
                  </a:ext>
                </a:extLst>
              </xdr:cNvPr>
              <xdr:cNvSpPr/>
            </xdr:nvSpPr>
            <xdr:spPr bwMode="auto">
              <a:xfrm>
                <a:off x="7764227" y="1809750"/>
                <a:ext cx="970037" cy="10096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CA" sz="800" b="0" i="0" u="none" strike="noStrike" baseline="0">
                    <a:solidFill>
                      <a:srgbClr val="000000"/>
                    </a:solidFill>
                    <a:latin typeface="Segoe UI"/>
                    <a:cs typeface="Segoe UI"/>
                  </a:rPr>
                  <a:t>Group Box 1</a:t>
                </a:r>
              </a:p>
            </xdr:txBody>
          </xdr:sp>
        </mc:Choice>
        <mc:Fallback/>
      </mc:AlternateContent>
      <xdr:grpSp>
        <xdr:nvGrpSpPr>
          <xdr:cNvPr id="52" name="Group 51">
            <a:extLst>
              <a:ext uri="{FF2B5EF4-FFF2-40B4-BE49-F238E27FC236}">
                <a16:creationId xmlns:a16="http://schemas.microsoft.com/office/drawing/2014/main" id="{00000000-0008-0000-0200-000034000000}"/>
              </a:ext>
            </a:extLst>
          </xdr:cNvPr>
          <xdr:cNvGrpSpPr/>
        </xdr:nvGrpSpPr>
        <xdr:grpSpPr>
          <a:xfrm>
            <a:off x="7830868" y="1981200"/>
            <a:ext cx="861296" cy="619125"/>
            <a:chOff x="7954693" y="1866900"/>
            <a:chExt cx="861296" cy="619125"/>
          </a:xfrm>
        </xdr:grpSpPr>
        <xdr:sp macro="" textlink="">
          <xdr:nvSpPr>
            <xdr:cNvPr id="11" name="TextBox 10">
              <a:extLst>
                <a:ext uri="{FF2B5EF4-FFF2-40B4-BE49-F238E27FC236}">
                  <a16:creationId xmlns:a16="http://schemas.microsoft.com/office/drawing/2014/main" id="{00000000-0008-0000-0200-00000B000000}"/>
                </a:ext>
              </a:extLst>
            </xdr:cNvPr>
            <xdr:cNvSpPr txBox="1"/>
          </xdr:nvSpPr>
          <xdr:spPr>
            <a:xfrm>
              <a:off x="8126136" y="2200275"/>
              <a:ext cx="689853" cy="285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CA" sz="1400">
                  <a:solidFill>
                    <a:schemeClr val="bg1"/>
                  </a:solidFill>
                  <a:latin typeface="Avenir Next LT Pro Light" panose="020B0304020202020204" pitchFamily="34" charset="0"/>
                </a:rPr>
                <a:t>Sales</a:t>
              </a:r>
            </a:p>
          </xdr:txBody>
        </xdr:sp>
        <mc:AlternateContent xmlns:mc="http://schemas.openxmlformats.org/markup-compatibility/2006">
          <mc:Choice xmlns:a14="http://schemas.microsoft.com/office/drawing/2010/main" Requires="a14">
            <xdr:sp macro="" textlink="">
              <xdr:nvSpPr>
                <xdr:cNvPr id="3074" name="Option Button 2" hidden="1">
                  <a:extLst>
                    <a:ext uri="{63B3BB69-23CF-44E3-9099-C40C66FF867C}">
                      <a14:compatExt spid="_x0000_s3074"/>
                    </a:ext>
                    <a:ext uri="{FF2B5EF4-FFF2-40B4-BE49-F238E27FC236}">
                      <a16:creationId xmlns:a16="http://schemas.microsoft.com/office/drawing/2014/main" id="{00000000-0008-0000-0200-0000020C0000}"/>
                    </a:ext>
                  </a:extLst>
                </xdr:cNvPr>
                <xdr:cNvSpPr/>
              </xdr:nvSpPr>
              <xdr:spPr bwMode="auto">
                <a:xfrm>
                  <a:off x="7954693" y="1866900"/>
                  <a:ext cx="808719" cy="24765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grpSp>
      <xdr:grpSp>
        <xdr:nvGrpSpPr>
          <xdr:cNvPr id="53" name="Group 52">
            <a:extLst>
              <a:ext uri="{FF2B5EF4-FFF2-40B4-BE49-F238E27FC236}">
                <a16:creationId xmlns:a16="http://schemas.microsoft.com/office/drawing/2014/main" id="{00000000-0008-0000-0200-000035000000}"/>
              </a:ext>
            </a:extLst>
          </xdr:cNvPr>
          <xdr:cNvGrpSpPr/>
        </xdr:nvGrpSpPr>
        <xdr:grpSpPr>
          <a:xfrm>
            <a:off x="7830864" y="1971675"/>
            <a:ext cx="850784" cy="600075"/>
            <a:chOff x="11031264" y="1533525"/>
            <a:chExt cx="850784" cy="600075"/>
          </a:xfrm>
        </xdr:grpSpPr>
        <xdr:sp macro="" textlink="">
          <xdr:nvSpPr>
            <xdr:cNvPr id="23" name="TextBox 22">
              <a:extLst>
                <a:ext uri="{FF2B5EF4-FFF2-40B4-BE49-F238E27FC236}">
                  <a16:creationId xmlns:a16="http://schemas.microsoft.com/office/drawing/2014/main" id="{00000000-0008-0000-0200-000017000000}"/>
                </a:ext>
              </a:extLst>
            </xdr:cNvPr>
            <xdr:cNvSpPr txBox="1"/>
          </xdr:nvSpPr>
          <xdr:spPr>
            <a:xfrm>
              <a:off x="11193188" y="1533525"/>
              <a:ext cx="688860" cy="285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CA" sz="1400">
                  <a:solidFill>
                    <a:schemeClr val="bg1"/>
                  </a:solidFill>
                  <a:latin typeface="Avenir Next LT Pro Light" panose="020B0304020202020204" pitchFamily="34" charset="0"/>
                </a:rPr>
                <a:t>Profit</a:t>
              </a:r>
            </a:p>
          </xdr:txBody>
        </xdr:sp>
        <mc:AlternateContent xmlns:mc="http://schemas.openxmlformats.org/markup-compatibility/2006">
          <mc:Choice xmlns:a14="http://schemas.microsoft.com/office/drawing/2010/main" Requires="a14">
            <xdr:sp macro="" textlink="">
              <xdr:nvSpPr>
                <xdr:cNvPr id="3075" name="Option Button 3" hidden="1">
                  <a:extLst>
                    <a:ext uri="{63B3BB69-23CF-44E3-9099-C40C66FF867C}">
                      <a14:compatExt spid="_x0000_s3075"/>
                    </a:ext>
                    <a:ext uri="{FF2B5EF4-FFF2-40B4-BE49-F238E27FC236}">
                      <a16:creationId xmlns:a16="http://schemas.microsoft.com/office/drawing/2014/main" id="{00000000-0008-0000-0200-0000030C0000}"/>
                    </a:ext>
                  </a:extLst>
                </xdr:cNvPr>
                <xdr:cNvSpPr/>
              </xdr:nvSpPr>
              <xdr:spPr bwMode="auto">
                <a:xfrm>
                  <a:off x="11031264" y="1885950"/>
                  <a:ext cx="819240" cy="24765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grpSp>
    </xdr:grpSp>
    <xdr:clientData/>
  </xdr:twoCellAnchor>
  <xdr:twoCellAnchor>
    <xdr:from>
      <xdr:col>22</xdr:col>
      <xdr:colOff>284359</xdr:colOff>
      <xdr:row>37</xdr:row>
      <xdr:rowOff>33759</xdr:rowOff>
    </xdr:from>
    <xdr:to>
      <xdr:col>27</xdr:col>
      <xdr:colOff>600078</xdr:colOff>
      <xdr:row>43</xdr:row>
      <xdr:rowOff>123824</xdr:rowOff>
    </xdr:to>
    <xdr:grpSp>
      <xdr:nvGrpSpPr>
        <xdr:cNvPr id="97" name="Group 96">
          <a:extLst>
            <a:ext uri="{FF2B5EF4-FFF2-40B4-BE49-F238E27FC236}">
              <a16:creationId xmlns:a16="http://schemas.microsoft.com/office/drawing/2014/main" id="{00000000-0008-0000-0200-000061000000}"/>
            </a:ext>
          </a:extLst>
        </xdr:cNvPr>
        <xdr:cNvGrpSpPr/>
      </xdr:nvGrpSpPr>
      <xdr:grpSpPr>
        <a:xfrm>
          <a:off x="13695559" y="6167859"/>
          <a:ext cx="3363719" cy="1061615"/>
          <a:chOff x="13705084" y="6148810"/>
          <a:chExt cx="3363719" cy="978834"/>
        </a:xfrm>
        <a:gradFill>
          <a:gsLst>
            <a:gs pos="0">
              <a:srgbClr val="DC25FA">
                <a:alpha val="20000"/>
              </a:srgbClr>
            </a:gs>
            <a:gs pos="63000">
              <a:srgbClr val="9947F7">
                <a:alpha val="20000"/>
              </a:srgbClr>
            </a:gs>
          </a:gsLst>
          <a:lin ang="3900000" scaled="0"/>
        </a:gradFill>
      </xdr:grpSpPr>
      <xdr:grpSp>
        <xdr:nvGrpSpPr>
          <xdr:cNvPr id="79" name="Group 78">
            <a:extLst>
              <a:ext uri="{FF2B5EF4-FFF2-40B4-BE49-F238E27FC236}">
                <a16:creationId xmlns:a16="http://schemas.microsoft.com/office/drawing/2014/main" id="{00000000-0008-0000-0200-00004F000000}"/>
              </a:ext>
            </a:extLst>
          </xdr:cNvPr>
          <xdr:cNvGrpSpPr/>
        </xdr:nvGrpSpPr>
        <xdr:grpSpPr>
          <a:xfrm>
            <a:off x="14452973" y="6148810"/>
            <a:ext cx="2615830" cy="978834"/>
            <a:chOff x="8009090" y="6240779"/>
            <a:chExt cx="720000" cy="864006"/>
          </a:xfrm>
          <a:grpFill/>
        </xdr:grpSpPr>
        <xdr:sp macro="" textlink="Pivot_tables!CS10">
          <xdr:nvSpPr>
            <xdr:cNvPr id="80" name="TextBox 79">
              <a:extLst>
                <a:ext uri="{FF2B5EF4-FFF2-40B4-BE49-F238E27FC236}">
                  <a16:creationId xmlns:a16="http://schemas.microsoft.com/office/drawing/2014/main" id="{00000000-0008-0000-0200-000050000000}"/>
                </a:ext>
              </a:extLst>
            </xdr:cNvPr>
            <xdr:cNvSpPr txBox="1"/>
          </xdr:nvSpPr>
          <xdr:spPr>
            <a:xfrm>
              <a:off x="8009090" y="6240779"/>
              <a:ext cx="720000" cy="216000"/>
            </a:xfrm>
            <a:prstGeom prst="rect">
              <a:avLst/>
            </a:prstGeom>
            <a:grp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200" b="0" i="0" u="none" strike="noStrike">
                  <a:ln>
                    <a:noFill/>
                  </a:ln>
                  <a:solidFill>
                    <a:srgbClr val="B1F5F1"/>
                  </a:solidFill>
                  <a:latin typeface="Avenir Next LT Pro"/>
                </a:rPr>
                <a:t>City Name</a:t>
              </a:r>
            </a:p>
          </xdr:txBody>
        </xdr:sp>
        <xdr:sp macro="" textlink="Pivot_tables!CM42">
          <xdr:nvSpPr>
            <xdr:cNvPr id="81" name="TextBox 80">
              <a:extLst>
                <a:ext uri="{FF2B5EF4-FFF2-40B4-BE49-F238E27FC236}">
                  <a16:creationId xmlns:a16="http://schemas.microsoft.com/office/drawing/2014/main" id="{00000000-0008-0000-0200-000051000000}"/>
                </a:ext>
              </a:extLst>
            </xdr:cNvPr>
            <xdr:cNvSpPr txBox="1"/>
          </xdr:nvSpPr>
          <xdr:spPr>
            <a:xfrm>
              <a:off x="8009090" y="6456783"/>
              <a:ext cx="720000" cy="216000"/>
            </a:xfrm>
            <a:prstGeom prst="rect">
              <a:avLst/>
            </a:prstGeom>
            <a:grp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A67AD6CF-221D-4BB3-AC76-D631D4B31098}" type="TxLink">
                <a:rPr lang="en-US" sz="1100" b="0" i="0" u="none" strike="noStrike">
                  <a:ln>
                    <a:noFill/>
                  </a:ln>
                  <a:solidFill>
                    <a:schemeClr val="bg1"/>
                  </a:solidFill>
                  <a:latin typeface="Avenir Next LT Pro"/>
                  <a:cs typeface="Arial"/>
                </a:rPr>
                <a:pPr algn="l"/>
                <a:t>Walla Walla</a:t>
              </a:fld>
              <a:endParaRPr lang="en-US" sz="1200" b="0" i="0" u="none" strike="noStrike">
                <a:ln>
                  <a:noFill/>
                </a:ln>
                <a:solidFill>
                  <a:schemeClr val="bg1"/>
                </a:solidFill>
                <a:latin typeface="Avenir Next LT Pro"/>
              </a:endParaRPr>
            </a:p>
          </xdr:txBody>
        </xdr:sp>
        <xdr:sp macro="" textlink="Pivot_tables!CM43">
          <xdr:nvSpPr>
            <xdr:cNvPr id="82" name="TextBox 81">
              <a:extLst>
                <a:ext uri="{FF2B5EF4-FFF2-40B4-BE49-F238E27FC236}">
                  <a16:creationId xmlns:a16="http://schemas.microsoft.com/office/drawing/2014/main" id="{00000000-0008-0000-0200-000052000000}"/>
                </a:ext>
              </a:extLst>
            </xdr:cNvPr>
            <xdr:cNvSpPr txBox="1"/>
          </xdr:nvSpPr>
          <xdr:spPr>
            <a:xfrm>
              <a:off x="8009090" y="6672774"/>
              <a:ext cx="720000" cy="216000"/>
            </a:xfrm>
            <a:prstGeom prst="rect">
              <a:avLst/>
            </a:prstGeom>
            <a:grp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9C210D97-BE06-4F71-AC7C-C015CDD424D9}" type="TxLink">
                <a:rPr lang="en-US" sz="1100" b="0" i="0" u="none" strike="noStrike">
                  <a:ln>
                    <a:noFill/>
                  </a:ln>
                  <a:solidFill>
                    <a:schemeClr val="bg1"/>
                  </a:solidFill>
                  <a:latin typeface="Avenir Next LT Pro"/>
                </a:rPr>
                <a:pPr algn="l"/>
                <a:t>Laguna Hills</a:t>
              </a:fld>
              <a:endParaRPr lang="en-US" sz="1200" b="0" i="0" u="none" strike="noStrike">
                <a:ln>
                  <a:noFill/>
                </a:ln>
                <a:solidFill>
                  <a:schemeClr val="bg1"/>
                </a:solidFill>
                <a:latin typeface="Avenir Next LT Pro"/>
              </a:endParaRPr>
            </a:p>
          </xdr:txBody>
        </xdr:sp>
        <xdr:sp macro="" textlink="Pivot_tables!CM44">
          <xdr:nvSpPr>
            <xdr:cNvPr id="83" name="TextBox 82">
              <a:extLst>
                <a:ext uri="{FF2B5EF4-FFF2-40B4-BE49-F238E27FC236}">
                  <a16:creationId xmlns:a16="http://schemas.microsoft.com/office/drawing/2014/main" id="{00000000-0008-0000-0200-000053000000}"/>
                </a:ext>
              </a:extLst>
            </xdr:cNvPr>
            <xdr:cNvSpPr txBox="1"/>
          </xdr:nvSpPr>
          <xdr:spPr>
            <a:xfrm>
              <a:off x="8009090" y="6888785"/>
              <a:ext cx="720000" cy="216000"/>
            </a:xfrm>
            <a:prstGeom prst="rect">
              <a:avLst/>
            </a:prstGeom>
            <a:grp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CD4FCDC6-CFBC-4736-8BB8-09472E567FFA}" type="TxLink">
                <a:rPr lang="en-US" sz="1100" b="0" i="0" u="none" strike="noStrike">
                  <a:ln>
                    <a:noFill/>
                  </a:ln>
                  <a:solidFill>
                    <a:schemeClr val="bg1"/>
                  </a:solidFill>
                  <a:latin typeface="Avenir Next LT Pro"/>
                </a:rPr>
                <a:pPr algn="l"/>
                <a:t>Janesville</a:t>
              </a:fld>
              <a:endParaRPr lang="en-US" sz="1200" b="0" i="0" u="none" strike="noStrike">
                <a:ln>
                  <a:noFill/>
                </a:ln>
                <a:solidFill>
                  <a:schemeClr val="bg1"/>
                </a:solidFill>
                <a:latin typeface="Avenir Next LT Pro"/>
              </a:endParaRPr>
            </a:p>
          </xdr:txBody>
        </xdr:sp>
      </xdr:grpSp>
      <xdr:grpSp>
        <xdr:nvGrpSpPr>
          <xdr:cNvPr id="71" name="Group 70">
            <a:extLst>
              <a:ext uri="{FF2B5EF4-FFF2-40B4-BE49-F238E27FC236}">
                <a16:creationId xmlns:a16="http://schemas.microsoft.com/office/drawing/2014/main" id="{00000000-0008-0000-0200-000047000000}"/>
              </a:ext>
            </a:extLst>
          </xdr:cNvPr>
          <xdr:cNvGrpSpPr/>
        </xdr:nvGrpSpPr>
        <xdr:grpSpPr>
          <a:xfrm>
            <a:off x="13705084" y="6148810"/>
            <a:ext cx="756000" cy="978834"/>
            <a:chOff x="7018124" y="6240779"/>
            <a:chExt cx="756731" cy="864006"/>
          </a:xfrm>
          <a:grpFill/>
        </xdr:grpSpPr>
        <xdr:sp macro="" textlink="Pivot_tables!CN41">
          <xdr:nvSpPr>
            <xdr:cNvPr id="72" name="TextBox 71">
              <a:extLst>
                <a:ext uri="{FF2B5EF4-FFF2-40B4-BE49-F238E27FC236}">
                  <a16:creationId xmlns:a16="http://schemas.microsoft.com/office/drawing/2014/main" id="{00000000-0008-0000-0200-000048000000}"/>
                </a:ext>
              </a:extLst>
            </xdr:cNvPr>
            <xdr:cNvSpPr txBox="1"/>
          </xdr:nvSpPr>
          <xdr:spPr>
            <a:xfrm>
              <a:off x="7018124" y="6240779"/>
              <a:ext cx="756731" cy="216000"/>
            </a:xfrm>
            <a:prstGeom prst="rect">
              <a:avLst/>
            </a:prstGeom>
            <a:grp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58EEC1E-FCE5-4D35-ADCB-FEAC37550A79}" type="TxLink">
                <a:rPr lang="en-US" sz="1200" b="0" i="0" u="none" strike="noStrike">
                  <a:ln>
                    <a:noFill/>
                  </a:ln>
                  <a:solidFill>
                    <a:srgbClr val="B1F5F1"/>
                  </a:solidFill>
                  <a:latin typeface="Avenir Next LT Pro"/>
                </a:rPr>
                <a:pPr algn="ctr"/>
                <a:t>Profit</a:t>
              </a:fld>
              <a:endParaRPr lang="en-US" sz="1600" b="0" i="0" u="none" strike="noStrike">
                <a:ln>
                  <a:noFill/>
                </a:ln>
                <a:solidFill>
                  <a:srgbClr val="B1F5F1"/>
                </a:solidFill>
                <a:latin typeface="Avenir Next LT Pro"/>
              </a:endParaRPr>
            </a:p>
          </xdr:txBody>
        </xdr:sp>
        <xdr:sp macro="" textlink="Pivot_tables!CN42">
          <xdr:nvSpPr>
            <xdr:cNvPr id="73" name="TextBox 72">
              <a:extLst>
                <a:ext uri="{FF2B5EF4-FFF2-40B4-BE49-F238E27FC236}">
                  <a16:creationId xmlns:a16="http://schemas.microsoft.com/office/drawing/2014/main" id="{00000000-0008-0000-0200-000049000000}"/>
                </a:ext>
              </a:extLst>
            </xdr:cNvPr>
            <xdr:cNvSpPr txBox="1"/>
          </xdr:nvSpPr>
          <xdr:spPr>
            <a:xfrm>
              <a:off x="7018124" y="6456783"/>
              <a:ext cx="756731" cy="216000"/>
            </a:xfrm>
            <a:prstGeom prst="rect">
              <a:avLst/>
            </a:prstGeom>
            <a:grp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DD5B06C-463A-4F4B-B14C-9532FE41F09E}" type="TxLink">
                <a:rPr lang="en-US" sz="1100" b="0" i="0" u="none" strike="noStrike">
                  <a:ln>
                    <a:noFill/>
                  </a:ln>
                  <a:solidFill>
                    <a:schemeClr val="bg1"/>
                  </a:solidFill>
                  <a:latin typeface="Avenir Next LT Pro"/>
                </a:rPr>
                <a:pPr algn="ctr"/>
                <a:t>-$3</a:t>
              </a:fld>
              <a:endParaRPr lang="en-US" sz="1200" b="0" i="0" u="none" strike="noStrike">
                <a:ln>
                  <a:noFill/>
                </a:ln>
                <a:solidFill>
                  <a:schemeClr val="bg1"/>
                </a:solidFill>
                <a:latin typeface="Avenir Next LT Pro"/>
              </a:endParaRPr>
            </a:p>
          </xdr:txBody>
        </xdr:sp>
        <xdr:sp macro="" textlink="Pivot_tables!CN43">
          <xdr:nvSpPr>
            <xdr:cNvPr id="74" name="TextBox 73">
              <a:extLst>
                <a:ext uri="{FF2B5EF4-FFF2-40B4-BE49-F238E27FC236}">
                  <a16:creationId xmlns:a16="http://schemas.microsoft.com/office/drawing/2014/main" id="{00000000-0008-0000-0200-00004A000000}"/>
                </a:ext>
              </a:extLst>
            </xdr:cNvPr>
            <xdr:cNvSpPr txBox="1"/>
          </xdr:nvSpPr>
          <xdr:spPr>
            <a:xfrm>
              <a:off x="7018124" y="6672774"/>
              <a:ext cx="756731" cy="216000"/>
            </a:xfrm>
            <a:prstGeom prst="rect">
              <a:avLst/>
            </a:prstGeom>
            <a:grp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6A5939CE-A261-483A-AC3F-CA2A8AB48FC4}" type="TxLink">
                <a:rPr lang="en-US" sz="1100" b="0" i="0" u="none" strike="noStrike">
                  <a:ln>
                    <a:noFill/>
                  </a:ln>
                  <a:solidFill>
                    <a:schemeClr val="bg1"/>
                  </a:solidFill>
                  <a:latin typeface="Avenir Next LT Pro"/>
                </a:rPr>
                <a:pPr algn="ctr"/>
                <a:t>-$8</a:t>
              </a:fld>
              <a:endParaRPr lang="en-US" sz="1200" b="0" i="0" u="none" strike="noStrike">
                <a:ln>
                  <a:noFill/>
                </a:ln>
                <a:solidFill>
                  <a:schemeClr val="bg1"/>
                </a:solidFill>
                <a:latin typeface="Avenir Next LT Pro"/>
              </a:endParaRPr>
            </a:p>
          </xdr:txBody>
        </xdr:sp>
        <xdr:sp macro="" textlink="Pivot_tables!CN44">
          <xdr:nvSpPr>
            <xdr:cNvPr id="75" name="TextBox 74">
              <a:extLst>
                <a:ext uri="{FF2B5EF4-FFF2-40B4-BE49-F238E27FC236}">
                  <a16:creationId xmlns:a16="http://schemas.microsoft.com/office/drawing/2014/main" id="{00000000-0008-0000-0200-00004B000000}"/>
                </a:ext>
              </a:extLst>
            </xdr:cNvPr>
            <xdr:cNvSpPr txBox="1"/>
          </xdr:nvSpPr>
          <xdr:spPr>
            <a:xfrm>
              <a:off x="7018124" y="6888785"/>
              <a:ext cx="756731" cy="216000"/>
            </a:xfrm>
            <a:prstGeom prst="rect">
              <a:avLst/>
            </a:prstGeom>
            <a:grp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D743D71B-CB13-4888-8A6F-5C2BF4D7FDD1}" type="TxLink">
                <a:rPr lang="en-US" sz="1100" b="0" i="0" u="none" strike="noStrike">
                  <a:ln>
                    <a:noFill/>
                  </a:ln>
                  <a:solidFill>
                    <a:schemeClr val="bg1"/>
                  </a:solidFill>
                  <a:latin typeface="Avenir Next LT Pro"/>
                </a:rPr>
                <a:pPr algn="ctr"/>
                <a:t>-$6</a:t>
              </a:fld>
              <a:endParaRPr lang="en-US" sz="1200" b="0" i="0" u="none" strike="noStrike">
                <a:ln>
                  <a:noFill/>
                </a:ln>
                <a:solidFill>
                  <a:schemeClr val="bg1"/>
                </a:solidFill>
                <a:latin typeface="Avenir Next LT Pro"/>
              </a:endParaRPr>
            </a:p>
          </xdr:txBody>
        </xdr:sp>
      </xdr:grpSp>
    </xdr:grpSp>
    <xdr:clientData/>
  </xdr:twoCellAnchor>
  <xdr:twoCellAnchor>
    <xdr:from>
      <xdr:col>15</xdr:col>
      <xdr:colOff>341509</xdr:colOff>
      <xdr:row>35</xdr:row>
      <xdr:rowOff>52809</xdr:rowOff>
    </xdr:from>
    <xdr:to>
      <xdr:col>21</xdr:col>
      <xdr:colOff>47615</xdr:colOff>
      <xdr:row>41</xdr:row>
      <xdr:rowOff>142874</xdr:rowOff>
    </xdr:to>
    <xdr:grpSp>
      <xdr:nvGrpSpPr>
        <xdr:cNvPr id="98" name="Group 97">
          <a:extLst>
            <a:ext uri="{FF2B5EF4-FFF2-40B4-BE49-F238E27FC236}">
              <a16:creationId xmlns:a16="http://schemas.microsoft.com/office/drawing/2014/main" id="{00000000-0008-0000-0200-000062000000}"/>
            </a:ext>
          </a:extLst>
        </xdr:cNvPr>
        <xdr:cNvGrpSpPr/>
      </xdr:nvGrpSpPr>
      <xdr:grpSpPr>
        <a:xfrm>
          <a:off x="9485509" y="5863059"/>
          <a:ext cx="3363706" cy="1061615"/>
          <a:chOff x="13695559" y="6148810"/>
          <a:chExt cx="3363706" cy="978834"/>
        </a:xfrm>
        <a:gradFill>
          <a:gsLst>
            <a:gs pos="0">
              <a:srgbClr val="DC25FA">
                <a:alpha val="20000"/>
              </a:srgbClr>
            </a:gs>
            <a:gs pos="63000">
              <a:srgbClr val="9947F7">
                <a:alpha val="20000"/>
              </a:srgbClr>
            </a:gs>
          </a:gsLst>
          <a:lin ang="3900000" scaled="0"/>
        </a:gradFill>
      </xdr:grpSpPr>
      <xdr:grpSp>
        <xdr:nvGrpSpPr>
          <xdr:cNvPr id="99" name="Group 98">
            <a:extLst>
              <a:ext uri="{FF2B5EF4-FFF2-40B4-BE49-F238E27FC236}">
                <a16:creationId xmlns:a16="http://schemas.microsoft.com/office/drawing/2014/main" id="{00000000-0008-0000-0200-000063000000}"/>
              </a:ext>
            </a:extLst>
          </xdr:cNvPr>
          <xdr:cNvGrpSpPr/>
        </xdr:nvGrpSpPr>
        <xdr:grpSpPr>
          <a:xfrm>
            <a:off x="14443436" y="6148810"/>
            <a:ext cx="2615829" cy="978834"/>
            <a:chOff x="8006468" y="6240779"/>
            <a:chExt cx="720000" cy="864006"/>
          </a:xfrm>
          <a:grpFill/>
        </xdr:grpSpPr>
        <xdr:sp macro="" textlink="Pivot_tables!CS10">
          <xdr:nvSpPr>
            <xdr:cNvPr id="106" name="TextBox 105">
              <a:extLst>
                <a:ext uri="{FF2B5EF4-FFF2-40B4-BE49-F238E27FC236}">
                  <a16:creationId xmlns:a16="http://schemas.microsoft.com/office/drawing/2014/main" id="{00000000-0008-0000-0200-00006A000000}"/>
                </a:ext>
              </a:extLst>
            </xdr:cNvPr>
            <xdr:cNvSpPr txBox="1"/>
          </xdr:nvSpPr>
          <xdr:spPr>
            <a:xfrm>
              <a:off x="8006468" y="6240779"/>
              <a:ext cx="720000" cy="216000"/>
            </a:xfrm>
            <a:prstGeom prst="rect">
              <a:avLst/>
            </a:prstGeom>
            <a:grp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200" b="0" i="0" u="none" strike="noStrike">
                  <a:ln>
                    <a:noFill/>
                  </a:ln>
                  <a:solidFill>
                    <a:srgbClr val="B1F5F1"/>
                  </a:solidFill>
                  <a:latin typeface="Avenir Next LT Pro"/>
                </a:rPr>
                <a:t>City Name</a:t>
              </a:r>
            </a:p>
          </xdr:txBody>
        </xdr:sp>
        <xdr:sp macro="" textlink="Pivot_tables!CM30">
          <xdr:nvSpPr>
            <xdr:cNvPr id="108" name="TextBox 107">
              <a:extLst>
                <a:ext uri="{FF2B5EF4-FFF2-40B4-BE49-F238E27FC236}">
                  <a16:creationId xmlns:a16="http://schemas.microsoft.com/office/drawing/2014/main" id="{00000000-0008-0000-0200-00006C000000}"/>
                </a:ext>
              </a:extLst>
            </xdr:cNvPr>
            <xdr:cNvSpPr txBox="1"/>
          </xdr:nvSpPr>
          <xdr:spPr>
            <a:xfrm>
              <a:off x="8006468" y="6456783"/>
              <a:ext cx="720000" cy="216000"/>
            </a:xfrm>
            <a:prstGeom prst="rect">
              <a:avLst/>
            </a:prstGeom>
            <a:grp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D4A3E2A7-8B69-4E15-92ED-43B176843FE6}" type="TxLink">
                <a:rPr lang="en-US" sz="1100" b="0" i="0" u="none" strike="noStrike">
                  <a:ln>
                    <a:noFill/>
                  </a:ln>
                  <a:solidFill>
                    <a:schemeClr val="bg1"/>
                  </a:solidFill>
                  <a:latin typeface="Avenir Next LT Pro"/>
                </a:rPr>
                <a:pPr algn="l"/>
                <a:t>Los Angeles</a:t>
              </a:fld>
              <a:endParaRPr lang="en-US" sz="1200" b="0" i="0" u="none" strike="noStrike">
                <a:ln>
                  <a:noFill/>
                </a:ln>
                <a:solidFill>
                  <a:schemeClr val="bg1"/>
                </a:solidFill>
                <a:latin typeface="Avenir Next LT Pro"/>
              </a:endParaRPr>
            </a:p>
          </xdr:txBody>
        </xdr:sp>
        <xdr:sp macro="" textlink="Pivot_tables!CM31">
          <xdr:nvSpPr>
            <xdr:cNvPr id="110" name="TextBox 109">
              <a:extLst>
                <a:ext uri="{FF2B5EF4-FFF2-40B4-BE49-F238E27FC236}">
                  <a16:creationId xmlns:a16="http://schemas.microsoft.com/office/drawing/2014/main" id="{00000000-0008-0000-0200-00006E000000}"/>
                </a:ext>
              </a:extLst>
            </xdr:cNvPr>
            <xdr:cNvSpPr txBox="1"/>
          </xdr:nvSpPr>
          <xdr:spPr>
            <a:xfrm>
              <a:off x="8006468" y="6672774"/>
              <a:ext cx="720000" cy="216000"/>
            </a:xfrm>
            <a:prstGeom prst="rect">
              <a:avLst/>
            </a:prstGeom>
            <a:grp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806F7084-CA7D-48B2-B51C-6EC7435969BF}" type="TxLink">
                <a:rPr lang="en-US" sz="1100" b="0" i="0" u="none" strike="noStrike">
                  <a:ln>
                    <a:noFill/>
                  </a:ln>
                  <a:solidFill>
                    <a:schemeClr val="bg1"/>
                  </a:solidFill>
                  <a:latin typeface="Avenir Next LT Pro"/>
                </a:rPr>
                <a:pPr algn="l"/>
                <a:t>New York City</a:t>
              </a:fld>
              <a:endParaRPr lang="en-US" sz="1200" b="0" i="0" u="none" strike="noStrike">
                <a:ln>
                  <a:noFill/>
                </a:ln>
                <a:solidFill>
                  <a:schemeClr val="bg1"/>
                </a:solidFill>
                <a:latin typeface="Avenir Next LT Pro"/>
              </a:endParaRPr>
            </a:p>
          </xdr:txBody>
        </xdr:sp>
        <xdr:sp macro="" textlink="Pivot_tables!CM32">
          <xdr:nvSpPr>
            <xdr:cNvPr id="111" name="TextBox 110">
              <a:extLst>
                <a:ext uri="{FF2B5EF4-FFF2-40B4-BE49-F238E27FC236}">
                  <a16:creationId xmlns:a16="http://schemas.microsoft.com/office/drawing/2014/main" id="{00000000-0008-0000-0200-00006F000000}"/>
                </a:ext>
              </a:extLst>
            </xdr:cNvPr>
            <xdr:cNvSpPr txBox="1"/>
          </xdr:nvSpPr>
          <xdr:spPr>
            <a:xfrm>
              <a:off x="8006468" y="6888785"/>
              <a:ext cx="720000" cy="216000"/>
            </a:xfrm>
            <a:prstGeom prst="rect">
              <a:avLst/>
            </a:prstGeom>
            <a:grp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9C736281-A733-46AC-AD7E-FCE963AA85D5}" type="TxLink">
                <a:rPr lang="en-US" sz="1100" b="0" i="0" u="none" strike="noStrike">
                  <a:ln>
                    <a:noFill/>
                  </a:ln>
                  <a:solidFill>
                    <a:schemeClr val="bg1"/>
                  </a:solidFill>
                  <a:latin typeface="Avenir Next LT Pro"/>
                </a:rPr>
                <a:pPr algn="l"/>
                <a:t>Washington</a:t>
              </a:fld>
              <a:endParaRPr lang="en-US" sz="1200" b="0" i="0" u="none" strike="noStrike">
                <a:ln>
                  <a:noFill/>
                </a:ln>
                <a:solidFill>
                  <a:schemeClr val="bg1"/>
                </a:solidFill>
                <a:latin typeface="Avenir Next LT Pro"/>
              </a:endParaRPr>
            </a:p>
          </xdr:txBody>
        </xdr:sp>
      </xdr:grpSp>
      <xdr:grpSp>
        <xdr:nvGrpSpPr>
          <xdr:cNvPr id="100" name="Group 99">
            <a:extLst>
              <a:ext uri="{FF2B5EF4-FFF2-40B4-BE49-F238E27FC236}">
                <a16:creationId xmlns:a16="http://schemas.microsoft.com/office/drawing/2014/main" id="{00000000-0008-0000-0200-000064000000}"/>
              </a:ext>
            </a:extLst>
          </xdr:cNvPr>
          <xdr:cNvGrpSpPr/>
        </xdr:nvGrpSpPr>
        <xdr:grpSpPr>
          <a:xfrm>
            <a:off x="13695559" y="6148810"/>
            <a:ext cx="756000" cy="978834"/>
            <a:chOff x="7008590" y="6240779"/>
            <a:chExt cx="756731" cy="864006"/>
          </a:xfrm>
          <a:grpFill/>
        </xdr:grpSpPr>
        <xdr:sp macro="" textlink="Pivot_tables!CN29">
          <xdr:nvSpPr>
            <xdr:cNvPr id="101" name="TextBox 100">
              <a:extLst>
                <a:ext uri="{FF2B5EF4-FFF2-40B4-BE49-F238E27FC236}">
                  <a16:creationId xmlns:a16="http://schemas.microsoft.com/office/drawing/2014/main" id="{00000000-0008-0000-0200-000065000000}"/>
                </a:ext>
              </a:extLst>
            </xdr:cNvPr>
            <xdr:cNvSpPr txBox="1"/>
          </xdr:nvSpPr>
          <xdr:spPr>
            <a:xfrm>
              <a:off x="7008590" y="6240779"/>
              <a:ext cx="756731" cy="216000"/>
            </a:xfrm>
            <a:prstGeom prst="rect">
              <a:avLst/>
            </a:prstGeom>
            <a:grp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4489EFA7-CBC6-45A5-97E2-86B7095D5831}" type="TxLink">
                <a:rPr lang="en-US" sz="1200" b="0" i="0" u="none" strike="noStrike">
                  <a:ln>
                    <a:noFill/>
                  </a:ln>
                  <a:solidFill>
                    <a:srgbClr val="B1F5F1"/>
                  </a:solidFill>
                  <a:latin typeface="Avenir Next LT Pro"/>
                </a:rPr>
                <a:pPr algn="ctr"/>
                <a:t>Profit</a:t>
              </a:fld>
              <a:endParaRPr lang="en-US" sz="1600" b="0" i="0" u="none" strike="noStrike">
                <a:ln>
                  <a:noFill/>
                </a:ln>
                <a:solidFill>
                  <a:srgbClr val="B1F5F1"/>
                </a:solidFill>
                <a:latin typeface="Avenir Next LT Pro"/>
              </a:endParaRPr>
            </a:p>
          </xdr:txBody>
        </xdr:sp>
        <xdr:sp macro="" textlink="Pivot_tables!CN30">
          <xdr:nvSpPr>
            <xdr:cNvPr id="103" name="TextBox 102">
              <a:extLst>
                <a:ext uri="{FF2B5EF4-FFF2-40B4-BE49-F238E27FC236}">
                  <a16:creationId xmlns:a16="http://schemas.microsoft.com/office/drawing/2014/main" id="{00000000-0008-0000-0200-000067000000}"/>
                </a:ext>
              </a:extLst>
            </xdr:cNvPr>
            <xdr:cNvSpPr txBox="1"/>
          </xdr:nvSpPr>
          <xdr:spPr>
            <a:xfrm>
              <a:off x="7008590" y="6456783"/>
              <a:ext cx="756731" cy="216000"/>
            </a:xfrm>
            <a:prstGeom prst="rect">
              <a:avLst/>
            </a:prstGeom>
            <a:grp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00F448F2-D5C6-47EB-ACA4-258D2E4A3DFB}" type="TxLink">
                <a:rPr lang="en-US" sz="1100" b="0" i="0" u="none" strike="noStrike">
                  <a:ln>
                    <a:noFill/>
                  </a:ln>
                  <a:solidFill>
                    <a:schemeClr val="bg1"/>
                  </a:solidFill>
                  <a:latin typeface="Avenir Next LT Pro"/>
                </a:rPr>
                <a:pPr algn="ctr"/>
                <a:t>$7,866</a:t>
              </a:fld>
              <a:endParaRPr lang="en-US" sz="1200" b="0" i="0" u="none" strike="noStrike">
                <a:ln>
                  <a:noFill/>
                </a:ln>
                <a:solidFill>
                  <a:schemeClr val="bg1"/>
                </a:solidFill>
                <a:latin typeface="Avenir Next LT Pro"/>
              </a:endParaRPr>
            </a:p>
          </xdr:txBody>
        </xdr:sp>
        <xdr:sp macro="" textlink="Pivot_tables!CN31">
          <xdr:nvSpPr>
            <xdr:cNvPr id="104" name="TextBox 103">
              <a:extLst>
                <a:ext uri="{FF2B5EF4-FFF2-40B4-BE49-F238E27FC236}">
                  <a16:creationId xmlns:a16="http://schemas.microsoft.com/office/drawing/2014/main" id="{00000000-0008-0000-0200-000068000000}"/>
                </a:ext>
              </a:extLst>
            </xdr:cNvPr>
            <xdr:cNvSpPr txBox="1"/>
          </xdr:nvSpPr>
          <xdr:spPr>
            <a:xfrm>
              <a:off x="7008590" y="6672774"/>
              <a:ext cx="756731" cy="216000"/>
            </a:xfrm>
            <a:prstGeom prst="rect">
              <a:avLst/>
            </a:prstGeom>
            <a:grp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8919EE62-FA8A-4952-84E9-6A5C2727B327}" type="TxLink">
                <a:rPr lang="en-US" sz="1100" b="0" i="0" u="none" strike="noStrike">
                  <a:ln>
                    <a:noFill/>
                  </a:ln>
                  <a:solidFill>
                    <a:schemeClr val="bg1"/>
                  </a:solidFill>
                  <a:latin typeface="Avenir Next LT Pro"/>
                </a:rPr>
                <a:pPr algn="ctr"/>
                <a:t>$4,928</a:t>
              </a:fld>
              <a:endParaRPr lang="en-US" sz="1200" b="0" i="0" u="none" strike="noStrike">
                <a:ln>
                  <a:noFill/>
                </a:ln>
                <a:solidFill>
                  <a:schemeClr val="bg1"/>
                </a:solidFill>
                <a:latin typeface="Avenir Next LT Pro"/>
              </a:endParaRPr>
            </a:p>
          </xdr:txBody>
        </xdr:sp>
        <xdr:sp macro="" textlink="Pivot_tables!CN32">
          <xdr:nvSpPr>
            <xdr:cNvPr id="105" name="TextBox 104">
              <a:extLst>
                <a:ext uri="{FF2B5EF4-FFF2-40B4-BE49-F238E27FC236}">
                  <a16:creationId xmlns:a16="http://schemas.microsoft.com/office/drawing/2014/main" id="{00000000-0008-0000-0200-000069000000}"/>
                </a:ext>
              </a:extLst>
            </xdr:cNvPr>
            <xdr:cNvSpPr txBox="1"/>
          </xdr:nvSpPr>
          <xdr:spPr>
            <a:xfrm>
              <a:off x="7008590" y="6888785"/>
              <a:ext cx="756731" cy="216000"/>
            </a:xfrm>
            <a:prstGeom prst="rect">
              <a:avLst/>
            </a:prstGeom>
            <a:grp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4AF29B52-4680-405E-939A-A92FD27F2ADA}" type="TxLink">
                <a:rPr lang="en-US" sz="1100" b="0" i="0" u="none" strike="noStrike">
                  <a:ln>
                    <a:noFill/>
                  </a:ln>
                  <a:solidFill>
                    <a:schemeClr val="bg1"/>
                  </a:solidFill>
                  <a:latin typeface="Avenir Next LT Pro"/>
                </a:rPr>
                <a:pPr algn="ctr"/>
                <a:t>$11,677</a:t>
              </a:fld>
              <a:endParaRPr lang="en-US" sz="1200" b="0" i="0" u="none" strike="noStrike">
                <a:ln>
                  <a:noFill/>
                </a:ln>
                <a:solidFill>
                  <a:schemeClr val="bg1"/>
                </a:solidFill>
                <a:latin typeface="Avenir Next LT Pro"/>
              </a:endParaRPr>
            </a:p>
          </xdr:txBody>
        </xdr:sp>
      </xdr:grpSp>
    </xdr:grpSp>
    <xdr:clientData/>
  </xdr:twoCellAnchor>
  <xdr:twoCellAnchor>
    <xdr:from>
      <xdr:col>8</xdr:col>
      <xdr:colOff>371474</xdr:colOff>
      <xdr:row>35</xdr:row>
      <xdr:rowOff>62334</xdr:rowOff>
    </xdr:from>
    <xdr:to>
      <xdr:col>14</xdr:col>
      <xdr:colOff>84501</xdr:colOff>
      <xdr:row>41</xdr:row>
      <xdr:rowOff>152399</xdr:rowOff>
    </xdr:to>
    <xdr:grpSp>
      <xdr:nvGrpSpPr>
        <xdr:cNvPr id="112" name="Group 111">
          <a:extLst>
            <a:ext uri="{FF2B5EF4-FFF2-40B4-BE49-F238E27FC236}">
              <a16:creationId xmlns:a16="http://schemas.microsoft.com/office/drawing/2014/main" id="{00000000-0008-0000-0200-000070000000}"/>
            </a:ext>
          </a:extLst>
        </xdr:cNvPr>
        <xdr:cNvGrpSpPr/>
      </xdr:nvGrpSpPr>
      <xdr:grpSpPr>
        <a:xfrm flipH="1">
          <a:off x="5248274" y="5872584"/>
          <a:ext cx="3370627" cy="1061615"/>
          <a:chOff x="13668046" y="6148810"/>
          <a:chExt cx="3372179" cy="978834"/>
        </a:xfrm>
        <a:gradFill>
          <a:gsLst>
            <a:gs pos="0">
              <a:srgbClr val="DC25FA">
                <a:alpha val="20000"/>
              </a:srgbClr>
            </a:gs>
            <a:gs pos="63000">
              <a:srgbClr val="9947F7">
                <a:alpha val="20000"/>
              </a:srgbClr>
            </a:gs>
          </a:gsLst>
          <a:lin ang="3900000" scaled="0"/>
        </a:gradFill>
      </xdr:grpSpPr>
      <xdr:grpSp>
        <xdr:nvGrpSpPr>
          <xdr:cNvPr id="113" name="Group 112">
            <a:extLst>
              <a:ext uri="{FF2B5EF4-FFF2-40B4-BE49-F238E27FC236}">
                <a16:creationId xmlns:a16="http://schemas.microsoft.com/office/drawing/2014/main" id="{00000000-0008-0000-0200-000071000000}"/>
              </a:ext>
            </a:extLst>
          </xdr:cNvPr>
          <xdr:cNvGrpSpPr/>
        </xdr:nvGrpSpPr>
        <xdr:grpSpPr>
          <a:xfrm>
            <a:off x="14424395" y="6148810"/>
            <a:ext cx="2615830" cy="978834"/>
            <a:chOff x="8001224" y="6240779"/>
            <a:chExt cx="720000" cy="864006"/>
          </a:xfrm>
          <a:grpFill/>
        </xdr:grpSpPr>
        <xdr:sp macro="" textlink="Pivot_tables!CS10">
          <xdr:nvSpPr>
            <xdr:cNvPr id="119" name="TextBox 118">
              <a:extLst>
                <a:ext uri="{FF2B5EF4-FFF2-40B4-BE49-F238E27FC236}">
                  <a16:creationId xmlns:a16="http://schemas.microsoft.com/office/drawing/2014/main" id="{00000000-0008-0000-0200-000077000000}"/>
                </a:ext>
              </a:extLst>
            </xdr:cNvPr>
            <xdr:cNvSpPr txBox="1"/>
          </xdr:nvSpPr>
          <xdr:spPr>
            <a:xfrm>
              <a:off x="8001224" y="6240779"/>
              <a:ext cx="720000" cy="216000"/>
            </a:xfrm>
            <a:prstGeom prst="rect">
              <a:avLst/>
            </a:prstGeom>
            <a:grp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200" b="0" i="0" u="none" strike="noStrike">
                  <a:ln>
                    <a:noFill/>
                  </a:ln>
                  <a:solidFill>
                    <a:srgbClr val="B1F5F1"/>
                  </a:solidFill>
                  <a:latin typeface="Avenir Next LT Pro"/>
                </a:rPr>
                <a:t>Product Name</a:t>
              </a:r>
            </a:p>
          </xdr:txBody>
        </xdr:sp>
        <xdr:sp macro="" textlink="Pivot_tables!CM6">
          <xdr:nvSpPr>
            <xdr:cNvPr id="120" name="TextBox 119">
              <a:extLst>
                <a:ext uri="{FF2B5EF4-FFF2-40B4-BE49-F238E27FC236}">
                  <a16:creationId xmlns:a16="http://schemas.microsoft.com/office/drawing/2014/main" id="{00000000-0008-0000-0200-000078000000}"/>
                </a:ext>
              </a:extLst>
            </xdr:cNvPr>
            <xdr:cNvSpPr txBox="1"/>
          </xdr:nvSpPr>
          <xdr:spPr>
            <a:xfrm>
              <a:off x="8001224" y="6456783"/>
              <a:ext cx="720000" cy="216000"/>
            </a:xfrm>
            <a:prstGeom prst="rect">
              <a:avLst/>
            </a:prstGeom>
            <a:grp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C3B3313D-CBF5-4D65-8427-29BCD958AD2C}" type="TxLink">
                <a:rPr lang="en-US" sz="1100" b="0" i="0" u="none" strike="noStrike">
                  <a:ln>
                    <a:noFill/>
                  </a:ln>
                  <a:solidFill>
                    <a:schemeClr val="bg1"/>
                  </a:solidFill>
                  <a:latin typeface="Avenir Next LT Pro"/>
                </a:rPr>
                <a:pPr algn="l"/>
                <a:t>Fellowes PB500 Electric Punch Plastic Comb Binding Machine with Manual Bind</a:t>
              </a:fld>
              <a:endParaRPr lang="en-US" b="0" i="0" u="none" strike="noStrike">
                <a:ln>
                  <a:noFill/>
                </a:ln>
                <a:solidFill>
                  <a:schemeClr val="bg1"/>
                </a:solidFill>
                <a:latin typeface="Avenir Next LT Pro"/>
              </a:endParaRPr>
            </a:p>
          </xdr:txBody>
        </xdr:sp>
        <xdr:sp macro="" textlink="Pivot_tables!CM7">
          <xdr:nvSpPr>
            <xdr:cNvPr id="121" name="TextBox 120">
              <a:extLst>
                <a:ext uri="{FF2B5EF4-FFF2-40B4-BE49-F238E27FC236}">
                  <a16:creationId xmlns:a16="http://schemas.microsoft.com/office/drawing/2014/main" id="{00000000-0008-0000-0200-000079000000}"/>
                </a:ext>
              </a:extLst>
            </xdr:cNvPr>
            <xdr:cNvSpPr txBox="1"/>
          </xdr:nvSpPr>
          <xdr:spPr>
            <a:xfrm>
              <a:off x="8001224" y="6672774"/>
              <a:ext cx="720000" cy="216000"/>
            </a:xfrm>
            <a:prstGeom prst="rect">
              <a:avLst/>
            </a:prstGeom>
            <a:grp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A24FFA5A-8997-4BD4-89C0-3F359A76A631}" type="TxLink">
                <a:rPr lang="en-US" sz="1100" b="0" i="0" u="none" strike="noStrike">
                  <a:ln>
                    <a:noFill/>
                  </a:ln>
                  <a:solidFill>
                    <a:schemeClr val="bg1"/>
                  </a:solidFill>
                  <a:latin typeface="Avenir Next LT Pro"/>
                </a:rPr>
                <a:pPr algn="l"/>
                <a:t>Global Troy™ Executive Leather Low-Back Tilter</a:t>
              </a:fld>
              <a:endParaRPr lang="en-US" sz="1200" b="0" i="0" u="none" strike="noStrike">
                <a:ln>
                  <a:noFill/>
                </a:ln>
                <a:solidFill>
                  <a:schemeClr val="bg1"/>
                </a:solidFill>
                <a:latin typeface="Avenir Next LT Pro"/>
              </a:endParaRPr>
            </a:p>
          </xdr:txBody>
        </xdr:sp>
        <xdr:sp macro="" textlink="Pivot_tables!CM8">
          <xdr:nvSpPr>
            <xdr:cNvPr id="124" name="TextBox 123">
              <a:extLst>
                <a:ext uri="{FF2B5EF4-FFF2-40B4-BE49-F238E27FC236}">
                  <a16:creationId xmlns:a16="http://schemas.microsoft.com/office/drawing/2014/main" id="{00000000-0008-0000-0200-00007C000000}"/>
                </a:ext>
              </a:extLst>
            </xdr:cNvPr>
            <xdr:cNvSpPr txBox="1"/>
          </xdr:nvSpPr>
          <xdr:spPr>
            <a:xfrm>
              <a:off x="8001224" y="6888785"/>
              <a:ext cx="720000" cy="216000"/>
            </a:xfrm>
            <a:prstGeom prst="rect">
              <a:avLst/>
            </a:prstGeom>
            <a:grp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02D13558-5C59-4D6D-96B5-17ADC2DD72A0}" type="TxLink">
                <a:rPr lang="en-US" sz="1100" b="0" i="0" u="none" strike="noStrike">
                  <a:ln>
                    <a:noFill/>
                  </a:ln>
                  <a:solidFill>
                    <a:schemeClr val="bg1"/>
                  </a:solidFill>
                  <a:latin typeface="Avenir Next LT Pro"/>
                </a:rPr>
                <a:pPr algn="l"/>
                <a:t>Lexmark 4227 Plus Dot Matrix Printer</a:t>
              </a:fld>
              <a:endParaRPr lang="en-US" sz="1200" b="0" i="0" u="none" strike="noStrike">
                <a:ln>
                  <a:noFill/>
                </a:ln>
                <a:solidFill>
                  <a:schemeClr val="bg1"/>
                </a:solidFill>
                <a:latin typeface="Avenir Next LT Pro"/>
              </a:endParaRPr>
            </a:p>
          </xdr:txBody>
        </xdr:sp>
      </xdr:grpSp>
      <xdr:grpSp>
        <xdr:nvGrpSpPr>
          <xdr:cNvPr id="114" name="Group 113">
            <a:extLst>
              <a:ext uri="{FF2B5EF4-FFF2-40B4-BE49-F238E27FC236}">
                <a16:creationId xmlns:a16="http://schemas.microsoft.com/office/drawing/2014/main" id="{00000000-0008-0000-0200-000072000000}"/>
              </a:ext>
            </a:extLst>
          </xdr:cNvPr>
          <xdr:cNvGrpSpPr/>
        </xdr:nvGrpSpPr>
        <xdr:grpSpPr>
          <a:xfrm>
            <a:off x="13668046" y="6148810"/>
            <a:ext cx="756348" cy="978834"/>
            <a:chOff x="6981047" y="6240779"/>
            <a:chExt cx="757079" cy="864006"/>
          </a:xfrm>
          <a:grpFill/>
        </xdr:grpSpPr>
        <xdr:sp macro="" textlink="Pivot_tables!CN5">
          <xdr:nvSpPr>
            <xdr:cNvPr id="115" name="TextBox 114">
              <a:extLst>
                <a:ext uri="{FF2B5EF4-FFF2-40B4-BE49-F238E27FC236}">
                  <a16:creationId xmlns:a16="http://schemas.microsoft.com/office/drawing/2014/main" id="{00000000-0008-0000-0200-000073000000}"/>
                </a:ext>
              </a:extLst>
            </xdr:cNvPr>
            <xdr:cNvSpPr txBox="1"/>
          </xdr:nvSpPr>
          <xdr:spPr>
            <a:xfrm>
              <a:off x="6981047" y="6240779"/>
              <a:ext cx="757078" cy="216000"/>
            </a:xfrm>
            <a:prstGeom prst="rect">
              <a:avLst/>
            </a:prstGeom>
            <a:grp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8091FFCE-E867-41F3-8F06-14DC3B40147D}" type="TxLink">
                <a:rPr lang="en-US" sz="1200" b="0" i="0" u="none" strike="noStrike">
                  <a:ln>
                    <a:noFill/>
                  </a:ln>
                  <a:solidFill>
                    <a:srgbClr val="B1F5F1"/>
                  </a:solidFill>
                  <a:latin typeface="Avenir Next LT Pro"/>
                </a:rPr>
                <a:pPr algn="ctr"/>
                <a:t>Profit</a:t>
              </a:fld>
              <a:endParaRPr lang="en-US" sz="1800" b="0" i="0" u="none" strike="noStrike">
                <a:ln>
                  <a:noFill/>
                </a:ln>
                <a:solidFill>
                  <a:srgbClr val="B1F5F1"/>
                </a:solidFill>
                <a:latin typeface="Avenir Next LT Pro"/>
              </a:endParaRPr>
            </a:p>
          </xdr:txBody>
        </xdr:sp>
        <xdr:sp macro="" textlink="Pivot_tables!CN6">
          <xdr:nvSpPr>
            <xdr:cNvPr id="116" name="TextBox 115">
              <a:extLst>
                <a:ext uri="{FF2B5EF4-FFF2-40B4-BE49-F238E27FC236}">
                  <a16:creationId xmlns:a16="http://schemas.microsoft.com/office/drawing/2014/main" id="{00000000-0008-0000-0200-000074000000}"/>
                </a:ext>
              </a:extLst>
            </xdr:cNvPr>
            <xdr:cNvSpPr txBox="1"/>
          </xdr:nvSpPr>
          <xdr:spPr>
            <a:xfrm>
              <a:off x="6981047" y="6456783"/>
              <a:ext cx="757079" cy="216000"/>
            </a:xfrm>
            <a:prstGeom prst="rect">
              <a:avLst/>
            </a:prstGeom>
            <a:grp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EC97952-3147-4147-9CB4-CF7275A71E2B}" type="TxLink">
                <a:rPr lang="en-US" sz="1100" b="0" i="0" u="none" strike="noStrike">
                  <a:ln>
                    <a:noFill/>
                  </a:ln>
                  <a:solidFill>
                    <a:schemeClr val="bg1"/>
                  </a:solidFill>
                  <a:latin typeface="Avenir Next LT Pro"/>
                </a:rPr>
                <a:pPr algn="ctr"/>
                <a:t>$23,866</a:t>
              </a:fld>
              <a:endParaRPr lang="en-US" sz="1200" b="0" i="0" u="none" strike="noStrike">
                <a:ln>
                  <a:noFill/>
                </a:ln>
                <a:solidFill>
                  <a:schemeClr val="bg1"/>
                </a:solidFill>
                <a:latin typeface="Avenir Next LT Pro"/>
              </a:endParaRPr>
            </a:p>
          </xdr:txBody>
        </xdr:sp>
        <xdr:sp macro="" textlink="Pivot_tables!CN7">
          <xdr:nvSpPr>
            <xdr:cNvPr id="117" name="TextBox 116">
              <a:extLst>
                <a:ext uri="{FF2B5EF4-FFF2-40B4-BE49-F238E27FC236}">
                  <a16:creationId xmlns:a16="http://schemas.microsoft.com/office/drawing/2014/main" id="{00000000-0008-0000-0200-000075000000}"/>
                </a:ext>
              </a:extLst>
            </xdr:cNvPr>
            <xdr:cNvSpPr txBox="1"/>
          </xdr:nvSpPr>
          <xdr:spPr>
            <a:xfrm>
              <a:off x="6981047" y="6672774"/>
              <a:ext cx="757079" cy="216000"/>
            </a:xfrm>
            <a:prstGeom prst="rect">
              <a:avLst/>
            </a:prstGeom>
            <a:grp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3A973AC-B74B-4D76-B269-01B69F260BF0}" type="TxLink">
                <a:rPr lang="en-US" sz="1100" b="0" i="0" u="none" strike="noStrike">
                  <a:ln>
                    <a:noFill/>
                  </a:ln>
                  <a:solidFill>
                    <a:schemeClr val="bg1"/>
                  </a:solidFill>
                  <a:latin typeface="Avenir Next LT Pro"/>
                </a:rPr>
                <a:pPr algn="ctr"/>
                <a:t>$18,628</a:t>
              </a:fld>
              <a:endParaRPr lang="en-US" sz="1200" b="0" i="0" u="none" strike="noStrike">
                <a:ln>
                  <a:noFill/>
                </a:ln>
                <a:solidFill>
                  <a:schemeClr val="bg1"/>
                </a:solidFill>
                <a:latin typeface="Avenir Next LT Pro"/>
              </a:endParaRPr>
            </a:p>
          </xdr:txBody>
        </xdr:sp>
        <xdr:sp macro="" textlink="Pivot_tables!CN8">
          <xdr:nvSpPr>
            <xdr:cNvPr id="118" name="TextBox 117">
              <a:extLst>
                <a:ext uri="{FF2B5EF4-FFF2-40B4-BE49-F238E27FC236}">
                  <a16:creationId xmlns:a16="http://schemas.microsoft.com/office/drawing/2014/main" id="{00000000-0008-0000-0200-000076000000}"/>
                </a:ext>
              </a:extLst>
            </xdr:cNvPr>
            <xdr:cNvSpPr txBox="1"/>
          </xdr:nvSpPr>
          <xdr:spPr>
            <a:xfrm>
              <a:off x="6981047" y="6888785"/>
              <a:ext cx="757079" cy="216000"/>
            </a:xfrm>
            <a:prstGeom prst="rect">
              <a:avLst/>
            </a:prstGeom>
            <a:grp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8FF14D34-5FD7-40AF-AFD8-9AE8BFAD242C}" type="TxLink">
                <a:rPr lang="en-US" sz="1100" b="0" i="0" u="none" strike="noStrike">
                  <a:ln>
                    <a:noFill/>
                  </a:ln>
                  <a:solidFill>
                    <a:schemeClr val="bg1"/>
                  </a:solidFill>
                  <a:latin typeface="Avenir Next LT Pro"/>
                </a:rPr>
                <a:pPr algn="ctr"/>
                <a:t>$3,700</a:t>
              </a:fld>
              <a:endParaRPr lang="en-US" sz="1200" b="0" i="0" u="none" strike="noStrike">
                <a:ln>
                  <a:noFill/>
                </a:ln>
                <a:solidFill>
                  <a:schemeClr val="bg1"/>
                </a:solidFill>
                <a:latin typeface="Avenir Next LT Pro"/>
              </a:endParaRPr>
            </a:p>
          </xdr:txBody>
        </xdr:sp>
      </xdr:grpSp>
    </xdr:grpSp>
    <xdr:clientData/>
  </xdr:twoCellAnchor>
  <xdr:twoCellAnchor>
    <xdr:from>
      <xdr:col>1</xdr:col>
      <xdr:colOff>428624</xdr:colOff>
      <xdr:row>37</xdr:row>
      <xdr:rowOff>33759</xdr:rowOff>
    </xdr:from>
    <xdr:to>
      <xdr:col>7</xdr:col>
      <xdr:colOff>141651</xdr:colOff>
      <xdr:row>43</xdr:row>
      <xdr:rowOff>123824</xdr:rowOff>
    </xdr:to>
    <xdr:grpSp>
      <xdr:nvGrpSpPr>
        <xdr:cNvPr id="3072" name="Group 3071">
          <a:extLst>
            <a:ext uri="{FF2B5EF4-FFF2-40B4-BE49-F238E27FC236}">
              <a16:creationId xmlns:a16="http://schemas.microsoft.com/office/drawing/2014/main" id="{00000000-0008-0000-0200-0000000C0000}"/>
            </a:ext>
          </a:extLst>
        </xdr:cNvPr>
        <xdr:cNvGrpSpPr/>
      </xdr:nvGrpSpPr>
      <xdr:grpSpPr>
        <a:xfrm flipH="1">
          <a:off x="1038224" y="6167859"/>
          <a:ext cx="3370627" cy="1061615"/>
          <a:chOff x="13668046" y="6148810"/>
          <a:chExt cx="3372179" cy="978834"/>
        </a:xfrm>
        <a:gradFill>
          <a:gsLst>
            <a:gs pos="0">
              <a:srgbClr val="DC25FA">
                <a:alpha val="20000"/>
              </a:srgbClr>
            </a:gs>
            <a:gs pos="63000">
              <a:srgbClr val="9947F7">
                <a:alpha val="20000"/>
              </a:srgbClr>
            </a:gs>
          </a:gsLst>
          <a:lin ang="3900000" scaled="0"/>
        </a:gradFill>
      </xdr:grpSpPr>
      <xdr:grpSp>
        <xdr:nvGrpSpPr>
          <xdr:cNvPr id="3076" name="Group 3075">
            <a:extLst>
              <a:ext uri="{FF2B5EF4-FFF2-40B4-BE49-F238E27FC236}">
                <a16:creationId xmlns:a16="http://schemas.microsoft.com/office/drawing/2014/main" id="{00000000-0008-0000-0200-0000040C0000}"/>
              </a:ext>
            </a:extLst>
          </xdr:cNvPr>
          <xdr:cNvGrpSpPr/>
        </xdr:nvGrpSpPr>
        <xdr:grpSpPr>
          <a:xfrm>
            <a:off x="14424395" y="6148810"/>
            <a:ext cx="2615830" cy="978834"/>
            <a:chOff x="8001224" y="6240779"/>
            <a:chExt cx="720000" cy="864006"/>
          </a:xfrm>
          <a:grpFill/>
        </xdr:grpSpPr>
        <xdr:sp macro="" textlink="Pivot_tables!CS10">
          <xdr:nvSpPr>
            <xdr:cNvPr id="3082" name="TextBox 3081">
              <a:extLst>
                <a:ext uri="{FF2B5EF4-FFF2-40B4-BE49-F238E27FC236}">
                  <a16:creationId xmlns:a16="http://schemas.microsoft.com/office/drawing/2014/main" id="{00000000-0008-0000-0200-00000A0C0000}"/>
                </a:ext>
              </a:extLst>
            </xdr:cNvPr>
            <xdr:cNvSpPr txBox="1"/>
          </xdr:nvSpPr>
          <xdr:spPr>
            <a:xfrm>
              <a:off x="8001224" y="6240779"/>
              <a:ext cx="720000" cy="216000"/>
            </a:xfrm>
            <a:prstGeom prst="rect">
              <a:avLst/>
            </a:prstGeom>
            <a:grp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200" b="0" i="0" u="none" strike="noStrike">
                  <a:ln>
                    <a:noFill/>
                  </a:ln>
                  <a:solidFill>
                    <a:srgbClr val="B1F5F1"/>
                  </a:solidFill>
                  <a:latin typeface="Avenir Next LT Pro"/>
                </a:rPr>
                <a:t>Product Name</a:t>
              </a:r>
            </a:p>
          </xdr:txBody>
        </xdr:sp>
        <xdr:sp macro="" textlink="Pivot_tables!CM18">
          <xdr:nvSpPr>
            <xdr:cNvPr id="3086" name="TextBox 3085">
              <a:extLst>
                <a:ext uri="{FF2B5EF4-FFF2-40B4-BE49-F238E27FC236}">
                  <a16:creationId xmlns:a16="http://schemas.microsoft.com/office/drawing/2014/main" id="{00000000-0008-0000-0200-00000E0C0000}"/>
                </a:ext>
              </a:extLst>
            </xdr:cNvPr>
            <xdr:cNvSpPr txBox="1"/>
          </xdr:nvSpPr>
          <xdr:spPr>
            <a:xfrm>
              <a:off x="8001224" y="6456783"/>
              <a:ext cx="720000" cy="216000"/>
            </a:xfrm>
            <a:prstGeom prst="rect">
              <a:avLst/>
            </a:prstGeom>
            <a:grp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6C1710F0-06E9-40C2-81E9-45DB4DCB12EF}" type="TxLink">
                <a:rPr lang="en-US" sz="1100" b="0" i="0" u="none" strike="noStrike">
                  <a:ln>
                    <a:noFill/>
                  </a:ln>
                  <a:solidFill>
                    <a:schemeClr val="bg1"/>
                  </a:solidFill>
                  <a:latin typeface="Avenir Next LT Pro"/>
                </a:rPr>
                <a:pPr algn="l"/>
                <a:t>Polycom ViewStation™ ISDN Videoconferencing Unit</a:t>
              </a:fld>
              <a:endParaRPr lang="en-US" sz="1200" b="0" i="0" u="none" strike="noStrike">
                <a:ln>
                  <a:noFill/>
                </a:ln>
                <a:solidFill>
                  <a:schemeClr val="bg1"/>
                </a:solidFill>
                <a:latin typeface="Avenir Next LT Pro"/>
              </a:endParaRPr>
            </a:p>
          </xdr:txBody>
        </xdr:sp>
        <xdr:sp macro="" textlink="Pivot_tables!CM19">
          <xdr:nvSpPr>
            <xdr:cNvPr id="3087" name="TextBox 3086">
              <a:extLst>
                <a:ext uri="{FF2B5EF4-FFF2-40B4-BE49-F238E27FC236}">
                  <a16:creationId xmlns:a16="http://schemas.microsoft.com/office/drawing/2014/main" id="{00000000-0008-0000-0200-00000F0C0000}"/>
                </a:ext>
              </a:extLst>
            </xdr:cNvPr>
            <xdr:cNvSpPr txBox="1"/>
          </xdr:nvSpPr>
          <xdr:spPr>
            <a:xfrm>
              <a:off x="8001224" y="6672774"/>
              <a:ext cx="720000" cy="216000"/>
            </a:xfrm>
            <a:prstGeom prst="rect">
              <a:avLst/>
            </a:prstGeom>
            <a:grp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8E99C1D6-CB75-4C11-8200-3CBCDD5A09A7}" type="TxLink">
                <a:rPr lang="en-US" sz="1100" b="0" i="0" u="none" strike="noStrike">
                  <a:ln>
                    <a:noFill/>
                  </a:ln>
                  <a:solidFill>
                    <a:schemeClr val="bg1"/>
                  </a:solidFill>
                  <a:latin typeface="Avenir Next LT Pro"/>
                </a:rPr>
                <a:pPr algn="l"/>
                <a:t>5165</a:t>
              </a:fld>
              <a:endParaRPr lang="en-US" sz="1200" b="0" i="0" u="none" strike="noStrike">
                <a:ln>
                  <a:noFill/>
                </a:ln>
                <a:solidFill>
                  <a:schemeClr val="bg1"/>
                </a:solidFill>
                <a:latin typeface="Avenir Next LT Pro"/>
              </a:endParaRPr>
            </a:p>
          </xdr:txBody>
        </xdr:sp>
        <xdr:sp macro="" textlink="Pivot_tables!CM20">
          <xdr:nvSpPr>
            <xdr:cNvPr id="3088" name="TextBox 3087">
              <a:extLst>
                <a:ext uri="{FF2B5EF4-FFF2-40B4-BE49-F238E27FC236}">
                  <a16:creationId xmlns:a16="http://schemas.microsoft.com/office/drawing/2014/main" id="{00000000-0008-0000-0200-0000100C0000}"/>
                </a:ext>
              </a:extLst>
            </xdr:cNvPr>
            <xdr:cNvSpPr txBox="1"/>
          </xdr:nvSpPr>
          <xdr:spPr>
            <a:xfrm>
              <a:off x="8001224" y="6888785"/>
              <a:ext cx="720000" cy="216000"/>
            </a:xfrm>
            <a:prstGeom prst="rect">
              <a:avLst/>
            </a:prstGeom>
            <a:grp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30A04A2C-4CB3-414F-9B83-6F25C573501D}" type="TxLink">
                <a:rPr lang="en-US" sz="1100" b="0" i="0" u="none" strike="noStrike">
                  <a:ln>
                    <a:noFill/>
                  </a:ln>
                  <a:solidFill>
                    <a:schemeClr val="bg1"/>
                  </a:solidFill>
                  <a:latin typeface="Avenir Next LT Pro"/>
                </a:rPr>
                <a:pPr algn="l"/>
                <a:t>Okidata Pacemark 4410N Wide Format Dot Matrix Printer</a:t>
              </a:fld>
              <a:endParaRPr lang="en-US" sz="1200" b="0" i="0" u="none" strike="noStrike">
                <a:ln>
                  <a:noFill/>
                </a:ln>
                <a:solidFill>
                  <a:schemeClr val="bg1"/>
                </a:solidFill>
                <a:latin typeface="Avenir Next LT Pro"/>
              </a:endParaRPr>
            </a:p>
          </xdr:txBody>
        </xdr:sp>
      </xdr:grpSp>
      <xdr:grpSp>
        <xdr:nvGrpSpPr>
          <xdr:cNvPr id="3077" name="Group 3076">
            <a:extLst>
              <a:ext uri="{FF2B5EF4-FFF2-40B4-BE49-F238E27FC236}">
                <a16:creationId xmlns:a16="http://schemas.microsoft.com/office/drawing/2014/main" id="{00000000-0008-0000-0200-0000050C0000}"/>
              </a:ext>
            </a:extLst>
          </xdr:cNvPr>
          <xdr:cNvGrpSpPr/>
        </xdr:nvGrpSpPr>
        <xdr:grpSpPr>
          <a:xfrm>
            <a:off x="13668046" y="6148810"/>
            <a:ext cx="756348" cy="978834"/>
            <a:chOff x="6981047" y="6240779"/>
            <a:chExt cx="757079" cy="864006"/>
          </a:xfrm>
          <a:grpFill/>
        </xdr:grpSpPr>
        <xdr:sp macro="" textlink="Pivot_tables!CN17">
          <xdr:nvSpPr>
            <xdr:cNvPr id="3078" name="TextBox 3077">
              <a:extLst>
                <a:ext uri="{FF2B5EF4-FFF2-40B4-BE49-F238E27FC236}">
                  <a16:creationId xmlns:a16="http://schemas.microsoft.com/office/drawing/2014/main" id="{00000000-0008-0000-0200-0000060C0000}"/>
                </a:ext>
              </a:extLst>
            </xdr:cNvPr>
            <xdr:cNvSpPr txBox="1"/>
          </xdr:nvSpPr>
          <xdr:spPr>
            <a:xfrm>
              <a:off x="6981047" y="6240779"/>
              <a:ext cx="757078" cy="216000"/>
            </a:xfrm>
            <a:prstGeom prst="rect">
              <a:avLst/>
            </a:prstGeom>
            <a:grp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0F66A69-CAB5-4E2C-972A-1DCD0567D12E}" type="TxLink">
                <a:rPr lang="en-US" sz="1200" b="0" i="0" u="none" strike="noStrike">
                  <a:ln>
                    <a:noFill/>
                  </a:ln>
                  <a:solidFill>
                    <a:srgbClr val="B1F5F1"/>
                  </a:solidFill>
                  <a:latin typeface="Avenir Next LT Pro"/>
                </a:rPr>
                <a:pPr algn="ctr"/>
                <a:t>Profit</a:t>
              </a:fld>
              <a:endParaRPr lang="en-US" sz="1600" b="0" i="0" u="none" strike="noStrike">
                <a:ln>
                  <a:noFill/>
                </a:ln>
                <a:solidFill>
                  <a:srgbClr val="B1F5F1"/>
                </a:solidFill>
                <a:latin typeface="Avenir Next LT Pro"/>
              </a:endParaRPr>
            </a:p>
          </xdr:txBody>
        </xdr:sp>
        <xdr:sp macro="" textlink="Pivot_tables!CN18">
          <xdr:nvSpPr>
            <xdr:cNvPr id="3079" name="TextBox 3078">
              <a:extLst>
                <a:ext uri="{FF2B5EF4-FFF2-40B4-BE49-F238E27FC236}">
                  <a16:creationId xmlns:a16="http://schemas.microsoft.com/office/drawing/2014/main" id="{00000000-0008-0000-0200-0000070C0000}"/>
                </a:ext>
              </a:extLst>
            </xdr:cNvPr>
            <xdr:cNvSpPr txBox="1"/>
          </xdr:nvSpPr>
          <xdr:spPr>
            <a:xfrm>
              <a:off x="6981047" y="6456783"/>
              <a:ext cx="757079" cy="216000"/>
            </a:xfrm>
            <a:prstGeom prst="rect">
              <a:avLst/>
            </a:prstGeom>
            <a:grp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10861CD3-4D3F-4DF7-AE10-BAF59EED3C92}" type="TxLink">
                <a:rPr lang="en-US" sz="1100" b="0" i="0" u="none" strike="noStrike">
                  <a:ln>
                    <a:noFill/>
                  </a:ln>
                  <a:solidFill>
                    <a:schemeClr val="bg1"/>
                  </a:solidFill>
                  <a:latin typeface="Avenir Next LT Pro"/>
                </a:rPr>
                <a:pPr algn="ctr"/>
                <a:t>-$27,621</a:t>
              </a:fld>
              <a:endParaRPr lang="en-US" sz="1200" b="0" i="0" u="none" strike="noStrike">
                <a:ln>
                  <a:noFill/>
                </a:ln>
                <a:solidFill>
                  <a:schemeClr val="bg1"/>
                </a:solidFill>
                <a:latin typeface="Avenir Next LT Pro"/>
              </a:endParaRPr>
            </a:p>
          </xdr:txBody>
        </xdr:sp>
        <xdr:sp macro="" textlink="Pivot_tables!CN19">
          <xdr:nvSpPr>
            <xdr:cNvPr id="3080" name="TextBox 3079">
              <a:extLst>
                <a:ext uri="{FF2B5EF4-FFF2-40B4-BE49-F238E27FC236}">
                  <a16:creationId xmlns:a16="http://schemas.microsoft.com/office/drawing/2014/main" id="{00000000-0008-0000-0200-0000080C0000}"/>
                </a:ext>
              </a:extLst>
            </xdr:cNvPr>
            <xdr:cNvSpPr txBox="1"/>
          </xdr:nvSpPr>
          <xdr:spPr>
            <a:xfrm>
              <a:off x="6981047" y="6672774"/>
              <a:ext cx="757079" cy="216000"/>
            </a:xfrm>
            <a:prstGeom prst="rect">
              <a:avLst/>
            </a:prstGeom>
            <a:grp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CC58C3EA-AE6B-4687-8E38-C8F24C23747F}" type="TxLink">
                <a:rPr lang="en-US" sz="1100" b="0" i="0" u="none" strike="noStrike">
                  <a:ln>
                    <a:noFill/>
                  </a:ln>
                  <a:solidFill>
                    <a:schemeClr val="bg1"/>
                  </a:solidFill>
                  <a:latin typeface="Avenir Next LT Pro"/>
                </a:rPr>
                <a:pPr algn="ctr"/>
                <a:t>-$12,549</a:t>
              </a:fld>
              <a:endParaRPr lang="en-US" sz="1200" b="0" i="0" u="none" strike="noStrike">
                <a:ln>
                  <a:noFill/>
                </a:ln>
                <a:solidFill>
                  <a:schemeClr val="bg1"/>
                </a:solidFill>
                <a:latin typeface="Avenir Next LT Pro"/>
              </a:endParaRPr>
            </a:p>
          </xdr:txBody>
        </xdr:sp>
        <xdr:sp macro="" textlink="Pivot_tables!CN20">
          <xdr:nvSpPr>
            <xdr:cNvPr id="3081" name="TextBox 3080">
              <a:extLst>
                <a:ext uri="{FF2B5EF4-FFF2-40B4-BE49-F238E27FC236}">
                  <a16:creationId xmlns:a16="http://schemas.microsoft.com/office/drawing/2014/main" id="{00000000-0008-0000-0200-0000090C0000}"/>
                </a:ext>
              </a:extLst>
            </xdr:cNvPr>
            <xdr:cNvSpPr txBox="1"/>
          </xdr:nvSpPr>
          <xdr:spPr>
            <a:xfrm>
              <a:off x="6981047" y="6888785"/>
              <a:ext cx="757079" cy="216000"/>
            </a:xfrm>
            <a:prstGeom prst="rect">
              <a:avLst/>
            </a:prstGeom>
            <a:grp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71320FA-8CDE-400A-A19C-1957F49DD7EB}" type="TxLink">
                <a:rPr lang="en-US" sz="1100" b="0" i="0" u="none" strike="noStrike">
                  <a:ln>
                    <a:noFill/>
                  </a:ln>
                  <a:solidFill>
                    <a:schemeClr val="bg1"/>
                  </a:solidFill>
                  <a:latin typeface="Avenir Next LT Pro"/>
                </a:rPr>
                <a:pPr algn="ctr"/>
                <a:t>-$11,000</a:t>
              </a:fld>
              <a:endParaRPr lang="en-US" sz="1200" b="0" i="0" u="none" strike="noStrike">
                <a:ln>
                  <a:noFill/>
                </a:ln>
                <a:solidFill>
                  <a:schemeClr val="bg1"/>
                </a:solidFill>
                <a:latin typeface="Avenir Next LT Pro"/>
              </a:endParaRPr>
            </a:p>
          </xdr:txBody>
        </xdr:sp>
      </xdr:grpSp>
    </xdr:grpSp>
    <xdr:clientData/>
  </xdr:twoCellAnchor>
  <xdr:twoCellAnchor>
    <xdr:from>
      <xdr:col>11</xdr:col>
      <xdr:colOff>190501</xdr:colOff>
      <xdr:row>42</xdr:row>
      <xdr:rowOff>28575</xdr:rowOff>
    </xdr:from>
    <xdr:to>
      <xdr:col>13</xdr:col>
      <xdr:colOff>519301</xdr:colOff>
      <xdr:row>43</xdr:row>
      <xdr:rowOff>118650</xdr:rowOff>
    </xdr:to>
    <xdr:sp macro="" textlink="">
      <xdr:nvSpPr>
        <xdr:cNvPr id="3089" name="TextBox 3088">
          <a:extLst>
            <a:ext uri="{FF2B5EF4-FFF2-40B4-BE49-F238E27FC236}">
              <a16:creationId xmlns:a16="http://schemas.microsoft.com/office/drawing/2014/main" id="{00000000-0008-0000-0200-0000110C0000}"/>
            </a:ext>
          </a:extLst>
        </xdr:cNvPr>
        <xdr:cNvSpPr txBox="1"/>
      </xdr:nvSpPr>
      <xdr:spPr>
        <a:xfrm>
          <a:off x="6896101" y="6972300"/>
          <a:ext cx="1548000" cy="252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0" i="0" u="none" strike="noStrike" cap="none" spc="0">
              <a:ln w="0"/>
              <a:solidFill>
                <a:srgbClr val="B1F5F1"/>
              </a:solidFill>
              <a:effectLst>
                <a:outerShdw blurRad="38100" dist="25400" dir="5400000" algn="ctr" rotWithShape="0">
                  <a:srgbClr val="6E747A">
                    <a:alpha val="43000"/>
                  </a:srgbClr>
                </a:outerShdw>
              </a:effectLst>
              <a:latin typeface="Avenir Next LT Pro"/>
            </a:rPr>
            <a:t>Products</a:t>
          </a:r>
        </a:p>
      </xdr:txBody>
    </xdr:sp>
    <xdr:clientData/>
  </xdr:twoCellAnchor>
  <xdr:twoCellAnchor>
    <xdr:from>
      <xdr:col>4</xdr:col>
      <xdr:colOff>257176</xdr:colOff>
      <xdr:row>43</xdr:row>
      <xdr:rowOff>152400</xdr:rowOff>
    </xdr:from>
    <xdr:to>
      <xdr:col>6</xdr:col>
      <xdr:colOff>585976</xdr:colOff>
      <xdr:row>45</xdr:row>
      <xdr:rowOff>80550</xdr:rowOff>
    </xdr:to>
    <xdr:sp macro="" textlink="">
      <xdr:nvSpPr>
        <xdr:cNvPr id="3090" name="TextBox 3089">
          <a:extLst>
            <a:ext uri="{FF2B5EF4-FFF2-40B4-BE49-F238E27FC236}">
              <a16:creationId xmlns:a16="http://schemas.microsoft.com/office/drawing/2014/main" id="{00000000-0008-0000-0200-0000120C0000}"/>
            </a:ext>
          </a:extLst>
        </xdr:cNvPr>
        <xdr:cNvSpPr txBox="1"/>
      </xdr:nvSpPr>
      <xdr:spPr>
        <a:xfrm>
          <a:off x="2695576" y="7258050"/>
          <a:ext cx="1548000" cy="252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0" i="0" u="none" strike="noStrike" cap="none" spc="0">
              <a:ln w="0"/>
              <a:solidFill>
                <a:srgbClr val="B1F5F1"/>
              </a:solidFill>
              <a:effectLst>
                <a:outerShdw blurRad="38100" dist="25400" dir="5400000" algn="ctr" rotWithShape="0">
                  <a:srgbClr val="6E747A">
                    <a:alpha val="43000"/>
                  </a:srgbClr>
                </a:outerShdw>
              </a:effectLst>
              <a:latin typeface="Avenir Next LT Pro"/>
            </a:rPr>
            <a:t>Products</a:t>
          </a:r>
        </a:p>
      </xdr:txBody>
    </xdr:sp>
    <xdr:clientData/>
  </xdr:twoCellAnchor>
  <xdr:twoCellAnchor>
    <xdr:from>
      <xdr:col>15</xdr:col>
      <xdr:colOff>514351</xdr:colOff>
      <xdr:row>42</xdr:row>
      <xdr:rowOff>28575</xdr:rowOff>
    </xdr:from>
    <xdr:to>
      <xdr:col>18</xdr:col>
      <xdr:colOff>233551</xdr:colOff>
      <xdr:row>43</xdr:row>
      <xdr:rowOff>118650</xdr:rowOff>
    </xdr:to>
    <xdr:sp macro="" textlink="">
      <xdr:nvSpPr>
        <xdr:cNvPr id="3091" name="TextBox 3090">
          <a:extLst>
            <a:ext uri="{FF2B5EF4-FFF2-40B4-BE49-F238E27FC236}">
              <a16:creationId xmlns:a16="http://schemas.microsoft.com/office/drawing/2014/main" id="{00000000-0008-0000-0200-0000130C0000}"/>
            </a:ext>
          </a:extLst>
        </xdr:cNvPr>
        <xdr:cNvSpPr txBox="1"/>
      </xdr:nvSpPr>
      <xdr:spPr>
        <a:xfrm>
          <a:off x="9658351" y="6972300"/>
          <a:ext cx="1548000" cy="252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0" i="0" u="none" strike="noStrike" cap="none" spc="0">
              <a:ln w="0"/>
              <a:solidFill>
                <a:srgbClr val="B1F5F1"/>
              </a:solidFill>
              <a:effectLst>
                <a:outerShdw blurRad="38100" dist="25400" dir="5400000" algn="ctr" rotWithShape="0">
                  <a:srgbClr val="6E747A">
                    <a:alpha val="43000"/>
                  </a:srgbClr>
                </a:outerShdw>
              </a:effectLst>
              <a:latin typeface="Avenir Next LT Pro"/>
            </a:rPr>
            <a:t>Cities</a:t>
          </a:r>
        </a:p>
      </xdr:txBody>
    </xdr:sp>
    <xdr:clientData/>
  </xdr:twoCellAnchor>
  <xdr:twoCellAnchor>
    <xdr:from>
      <xdr:col>22</xdr:col>
      <xdr:colOff>495301</xdr:colOff>
      <xdr:row>44</xdr:row>
      <xdr:rowOff>0</xdr:rowOff>
    </xdr:from>
    <xdr:to>
      <xdr:col>25</xdr:col>
      <xdr:colOff>214501</xdr:colOff>
      <xdr:row>45</xdr:row>
      <xdr:rowOff>90075</xdr:rowOff>
    </xdr:to>
    <xdr:sp macro="" textlink="">
      <xdr:nvSpPr>
        <xdr:cNvPr id="3092" name="TextBox 3091">
          <a:extLst>
            <a:ext uri="{FF2B5EF4-FFF2-40B4-BE49-F238E27FC236}">
              <a16:creationId xmlns:a16="http://schemas.microsoft.com/office/drawing/2014/main" id="{00000000-0008-0000-0200-0000140C0000}"/>
            </a:ext>
          </a:extLst>
        </xdr:cNvPr>
        <xdr:cNvSpPr txBox="1"/>
      </xdr:nvSpPr>
      <xdr:spPr>
        <a:xfrm>
          <a:off x="13906501" y="7267575"/>
          <a:ext cx="1548000" cy="252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0" i="0" u="none" strike="noStrike" cap="none" spc="0">
              <a:ln w="0"/>
              <a:solidFill>
                <a:srgbClr val="B1F5F1"/>
              </a:solidFill>
              <a:effectLst>
                <a:outerShdw blurRad="38100" dist="25400" dir="5400000" algn="ctr" rotWithShape="0">
                  <a:srgbClr val="6E747A">
                    <a:alpha val="43000"/>
                  </a:srgbClr>
                </a:outerShdw>
              </a:effectLst>
              <a:latin typeface="Avenir Next LT Pro"/>
            </a:rPr>
            <a:t>Cities</a:t>
          </a:r>
        </a:p>
      </xdr:txBody>
    </xdr:sp>
    <xdr:clientData/>
  </xdr:twoCellAnchor>
  <xdr:twoCellAnchor>
    <xdr:from>
      <xdr:col>5</xdr:col>
      <xdr:colOff>100275</xdr:colOff>
      <xdr:row>33</xdr:row>
      <xdr:rowOff>161924</xdr:rowOff>
    </xdr:from>
    <xdr:to>
      <xdr:col>7</xdr:col>
      <xdr:colOff>143476</xdr:colOff>
      <xdr:row>37</xdr:row>
      <xdr:rowOff>19050</xdr:rowOff>
    </xdr:to>
    <xdr:grpSp>
      <xdr:nvGrpSpPr>
        <xdr:cNvPr id="3137" name="Group 3136">
          <a:extLst>
            <a:ext uri="{FF2B5EF4-FFF2-40B4-BE49-F238E27FC236}">
              <a16:creationId xmlns:a16="http://schemas.microsoft.com/office/drawing/2014/main" id="{00000000-0008-0000-0200-0000410C0000}"/>
            </a:ext>
          </a:extLst>
        </xdr:cNvPr>
        <xdr:cNvGrpSpPr/>
      </xdr:nvGrpSpPr>
      <xdr:grpSpPr>
        <a:xfrm>
          <a:off x="3148275" y="5648324"/>
          <a:ext cx="1262401" cy="504826"/>
          <a:chOff x="3148275" y="5657849"/>
          <a:chExt cx="1262401" cy="504826"/>
        </a:xfrm>
      </xdr:grpSpPr>
      <xdr:sp macro="" textlink="">
        <xdr:nvSpPr>
          <xdr:cNvPr id="127" name="TextBox 126">
            <a:extLst>
              <a:ext uri="{FF2B5EF4-FFF2-40B4-BE49-F238E27FC236}">
                <a16:creationId xmlns:a16="http://schemas.microsoft.com/office/drawing/2014/main" id="{00000000-0008-0000-0200-00007F000000}"/>
              </a:ext>
            </a:extLst>
          </xdr:cNvPr>
          <xdr:cNvSpPr txBox="1"/>
        </xdr:nvSpPr>
        <xdr:spPr>
          <a:xfrm>
            <a:off x="3324226" y="5657849"/>
            <a:ext cx="1086450" cy="5048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US" sz="1200" b="0" i="0" u="none" strike="noStrike" cap="none" spc="0">
                <a:ln w="0"/>
                <a:solidFill>
                  <a:srgbClr val="B1F5F1"/>
                </a:solidFill>
                <a:effectLst>
                  <a:outerShdw blurRad="38100" dist="25400" dir="5400000" algn="ctr" rotWithShape="0">
                    <a:srgbClr val="6E747A">
                      <a:alpha val="43000"/>
                    </a:srgbClr>
                  </a:outerShdw>
                </a:effectLst>
                <a:latin typeface="Avenir Next LT Pro"/>
              </a:rPr>
              <a:t>Least Performers</a:t>
            </a:r>
          </a:p>
        </xdr:txBody>
      </xdr:sp>
      <xdr:pic>
        <xdr:nvPicPr>
          <xdr:cNvPr id="3136" name="Picture 3135" descr="Free: This Is Where You Start To See The Real Secrets - Transparent Performance  Icon - nohat.cc">
            <a:extLst>
              <a:ext uri="{FF2B5EF4-FFF2-40B4-BE49-F238E27FC236}">
                <a16:creationId xmlns:a16="http://schemas.microsoft.com/office/drawing/2014/main" id="{00000000-0008-0000-0200-0000400C0000}"/>
              </a:ext>
            </a:extLst>
          </xdr:cNvPr>
          <xdr:cNvPicPr>
            <a:picLocks noChangeAspect="1" noChangeArrowheads="1"/>
          </xdr:cNvPicPr>
        </xdr:nvPicPr>
        <xdr:blipFill rotWithShape="1">
          <a:blip xmlns:r="http://schemas.openxmlformats.org/officeDocument/2006/relationships" r:embed="rId12" cstate="print">
            <a:duotone>
              <a:prstClr val="black"/>
              <a:srgbClr val="CC00CC">
                <a:tint val="45000"/>
                <a:satMod val="400000"/>
              </a:srgbClr>
            </a:duotone>
            <a:extLst>
              <a:ext uri="{BEBA8EAE-BF5A-486C-A8C5-ECC9F3942E4B}">
                <a14:imgProps xmlns:a14="http://schemas.microsoft.com/office/drawing/2010/main">
                  <a14:imgLayer r:embed="rId13">
                    <a14:imgEffect>
                      <a14:backgroundRemoval t="10000" b="90000" l="10000" r="90000"/>
                    </a14:imgEffect>
                  </a14:imgLayer>
                </a14:imgProps>
              </a:ext>
              <a:ext uri="{28A0092B-C50C-407E-A947-70E740481C1C}">
                <a14:useLocalDpi xmlns:a14="http://schemas.microsoft.com/office/drawing/2010/main" val="0"/>
              </a:ext>
            </a:extLst>
          </a:blip>
          <a:srcRect l="21356" t="4679" r="17966" b="19883"/>
          <a:stretch/>
        </xdr:blipFill>
        <xdr:spPr bwMode="auto">
          <a:xfrm rot="10800000">
            <a:off x="3148275" y="5702709"/>
            <a:ext cx="576000" cy="415106"/>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twoCellAnchor>
    <xdr:from>
      <xdr:col>22</xdr:col>
      <xdr:colOff>276226</xdr:colOff>
      <xdr:row>33</xdr:row>
      <xdr:rowOff>161924</xdr:rowOff>
    </xdr:from>
    <xdr:to>
      <xdr:col>24</xdr:col>
      <xdr:colOff>320626</xdr:colOff>
      <xdr:row>37</xdr:row>
      <xdr:rowOff>19050</xdr:rowOff>
    </xdr:to>
    <xdr:grpSp>
      <xdr:nvGrpSpPr>
        <xdr:cNvPr id="3138" name="Group 3137">
          <a:extLst>
            <a:ext uri="{FF2B5EF4-FFF2-40B4-BE49-F238E27FC236}">
              <a16:creationId xmlns:a16="http://schemas.microsoft.com/office/drawing/2014/main" id="{00000000-0008-0000-0200-0000420C0000}"/>
            </a:ext>
          </a:extLst>
        </xdr:cNvPr>
        <xdr:cNvGrpSpPr/>
      </xdr:nvGrpSpPr>
      <xdr:grpSpPr>
        <a:xfrm flipH="1">
          <a:off x="13687426" y="5648324"/>
          <a:ext cx="1263600" cy="504826"/>
          <a:chOff x="3148275" y="5657849"/>
          <a:chExt cx="1262401" cy="504826"/>
        </a:xfrm>
      </xdr:grpSpPr>
      <xdr:sp macro="" textlink="">
        <xdr:nvSpPr>
          <xdr:cNvPr id="3139" name="TextBox 3138">
            <a:extLst>
              <a:ext uri="{FF2B5EF4-FFF2-40B4-BE49-F238E27FC236}">
                <a16:creationId xmlns:a16="http://schemas.microsoft.com/office/drawing/2014/main" id="{00000000-0008-0000-0200-0000430C0000}"/>
              </a:ext>
            </a:extLst>
          </xdr:cNvPr>
          <xdr:cNvSpPr txBox="1"/>
        </xdr:nvSpPr>
        <xdr:spPr>
          <a:xfrm>
            <a:off x="3324226" y="5657849"/>
            <a:ext cx="1086450" cy="5048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200" b="0" i="0" u="none" strike="noStrike" cap="none" spc="0">
                <a:ln w="0"/>
                <a:solidFill>
                  <a:srgbClr val="B1F5F1"/>
                </a:solidFill>
                <a:effectLst>
                  <a:outerShdw blurRad="38100" dist="25400" dir="5400000" algn="ctr" rotWithShape="0">
                    <a:srgbClr val="6E747A">
                      <a:alpha val="43000"/>
                    </a:srgbClr>
                  </a:outerShdw>
                </a:effectLst>
                <a:latin typeface="Avenir Next LT Pro"/>
              </a:rPr>
              <a:t>Least Performers</a:t>
            </a:r>
          </a:p>
        </xdr:txBody>
      </xdr:sp>
      <xdr:pic>
        <xdr:nvPicPr>
          <xdr:cNvPr id="3140" name="Picture 3139" descr="Free: This Is Where You Start To See The Real Secrets - Transparent Performance  Icon - nohat.cc">
            <a:extLst>
              <a:ext uri="{FF2B5EF4-FFF2-40B4-BE49-F238E27FC236}">
                <a16:creationId xmlns:a16="http://schemas.microsoft.com/office/drawing/2014/main" id="{00000000-0008-0000-0200-0000440C0000}"/>
              </a:ext>
            </a:extLst>
          </xdr:cNvPr>
          <xdr:cNvPicPr>
            <a:picLocks noChangeAspect="1" noChangeArrowheads="1"/>
          </xdr:cNvPicPr>
        </xdr:nvPicPr>
        <xdr:blipFill rotWithShape="1">
          <a:blip xmlns:r="http://schemas.openxmlformats.org/officeDocument/2006/relationships" r:embed="rId12" cstate="print">
            <a:duotone>
              <a:prstClr val="black"/>
              <a:srgbClr val="CC00CC">
                <a:tint val="45000"/>
                <a:satMod val="400000"/>
              </a:srgbClr>
            </a:duotone>
            <a:extLst>
              <a:ext uri="{BEBA8EAE-BF5A-486C-A8C5-ECC9F3942E4B}">
                <a14:imgProps xmlns:a14="http://schemas.microsoft.com/office/drawing/2010/main">
                  <a14:imgLayer r:embed="rId13">
                    <a14:imgEffect>
                      <a14:backgroundRemoval t="10000" b="90000" l="10000" r="90000"/>
                    </a14:imgEffect>
                  </a14:imgLayer>
                </a14:imgProps>
              </a:ext>
              <a:ext uri="{28A0092B-C50C-407E-A947-70E740481C1C}">
                <a14:useLocalDpi xmlns:a14="http://schemas.microsoft.com/office/drawing/2010/main" val="0"/>
              </a:ext>
            </a:extLst>
          </a:blip>
          <a:srcRect l="21356" t="4679" r="17966" b="19883"/>
          <a:stretch/>
        </xdr:blipFill>
        <xdr:spPr bwMode="auto">
          <a:xfrm rot="10800000">
            <a:off x="3148275" y="5702709"/>
            <a:ext cx="576000" cy="415106"/>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twoCellAnchor>
    <xdr:from>
      <xdr:col>12</xdr:col>
      <xdr:colOff>201999</xdr:colOff>
      <xdr:row>32</xdr:row>
      <xdr:rowOff>28574</xdr:rowOff>
    </xdr:from>
    <xdr:to>
      <xdr:col>14</xdr:col>
      <xdr:colOff>82499</xdr:colOff>
      <xdr:row>35</xdr:row>
      <xdr:rowOff>47625</xdr:rowOff>
    </xdr:to>
    <xdr:sp macro="" textlink="">
      <xdr:nvSpPr>
        <xdr:cNvPr id="3142" name="TextBox 3141">
          <a:extLst>
            <a:ext uri="{FF2B5EF4-FFF2-40B4-BE49-F238E27FC236}">
              <a16:creationId xmlns:a16="http://schemas.microsoft.com/office/drawing/2014/main" id="{00000000-0008-0000-0200-0000460C0000}"/>
            </a:ext>
          </a:extLst>
        </xdr:cNvPr>
        <xdr:cNvSpPr txBox="1"/>
      </xdr:nvSpPr>
      <xdr:spPr>
        <a:xfrm>
          <a:off x="7517199" y="5353049"/>
          <a:ext cx="1099700" cy="5048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US" sz="1200" b="0" i="0" u="none" strike="noStrike" cap="none" spc="0">
              <a:ln w="0"/>
              <a:solidFill>
                <a:srgbClr val="B1F5F1"/>
              </a:solidFill>
              <a:effectLst>
                <a:outerShdw blurRad="38100" dist="25400" dir="5400000" algn="ctr" rotWithShape="0">
                  <a:srgbClr val="6E747A">
                    <a:alpha val="43000"/>
                  </a:srgbClr>
                </a:outerShdw>
              </a:effectLst>
              <a:latin typeface="Avenir Next LT Pro"/>
            </a:rPr>
            <a:t>Top Performers</a:t>
          </a:r>
        </a:p>
      </xdr:txBody>
    </xdr:sp>
    <xdr:clientData/>
  </xdr:twoCellAnchor>
  <xdr:twoCellAnchor>
    <xdr:from>
      <xdr:col>15</xdr:col>
      <xdr:colOff>339676</xdr:colOff>
      <xdr:row>32</xdr:row>
      <xdr:rowOff>28574</xdr:rowOff>
    </xdr:from>
    <xdr:to>
      <xdr:col>17</xdr:col>
      <xdr:colOff>220176</xdr:colOff>
      <xdr:row>35</xdr:row>
      <xdr:rowOff>47625</xdr:rowOff>
    </xdr:to>
    <xdr:sp macro="" textlink="">
      <xdr:nvSpPr>
        <xdr:cNvPr id="3150" name="TextBox 3149">
          <a:extLst>
            <a:ext uri="{FF2B5EF4-FFF2-40B4-BE49-F238E27FC236}">
              <a16:creationId xmlns:a16="http://schemas.microsoft.com/office/drawing/2014/main" id="{00000000-0008-0000-0200-00004E0C0000}"/>
            </a:ext>
          </a:extLst>
        </xdr:cNvPr>
        <xdr:cNvSpPr txBox="1"/>
      </xdr:nvSpPr>
      <xdr:spPr>
        <a:xfrm flipH="1">
          <a:off x="9483676" y="5353049"/>
          <a:ext cx="1099700" cy="5048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200" b="0" i="0" u="none" strike="noStrike" cap="none" spc="0">
              <a:ln w="0"/>
              <a:solidFill>
                <a:srgbClr val="B1F5F1"/>
              </a:solidFill>
              <a:effectLst>
                <a:outerShdw blurRad="38100" dist="25400" dir="5400000" algn="ctr" rotWithShape="0">
                  <a:srgbClr val="6E747A">
                    <a:alpha val="43000"/>
                  </a:srgbClr>
                </a:outerShdw>
              </a:effectLst>
              <a:latin typeface="Avenir Next LT Pro"/>
            </a:rPr>
            <a:t>Top Performers</a:t>
          </a:r>
        </a:p>
      </xdr:txBody>
    </xdr:sp>
    <xdr:clientData/>
  </xdr:twoCellAnchor>
  <xdr:twoCellAnchor editAs="oneCell">
    <xdr:from>
      <xdr:col>12</xdr:col>
      <xdr:colOff>43481</xdr:colOff>
      <xdr:row>32</xdr:row>
      <xdr:rowOff>52389</xdr:rowOff>
    </xdr:from>
    <xdr:to>
      <xdr:col>12</xdr:col>
      <xdr:colOff>475481</xdr:colOff>
      <xdr:row>34</xdr:row>
      <xdr:rowOff>143980</xdr:rowOff>
    </xdr:to>
    <xdr:pic>
      <xdr:nvPicPr>
        <xdr:cNvPr id="3151" name="Picture 3150" descr="Purple, Barn Star. Jigsaw Puzzle by Tom Hill - Fine Art America">
          <a:extLst>
            <a:ext uri="{FF2B5EF4-FFF2-40B4-BE49-F238E27FC236}">
              <a16:creationId xmlns:a16="http://schemas.microsoft.com/office/drawing/2014/main" id="{00000000-0008-0000-0200-00004F0C0000}"/>
            </a:ext>
          </a:extLst>
        </xdr:cNvPr>
        <xdr:cNvPicPr>
          <a:picLocks noChangeAspect="1" noChangeArrowheads="1"/>
        </xdr:cNvPicPr>
      </xdr:nvPicPr>
      <xdr:blipFill>
        <a:blip xmlns:r="http://schemas.openxmlformats.org/officeDocument/2006/relationships" r:embed="rId14" cstate="print">
          <a:duotone>
            <a:prstClr val="black"/>
            <a:srgbClr val="CC00CC">
              <a:tint val="45000"/>
              <a:satMod val="400000"/>
            </a:srgbClr>
          </a:duotone>
          <a:extLst>
            <a:ext uri="{28A0092B-C50C-407E-A947-70E740481C1C}">
              <a14:useLocalDpi xmlns:a14="http://schemas.microsoft.com/office/drawing/2010/main" val="0"/>
            </a:ext>
          </a:extLst>
        </a:blip>
        <a:srcRect/>
        <a:stretch>
          <a:fillRect/>
        </a:stretch>
      </xdr:blipFill>
      <xdr:spPr bwMode="auto">
        <a:xfrm>
          <a:off x="7358681" y="5376864"/>
          <a:ext cx="432000" cy="415441"/>
        </a:xfrm>
        <a:prstGeom prst="rect">
          <a:avLst/>
        </a:prstGeom>
        <a:noFill/>
        <a:ln w="3175">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16</xdr:col>
      <xdr:colOff>557831</xdr:colOff>
      <xdr:row>32</xdr:row>
      <xdr:rowOff>52389</xdr:rowOff>
    </xdr:from>
    <xdr:to>
      <xdr:col>17</xdr:col>
      <xdr:colOff>380231</xdr:colOff>
      <xdr:row>34</xdr:row>
      <xdr:rowOff>143980</xdr:rowOff>
    </xdr:to>
    <xdr:pic>
      <xdr:nvPicPr>
        <xdr:cNvPr id="3153" name="Picture 3152" descr="Purple, Barn Star. Jigsaw Puzzle by Tom Hill - Fine Art America">
          <a:extLst>
            <a:ext uri="{FF2B5EF4-FFF2-40B4-BE49-F238E27FC236}">
              <a16:creationId xmlns:a16="http://schemas.microsoft.com/office/drawing/2014/main" id="{00000000-0008-0000-0200-0000510C0000}"/>
            </a:ext>
          </a:extLst>
        </xdr:cNvPr>
        <xdr:cNvPicPr>
          <a:picLocks noChangeAspect="1" noChangeArrowheads="1"/>
        </xdr:cNvPicPr>
      </xdr:nvPicPr>
      <xdr:blipFill>
        <a:blip xmlns:r="http://schemas.openxmlformats.org/officeDocument/2006/relationships" r:embed="rId14" cstate="print">
          <a:duotone>
            <a:prstClr val="black"/>
            <a:srgbClr val="CC00CC">
              <a:tint val="45000"/>
              <a:satMod val="400000"/>
            </a:srgbClr>
          </a:duotone>
          <a:extLst>
            <a:ext uri="{28A0092B-C50C-407E-A947-70E740481C1C}">
              <a14:useLocalDpi xmlns:a14="http://schemas.microsoft.com/office/drawing/2010/main" val="0"/>
            </a:ext>
          </a:extLst>
        </a:blip>
        <a:srcRect/>
        <a:stretch>
          <a:fillRect/>
        </a:stretch>
      </xdr:blipFill>
      <xdr:spPr bwMode="auto">
        <a:xfrm>
          <a:off x="10311431" y="5376864"/>
          <a:ext cx="432000" cy="415441"/>
        </a:xfrm>
        <a:prstGeom prst="rect">
          <a:avLst/>
        </a:prstGeom>
        <a:noFill/>
        <a:ln w="3175">
          <a:noFill/>
        </a:ln>
        <a:extLst>
          <a:ext uri="{909E8E84-426E-40DD-AFC4-6F175D3DCCD1}">
            <a14:hiddenFill xmlns:a14="http://schemas.microsoft.com/office/drawing/2010/main">
              <a:solidFill>
                <a:srgbClr val="FFFFFF"/>
              </a:solidFill>
            </a14:hiddenFill>
          </a:ext>
        </a:extLst>
      </xdr:spPr>
    </xdr:pic>
    <xdr:clientData/>
  </xdr:twoCellAnchor>
  <xdr:twoCellAnchor>
    <xdr:from>
      <xdr:col>8</xdr:col>
      <xdr:colOff>600075</xdr:colOff>
      <xdr:row>33</xdr:row>
      <xdr:rowOff>133350</xdr:rowOff>
    </xdr:from>
    <xdr:to>
      <xdr:col>12</xdr:col>
      <xdr:colOff>454903</xdr:colOff>
      <xdr:row>35</xdr:row>
      <xdr:rowOff>61500</xdr:rowOff>
    </xdr:to>
    <xdr:grpSp>
      <xdr:nvGrpSpPr>
        <xdr:cNvPr id="3160" name="Group 3159">
          <a:extLst>
            <a:ext uri="{FF2B5EF4-FFF2-40B4-BE49-F238E27FC236}">
              <a16:creationId xmlns:a16="http://schemas.microsoft.com/office/drawing/2014/main" id="{00000000-0008-0000-0200-0000580C0000}"/>
            </a:ext>
          </a:extLst>
        </xdr:cNvPr>
        <xdr:cNvGrpSpPr/>
      </xdr:nvGrpSpPr>
      <xdr:grpSpPr>
        <a:xfrm>
          <a:off x="5476875" y="5619750"/>
          <a:ext cx="2293228" cy="252000"/>
          <a:chOff x="8001000" y="800100"/>
          <a:chExt cx="2293228" cy="252000"/>
        </a:xfrm>
      </xdr:grpSpPr>
      <xdr:grpSp>
        <xdr:nvGrpSpPr>
          <xdr:cNvPr id="59" name="Group 58">
            <a:extLst>
              <a:ext uri="{FF2B5EF4-FFF2-40B4-BE49-F238E27FC236}">
                <a16:creationId xmlns:a16="http://schemas.microsoft.com/office/drawing/2014/main" id="{00000000-0008-0000-0200-00003B000000}"/>
              </a:ext>
            </a:extLst>
          </xdr:cNvPr>
          <xdr:cNvGrpSpPr/>
        </xdr:nvGrpSpPr>
        <xdr:grpSpPr>
          <a:xfrm>
            <a:off x="8210549" y="828673"/>
            <a:ext cx="2083679" cy="180000"/>
            <a:chOff x="5257799" y="4924423"/>
            <a:chExt cx="2083679" cy="180000"/>
          </a:xfrm>
        </xdr:grpSpPr>
        <xdr:sp macro="" textlink="">
          <xdr:nvSpPr>
            <xdr:cNvPr id="3107" name="TextBox 3106">
              <a:extLst>
                <a:ext uri="{FF2B5EF4-FFF2-40B4-BE49-F238E27FC236}">
                  <a16:creationId xmlns:a16="http://schemas.microsoft.com/office/drawing/2014/main" id="{00000000-0008-0000-0200-0000230C0000}"/>
                </a:ext>
              </a:extLst>
            </xdr:cNvPr>
            <xdr:cNvSpPr txBox="1"/>
          </xdr:nvSpPr>
          <xdr:spPr>
            <a:xfrm flipH="1">
              <a:off x="6189478" y="4924423"/>
              <a:ext cx="1152000"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000" b="0" i="0" u="none" strike="noStrike" cap="none" spc="0">
                  <a:ln w="0"/>
                  <a:solidFill>
                    <a:srgbClr val="B1F5F1"/>
                  </a:solidFill>
                  <a:effectLst>
                    <a:outerShdw blurRad="38100" dist="25400" dir="5400000" algn="ctr" rotWithShape="0">
                      <a:srgbClr val="6E747A">
                        <a:alpha val="43000"/>
                      </a:srgbClr>
                    </a:outerShdw>
                  </a:effectLst>
                  <a:latin typeface="Avenir Next LT Pro"/>
                </a:rPr>
                <a:t>By Profit</a:t>
              </a:r>
            </a:p>
          </xdr:txBody>
        </xdr:sp>
        <xdr:sp macro="" textlink="">
          <xdr:nvSpPr>
            <xdr:cNvPr id="3110" name="TextBox 3109">
              <a:extLst>
                <a:ext uri="{FF2B5EF4-FFF2-40B4-BE49-F238E27FC236}">
                  <a16:creationId xmlns:a16="http://schemas.microsoft.com/office/drawing/2014/main" id="{00000000-0008-0000-0200-0000260C0000}"/>
                </a:ext>
              </a:extLst>
            </xdr:cNvPr>
            <xdr:cNvSpPr txBox="1"/>
          </xdr:nvSpPr>
          <xdr:spPr>
            <a:xfrm flipH="1">
              <a:off x="5257799" y="4924423"/>
              <a:ext cx="720000"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000" b="0" i="0" u="none" strike="noStrike" cap="none" spc="0">
                  <a:ln w="0"/>
                  <a:solidFill>
                    <a:srgbClr val="B1F5F1"/>
                  </a:solidFill>
                  <a:effectLst>
                    <a:outerShdw blurRad="38100" dist="25400" dir="5400000" algn="ctr" rotWithShape="0">
                      <a:srgbClr val="6E747A">
                        <a:alpha val="43000"/>
                      </a:srgbClr>
                    </a:outerShdw>
                  </a:effectLst>
                  <a:latin typeface="Avenir Next LT Pro"/>
                </a:rPr>
                <a:t>By</a:t>
              </a:r>
              <a:r>
                <a:rPr lang="en-US" sz="1000" b="0" i="0" u="none" strike="noStrike" cap="none" spc="0" baseline="0">
                  <a:ln w="0"/>
                  <a:solidFill>
                    <a:srgbClr val="B1F5F1"/>
                  </a:solidFill>
                  <a:effectLst>
                    <a:outerShdw blurRad="38100" dist="25400" dir="5400000" algn="ctr" rotWithShape="0">
                      <a:srgbClr val="6E747A">
                        <a:alpha val="43000"/>
                      </a:srgbClr>
                    </a:outerShdw>
                  </a:effectLst>
                  <a:latin typeface="Avenir Next LT Pro"/>
                </a:rPr>
                <a:t> Sale</a:t>
              </a:r>
              <a:endParaRPr lang="en-US" sz="1000" b="0" i="0" u="none" strike="noStrike" cap="none" spc="0">
                <a:ln w="0"/>
                <a:solidFill>
                  <a:srgbClr val="B1F5F1"/>
                </a:solidFill>
                <a:effectLst>
                  <a:outerShdw blurRad="38100" dist="25400" dir="5400000" algn="ctr" rotWithShape="0">
                    <a:srgbClr val="6E747A">
                      <a:alpha val="43000"/>
                    </a:srgbClr>
                  </a:outerShdw>
                </a:effectLst>
                <a:latin typeface="Avenir Next LT Pro"/>
              </a:endParaRPr>
            </a:p>
          </xdr:txBody>
        </xdr:sp>
      </xdr:grpSp>
      <mc:AlternateContent xmlns:mc="http://schemas.openxmlformats.org/markup-compatibility/2006">
        <mc:Choice xmlns:a14="http://schemas.microsoft.com/office/drawing/2010/main" Requires="a14">
          <xdr:grpSp>
            <xdr:nvGrpSpPr>
              <xdr:cNvPr id="3159" name="Group 3158">
                <a:extLst>
                  <a:ext uri="{FF2B5EF4-FFF2-40B4-BE49-F238E27FC236}">
                    <a16:creationId xmlns:a16="http://schemas.microsoft.com/office/drawing/2014/main" id="{00000000-0008-0000-0200-0000570C0000}"/>
                  </a:ext>
                </a:extLst>
              </xdr:cNvPr>
              <xdr:cNvGrpSpPr/>
            </xdr:nvGrpSpPr>
            <xdr:grpSpPr>
              <a:xfrm>
                <a:off x="8001000" y="800100"/>
                <a:ext cx="1944000" cy="252000"/>
                <a:chOff x="8029575" y="790575"/>
                <a:chExt cx="1944000" cy="252000"/>
              </a:xfrm>
            </xdr:grpSpPr>
            <xdr:sp macro="" textlink="">
              <xdr:nvSpPr>
                <xdr:cNvPr id="44" name="Group Box 19" hidden="1">
                  <a:extLst>
                    <a:ext uri="{63B3BB69-23CF-44E3-9099-C40C66FF867C}">
                      <a14:compatExt spid="_x0000_s3091"/>
                    </a:ext>
                    <a:ext uri="{FF2B5EF4-FFF2-40B4-BE49-F238E27FC236}">
                      <a16:creationId xmlns:a16="http://schemas.microsoft.com/office/drawing/2014/main" id="{00000000-0008-0000-0200-00002C000000}"/>
                    </a:ext>
                  </a:extLst>
                </xdr:cNvPr>
                <xdr:cNvSpPr/>
              </xdr:nvSpPr>
              <xdr:spPr bwMode="auto">
                <a:xfrm>
                  <a:off x="8029575" y="790575"/>
                  <a:ext cx="1944000" cy="252000"/>
                </a:xfrm>
                <a:prstGeom prst="rect">
                  <a:avLst/>
                </a:prstGeom>
                <a:noFill/>
                <a:ln w="9525">
                  <a:miter lim="800000"/>
                  <a:headEnd/>
                  <a:tailEnd/>
                </a:ln>
                <a:extLst>
                  <a:ext uri="{909E8E84-426E-40DD-AFC4-6F175D3DCCD1}">
                    <a14:hiddenFill>
                      <a:noFill/>
                    </a14:hiddenFill>
                  </a:ext>
                </a:extLst>
              </xdr:spPr>
            </xdr:sp>
            <xdr:sp macro="" textlink="">
              <xdr:nvSpPr>
                <xdr:cNvPr id="63" name="Option Button 20" hidden="1">
                  <a:extLst>
                    <a:ext uri="{63B3BB69-23CF-44E3-9099-C40C66FF867C}">
                      <a14:compatExt spid="_x0000_s3092"/>
                    </a:ext>
                    <a:ext uri="{FF2B5EF4-FFF2-40B4-BE49-F238E27FC236}">
                      <a16:creationId xmlns:a16="http://schemas.microsoft.com/office/drawing/2014/main" id="{00000000-0008-0000-0200-00003F000000}"/>
                    </a:ext>
                  </a:extLst>
                </xdr:cNvPr>
                <xdr:cNvSpPr/>
              </xdr:nvSpPr>
              <xdr:spPr bwMode="auto">
                <a:xfrm>
                  <a:off x="8105774" y="823912"/>
                  <a:ext cx="900000" cy="1800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3093" name="Option Button 21" hidden="1">
                  <a:extLst>
                    <a:ext uri="{63B3BB69-23CF-44E3-9099-C40C66FF867C}">
                      <a14:compatExt spid="_x0000_s3093"/>
                    </a:ext>
                    <a:ext uri="{FF2B5EF4-FFF2-40B4-BE49-F238E27FC236}">
                      <a16:creationId xmlns:a16="http://schemas.microsoft.com/office/drawing/2014/main" id="{00000000-0008-0000-0200-0000150C0000}"/>
                    </a:ext>
                  </a:extLst>
                </xdr:cNvPr>
                <xdr:cNvSpPr/>
              </xdr:nvSpPr>
              <xdr:spPr bwMode="auto">
                <a:xfrm>
                  <a:off x="9029700" y="823425"/>
                  <a:ext cx="895350" cy="1809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mc:Choice>
        <mc:Fallback/>
      </mc:AlternateContent>
    </xdr:grpSp>
    <xdr:clientData/>
  </xdr:twoCellAnchor>
  <xdr:twoCellAnchor>
    <xdr:from>
      <xdr:col>24</xdr:col>
      <xdr:colOff>352425</xdr:colOff>
      <xdr:row>35</xdr:row>
      <xdr:rowOff>95250</xdr:rowOff>
    </xdr:from>
    <xdr:to>
      <xdr:col>28</xdr:col>
      <xdr:colOff>207253</xdr:colOff>
      <xdr:row>37</xdr:row>
      <xdr:rowOff>23400</xdr:rowOff>
    </xdr:to>
    <xdr:grpSp>
      <xdr:nvGrpSpPr>
        <xdr:cNvPr id="3146" name="Group 3145">
          <a:extLst>
            <a:ext uri="{FF2B5EF4-FFF2-40B4-BE49-F238E27FC236}">
              <a16:creationId xmlns:a16="http://schemas.microsoft.com/office/drawing/2014/main" id="{00000000-0008-0000-0200-00004A0C0000}"/>
            </a:ext>
          </a:extLst>
        </xdr:cNvPr>
        <xdr:cNvGrpSpPr/>
      </xdr:nvGrpSpPr>
      <xdr:grpSpPr>
        <a:xfrm>
          <a:off x="14982825" y="5905500"/>
          <a:ext cx="2293228" cy="252000"/>
          <a:chOff x="8001000" y="800100"/>
          <a:chExt cx="2293228" cy="252000"/>
        </a:xfrm>
      </xdr:grpSpPr>
      <xdr:grpSp>
        <xdr:nvGrpSpPr>
          <xdr:cNvPr id="3147" name="Group 3146">
            <a:extLst>
              <a:ext uri="{FF2B5EF4-FFF2-40B4-BE49-F238E27FC236}">
                <a16:creationId xmlns:a16="http://schemas.microsoft.com/office/drawing/2014/main" id="{00000000-0008-0000-0200-00004B0C0000}"/>
              </a:ext>
            </a:extLst>
          </xdr:cNvPr>
          <xdr:cNvGrpSpPr/>
        </xdr:nvGrpSpPr>
        <xdr:grpSpPr>
          <a:xfrm>
            <a:off x="8210549" y="828673"/>
            <a:ext cx="2083679" cy="180000"/>
            <a:chOff x="5257799" y="4924423"/>
            <a:chExt cx="2083679" cy="180000"/>
          </a:xfrm>
        </xdr:grpSpPr>
        <xdr:sp macro="" textlink="">
          <xdr:nvSpPr>
            <xdr:cNvPr id="3149" name="TextBox 3148">
              <a:extLst>
                <a:ext uri="{FF2B5EF4-FFF2-40B4-BE49-F238E27FC236}">
                  <a16:creationId xmlns:a16="http://schemas.microsoft.com/office/drawing/2014/main" id="{00000000-0008-0000-0200-00004D0C0000}"/>
                </a:ext>
              </a:extLst>
            </xdr:cNvPr>
            <xdr:cNvSpPr txBox="1"/>
          </xdr:nvSpPr>
          <xdr:spPr>
            <a:xfrm flipH="1">
              <a:off x="6189478" y="4924423"/>
              <a:ext cx="1152000"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000" b="0" i="0" u="none" strike="noStrike" cap="none" spc="0">
                  <a:ln w="0"/>
                  <a:solidFill>
                    <a:srgbClr val="B1F5F1"/>
                  </a:solidFill>
                  <a:effectLst>
                    <a:outerShdw blurRad="38100" dist="25400" dir="5400000" algn="ctr" rotWithShape="0">
                      <a:srgbClr val="6E747A">
                        <a:alpha val="43000"/>
                      </a:srgbClr>
                    </a:outerShdw>
                  </a:effectLst>
                  <a:latin typeface="Avenir Next LT Pro"/>
                </a:rPr>
                <a:t>By Profit</a:t>
              </a:r>
            </a:p>
          </xdr:txBody>
        </xdr:sp>
        <xdr:sp macro="" textlink="">
          <xdr:nvSpPr>
            <xdr:cNvPr id="3152" name="TextBox 3151">
              <a:extLst>
                <a:ext uri="{FF2B5EF4-FFF2-40B4-BE49-F238E27FC236}">
                  <a16:creationId xmlns:a16="http://schemas.microsoft.com/office/drawing/2014/main" id="{00000000-0008-0000-0200-0000500C0000}"/>
                </a:ext>
              </a:extLst>
            </xdr:cNvPr>
            <xdr:cNvSpPr txBox="1"/>
          </xdr:nvSpPr>
          <xdr:spPr>
            <a:xfrm flipH="1">
              <a:off x="5257799" y="4924423"/>
              <a:ext cx="720000"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000" b="0" i="0" u="none" strike="noStrike" cap="none" spc="0">
                  <a:ln w="0"/>
                  <a:solidFill>
                    <a:srgbClr val="B1F5F1"/>
                  </a:solidFill>
                  <a:effectLst>
                    <a:outerShdw blurRad="38100" dist="25400" dir="5400000" algn="ctr" rotWithShape="0">
                      <a:srgbClr val="6E747A">
                        <a:alpha val="43000"/>
                      </a:srgbClr>
                    </a:outerShdw>
                  </a:effectLst>
                  <a:latin typeface="Avenir Next LT Pro"/>
                </a:rPr>
                <a:t>By</a:t>
              </a:r>
              <a:r>
                <a:rPr lang="en-US" sz="1000" b="0" i="0" u="none" strike="noStrike" cap="none" spc="0" baseline="0">
                  <a:ln w="0"/>
                  <a:solidFill>
                    <a:srgbClr val="B1F5F1"/>
                  </a:solidFill>
                  <a:effectLst>
                    <a:outerShdw blurRad="38100" dist="25400" dir="5400000" algn="ctr" rotWithShape="0">
                      <a:srgbClr val="6E747A">
                        <a:alpha val="43000"/>
                      </a:srgbClr>
                    </a:outerShdw>
                  </a:effectLst>
                  <a:latin typeface="Avenir Next LT Pro"/>
                </a:rPr>
                <a:t> Sale</a:t>
              </a:r>
              <a:endParaRPr lang="en-US" sz="1000" b="0" i="0" u="none" strike="noStrike" cap="none" spc="0">
                <a:ln w="0"/>
                <a:solidFill>
                  <a:srgbClr val="B1F5F1"/>
                </a:solidFill>
                <a:effectLst>
                  <a:outerShdw blurRad="38100" dist="25400" dir="5400000" algn="ctr" rotWithShape="0">
                    <a:srgbClr val="6E747A">
                      <a:alpha val="43000"/>
                    </a:srgbClr>
                  </a:outerShdw>
                </a:effectLst>
                <a:latin typeface="Avenir Next LT Pro"/>
              </a:endParaRPr>
            </a:p>
          </xdr:txBody>
        </xdr:sp>
      </xdr:grpSp>
      <mc:AlternateContent xmlns:mc="http://schemas.openxmlformats.org/markup-compatibility/2006">
        <mc:Choice xmlns:a14="http://schemas.microsoft.com/office/drawing/2010/main" Requires="a14">
          <xdr:grpSp>
            <xdr:nvGrpSpPr>
              <xdr:cNvPr id="3148" name="Group 3147">
                <a:extLst>
                  <a:ext uri="{FF2B5EF4-FFF2-40B4-BE49-F238E27FC236}">
                    <a16:creationId xmlns:a16="http://schemas.microsoft.com/office/drawing/2014/main" id="{00000000-0008-0000-0200-00004C0C0000}"/>
                  </a:ext>
                </a:extLst>
              </xdr:cNvPr>
              <xdr:cNvGrpSpPr/>
            </xdr:nvGrpSpPr>
            <xdr:grpSpPr>
              <a:xfrm>
                <a:off x="8001000" y="800100"/>
                <a:ext cx="1944000" cy="252000"/>
                <a:chOff x="8029575" y="790575"/>
                <a:chExt cx="1944000" cy="252000"/>
              </a:xfrm>
            </xdr:grpSpPr>
            <xdr:sp macro="" textlink="">
              <xdr:nvSpPr>
                <xdr:cNvPr id="3094" name="Group Box 22" hidden="1">
                  <a:extLst>
                    <a:ext uri="{63B3BB69-23CF-44E3-9099-C40C66FF867C}">
                      <a14:compatExt spid="_x0000_s3094"/>
                    </a:ext>
                    <a:ext uri="{FF2B5EF4-FFF2-40B4-BE49-F238E27FC236}">
                      <a16:creationId xmlns:a16="http://schemas.microsoft.com/office/drawing/2014/main" id="{00000000-0008-0000-0200-0000160C0000}"/>
                    </a:ext>
                  </a:extLst>
                </xdr:cNvPr>
                <xdr:cNvSpPr/>
              </xdr:nvSpPr>
              <xdr:spPr bwMode="auto">
                <a:xfrm>
                  <a:off x="8029575" y="790575"/>
                  <a:ext cx="1944000" cy="252000"/>
                </a:xfrm>
                <a:prstGeom prst="rect">
                  <a:avLst/>
                </a:prstGeom>
                <a:noFill/>
                <a:ln w="9525">
                  <a:miter lim="800000"/>
                  <a:headEnd/>
                  <a:tailEnd/>
                </a:ln>
                <a:extLst>
                  <a:ext uri="{909E8E84-426E-40DD-AFC4-6F175D3DCCD1}">
                    <a14:hiddenFill>
                      <a:noFill/>
                    </a14:hiddenFill>
                  </a:ext>
                </a:extLst>
              </xdr:spPr>
            </xdr:sp>
            <xdr:sp macro="" textlink="">
              <xdr:nvSpPr>
                <xdr:cNvPr id="3095" name="Option Button 23" hidden="1">
                  <a:extLst>
                    <a:ext uri="{63B3BB69-23CF-44E3-9099-C40C66FF867C}">
                      <a14:compatExt spid="_x0000_s3095"/>
                    </a:ext>
                    <a:ext uri="{FF2B5EF4-FFF2-40B4-BE49-F238E27FC236}">
                      <a16:creationId xmlns:a16="http://schemas.microsoft.com/office/drawing/2014/main" id="{00000000-0008-0000-0200-0000170C0000}"/>
                    </a:ext>
                  </a:extLst>
                </xdr:cNvPr>
                <xdr:cNvSpPr/>
              </xdr:nvSpPr>
              <xdr:spPr bwMode="auto">
                <a:xfrm>
                  <a:off x="8105774" y="823912"/>
                  <a:ext cx="900000" cy="1800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3096" name="Option Button 24" hidden="1">
                  <a:extLst>
                    <a:ext uri="{63B3BB69-23CF-44E3-9099-C40C66FF867C}">
                      <a14:compatExt spid="_x0000_s3096"/>
                    </a:ext>
                    <a:ext uri="{FF2B5EF4-FFF2-40B4-BE49-F238E27FC236}">
                      <a16:creationId xmlns:a16="http://schemas.microsoft.com/office/drawing/2014/main" id="{00000000-0008-0000-0200-0000180C0000}"/>
                    </a:ext>
                  </a:extLst>
                </xdr:cNvPr>
                <xdr:cNvSpPr/>
              </xdr:nvSpPr>
              <xdr:spPr bwMode="auto">
                <a:xfrm>
                  <a:off x="9029700" y="823425"/>
                  <a:ext cx="895350" cy="1809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mc:Choice>
        <mc:Fallback/>
      </mc:AlternateContent>
    </xdr:grpSp>
    <xdr:clientData/>
  </xdr:twoCellAnchor>
  <xdr:twoCellAnchor>
    <xdr:from>
      <xdr:col>2</xdr:col>
      <xdr:colOff>47625</xdr:colOff>
      <xdr:row>35</xdr:row>
      <xdr:rowOff>95250</xdr:rowOff>
    </xdr:from>
    <xdr:to>
      <xdr:col>5</xdr:col>
      <xdr:colOff>512053</xdr:colOff>
      <xdr:row>37</xdr:row>
      <xdr:rowOff>23400</xdr:rowOff>
    </xdr:to>
    <xdr:grpSp>
      <xdr:nvGrpSpPr>
        <xdr:cNvPr id="3154" name="Group 3153">
          <a:extLst>
            <a:ext uri="{FF2B5EF4-FFF2-40B4-BE49-F238E27FC236}">
              <a16:creationId xmlns:a16="http://schemas.microsoft.com/office/drawing/2014/main" id="{00000000-0008-0000-0200-0000520C0000}"/>
            </a:ext>
          </a:extLst>
        </xdr:cNvPr>
        <xdr:cNvGrpSpPr/>
      </xdr:nvGrpSpPr>
      <xdr:grpSpPr>
        <a:xfrm>
          <a:off x="1266825" y="5905500"/>
          <a:ext cx="2293228" cy="252000"/>
          <a:chOff x="8001000" y="800100"/>
          <a:chExt cx="2293228" cy="252000"/>
        </a:xfrm>
      </xdr:grpSpPr>
      <xdr:grpSp>
        <xdr:nvGrpSpPr>
          <xdr:cNvPr id="3155" name="Group 3154">
            <a:extLst>
              <a:ext uri="{FF2B5EF4-FFF2-40B4-BE49-F238E27FC236}">
                <a16:creationId xmlns:a16="http://schemas.microsoft.com/office/drawing/2014/main" id="{00000000-0008-0000-0200-0000530C0000}"/>
              </a:ext>
            </a:extLst>
          </xdr:cNvPr>
          <xdr:cNvGrpSpPr/>
        </xdr:nvGrpSpPr>
        <xdr:grpSpPr>
          <a:xfrm>
            <a:off x="8210549" y="828673"/>
            <a:ext cx="2083679" cy="180000"/>
            <a:chOff x="5257799" y="4924423"/>
            <a:chExt cx="2083679" cy="180000"/>
          </a:xfrm>
        </xdr:grpSpPr>
        <xdr:sp macro="" textlink="">
          <xdr:nvSpPr>
            <xdr:cNvPr id="3157" name="TextBox 3156">
              <a:extLst>
                <a:ext uri="{FF2B5EF4-FFF2-40B4-BE49-F238E27FC236}">
                  <a16:creationId xmlns:a16="http://schemas.microsoft.com/office/drawing/2014/main" id="{00000000-0008-0000-0200-0000550C0000}"/>
                </a:ext>
              </a:extLst>
            </xdr:cNvPr>
            <xdr:cNvSpPr txBox="1"/>
          </xdr:nvSpPr>
          <xdr:spPr>
            <a:xfrm flipH="1">
              <a:off x="6189478" y="4924423"/>
              <a:ext cx="1152000"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000" b="0" i="0" u="none" strike="noStrike" cap="none" spc="0">
                  <a:ln w="0"/>
                  <a:solidFill>
                    <a:srgbClr val="B1F5F1"/>
                  </a:solidFill>
                  <a:effectLst>
                    <a:outerShdw blurRad="38100" dist="25400" dir="5400000" algn="ctr" rotWithShape="0">
                      <a:srgbClr val="6E747A">
                        <a:alpha val="43000"/>
                      </a:srgbClr>
                    </a:outerShdw>
                  </a:effectLst>
                  <a:latin typeface="Avenir Next LT Pro"/>
                </a:rPr>
                <a:t>By Profit</a:t>
              </a:r>
            </a:p>
          </xdr:txBody>
        </xdr:sp>
        <xdr:sp macro="" textlink="">
          <xdr:nvSpPr>
            <xdr:cNvPr id="3158" name="TextBox 3157">
              <a:extLst>
                <a:ext uri="{FF2B5EF4-FFF2-40B4-BE49-F238E27FC236}">
                  <a16:creationId xmlns:a16="http://schemas.microsoft.com/office/drawing/2014/main" id="{00000000-0008-0000-0200-0000560C0000}"/>
                </a:ext>
              </a:extLst>
            </xdr:cNvPr>
            <xdr:cNvSpPr txBox="1"/>
          </xdr:nvSpPr>
          <xdr:spPr>
            <a:xfrm flipH="1">
              <a:off x="5257799" y="4924423"/>
              <a:ext cx="720000"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000" b="0" i="0" u="none" strike="noStrike" cap="none" spc="0">
                  <a:ln w="0"/>
                  <a:solidFill>
                    <a:srgbClr val="B1F5F1"/>
                  </a:solidFill>
                  <a:effectLst>
                    <a:outerShdw blurRad="38100" dist="25400" dir="5400000" algn="ctr" rotWithShape="0">
                      <a:srgbClr val="6E747A">
                        <a:alpha val="43000"/>
                      </a:srgbClr>
                    </a:outerShdw>
                  </a:effectLst>
                  <a:latin typeface="Avenir Next LT Pro"/>
                </a:rPr>
                <a:t>By</a:t>
              </a:r>
              <a:r>
                <a:rPr lang="en-US" sz="1000" b="0" i="0" u="none" strike="noStrike" cap="none" spc="0" baseline="0">
                  <a:ln w="0"/>
                  <a:solidFill>
                    <a:srgbClr val="B1F5F1"/>
                  </a:solidFill>
                  <a:effectLst>
                    <a:outerShdw blurRad="38100" dist="25400" dir="5400000" algn="ctr" rotWithShape="0">
                      <a:srgbClr val="6E747A">
                        <a:alpha val="43000"/>
                      </a:srgbClr>
                    </a:outerShdw>
                  </a:effectLst>
                  <a:latin typeface="Avenir Next LT Pro"/>
                </a:rPr>
                <a:t> Sale</a:t>
              </a:r>
              <a:endParaRPr lang="en-US" sz="1000" b="0" i="0" u="none" strike="noStrike" cap="none" spc="0">
                <a:ln w="0"/>
                <a:solidFill>
                  <a:srgbClr val="B1F5F1"/>
                </a:solidFill>
                <a:effectLst>
                  <a:outerShdw blurRad="38100" dist="25400" dir="5400000" algn="ctr" rotWithShape="0">
                    <a:srgbClr val="6E747A">
                      <a:alpha val="43000"/>
                    </a:srgbClr>
                  </a:outerShdw>
                </a:effectLst>
                <a:latin typeface="Avenir Next LT Pro"/>
              </a:endParaRPr>
            </a:p>
          </xdr:txBody>
        </xdr:sp>
      </xdr:grpSp>
      <mc:AlternateContent xmlns:mc="http://schemas.openxmlformats.org/markup-compatibility/2006">
        <mc:Choice xmlns:a14="http://schemas.microsoft.com/office/drawing/2010/main" Requires="a14">
          <xdr:grpSp>
            <xdr:nvGrpSpPr>
              <xdr:cNvPr id="3156" name="Group 3155">
                <a:extLst>
                  <a:ext uri="{FF2B5EF4-FFF2-40B4-BE49-F238E27FC236}">
                    <a16:creationId xmlns:a16="http://schemas.microsoft.com/office/drawing/2014/main" id="{00000000-0008-0000-0200-0000540C0000}"/>
                  </a:ext>
                </a:extLst>
              </xdr:cNvPr>
              <xdr:cNvGrpSpPr/>
            </xdr:nvGrpSpPr>
            <xdr:grpSpPr>
              <a:xfrm>
                <a:off x="8001000" y="800100"/>
                <a:ext cx="1944000" cy="252000"/>
                <a:chOff x="8029575" y="790575"/>
                <a:chExt cx="1944000" cy="252000"/>
              </a:xfrm>
            </xdr:grpSpPr>
            <xdr:sp macro="" textlink="">
              <xdr:nvSpPr>
                <xdr:cNvPr id="3097" name="Group Box 25" hidden="1">
                  <a:extLst>
                    <a:ext uri="{63B3BB69-23CF-44E3-9099-C40C66FF867C}">
                      <a14:compatExt spid="_x0000_s3097"/>
                    </a:ext>
                    <a:ext uri="{FF2B5EF4-FFF2-40B4-BE49-F238E27FC236}">
                      <a16:creationId xmlns:a16="http://schemas.microsoft.com/office/drawing/2014/main" id="{00000000-0008-0000-0200-0000190C0000}"/>
                    </a:ext>
                  </a:extLst>
                </xdr:cNvPr>
                <xdr:cNvSpPr/>
              </xdr:nvSpPr>
              <xdr:spPr bwMode="auto">
                <a:xfrm>
                  <a:off x="8029575" y="790575"/>
                  <a:ext cx="1944000" cy="252000"/>
                </a:xfrm>
                <a:prstGeom prst="rect">
                  <a:avLst/>
                </a:prstGeom>
                <a:noFill/>
                <a:ln w="9525">
                  <a:miter lim="800000"/>
                  <a:headEnd/>
                  <a:tailEnd/>
                </a:ln>
                <a:extLst>
                  <a:ext uri="{909E8E84-426E-40DD-AFC4-6F175D3DCCD1}">
                    <a14:hiddenFill>
                      <a:noFill/>
                    </a14:hiddenFill>
                  </a:ext>
                </a:extLst>
              </xdr:spPr>
            </xdr:sp>
            <xdr:sp macro="" textlink="">
              <xdr:nvSpPr>
                <xdr:cNvPr id="3098" name="Option Button 26" hidden="1">
                  <a:extLst>
                    <a:ext uri="{63B3BB69-23CF-44E3-9099-C40C66FF867C}">
                      <a14:compatExt spid="_x0000_s3098"/>
                    </a:ext>
                    <a:ext uri="{FF2B5EF4-FFF2-40B4-BE49-F238E27FC236}">
                      <a16:creationId xmlns:a16="http://schemas.microsoft.com/office/drawing/2014/main" id="{00000000-0008-0000-0200-00001A0C0000}"/>
                    </a:ext>
                  </a:extLst>
                </xdr:cNvPr>
                <xdr:cNvSpPr/>
              </xdr:nvSpPr>
              <xdr:spPr bwMode="auto">
                <a:xfrm>
                  <a:off x="8105774" y="823912"/>
                  <a:ext cx="900000" cy="1800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3099" name="Option Button 27" hidden="1">
                  <a:extLst>
                    <a:ext uri="{63B3BB69-23CF-44E3-9099-C40C66FF867C}">
                      <a14:compatExt spid="_x0000_s3099"/>
                    </a:ext>
                    <a:ext uri="{FF2B5EF4-FFF2-40B4-BE49-F238E27FC236}">
                      <a16:creationId xmlns:a16="http://schemas.microsoft.com/office/drawing/2014/main" id="{00000000-0008-0000-0200-00001B0C0000}"/>
                    </a:ext>
                  </a:extLst>
                </xdr:cNvPr>
                <xdr:cNvSpPr/>
              </xdr:nvSpPr>
              <xdr:spPr bwMode="auto">
                <a:xfrm>
                  <a:off x="9029700" y="823425"/>
                  <a:ext cx="895350" cy="1809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mc:Choice>
        <mc:Fallback/>
      </mc:AlternateContent>
    </xdr:grpSp>
    <xdr:clientData/>
  </xdr:twoCellAnchor>
  <xdr:twoCellAnchor>
    <xdr:from>
      <xdr:col>18</xdr:col>
      <xdr:colOff>9524</xdr:colOff>
      <xdr:row>33</xdr:row>
      <xdr:rowOff>152398</xdr:rowOff>
    </xdr:from>
    <xdr:to>
      <xdr:col>21</xdr:col>
      <xdr:colOff>264403</xdr:colOff>
      <xdr:row>35</xdr:row>
      <xdr:rowOff>8548</xdr:rowOff>
    </xdr:to>
    <xdr:grpSp>
      <xdr:nvGrpSpPr>
        <xdr:cNvPr id="3162" name="Group 3161">
          <a:extLst>
            <a:ext uri="{FF2B5EF4-FFF2-40B4-BE49-F238E27FC236}">
              <a16:creationId xmlns:a16="http://schemas.microsoft.com/office/drawing/2014/main" id="{00000000-0008-0000-0200-00005A0C0000}"/>
            </a:ext>
          </a:extLst>
        </xdr:cNvPr>
        <xdr:cNvGrpSpPr/>
      </xdr:nvGrpSpPr>
      <xdr:grpSpPr>
        <a:xfrm>
          <a:off x="10982324" y="5638798"/>
          <a:ext cx="2083679" cy="180000"/>
          <a:chOff x="5257799" y="4924423"/>
          <a:chExt cx="2083679" cy="180000"/>
        </a:xfrm>
      </xdr:grpSpPr>
      <xdr:sp macro="" textlink="">
        <xdr:nvSpPr>
          <xdr:cNvPr id="3168" name="TextBox 3167">
            <a:extLst>
              <a:ext uri="{FF2B5EF4-FFF2-40B4-BE49-F238E27FC236}">
                <a16:creationId xmlns:a16="http://schemas.microsoft.com/office/drawing/2014/main" id="{00000000-0008-0000-0200-0000600C0000}"/>
              </a:ext>
            </a:extLst>
          </xdr:cNvPr>
          <xdr:cNvSpPr txBox="1"/>
        </xdr:nvSpPr>
        <xdr:spPr>
          <a:xfrm flipH="1">
            <a:off x="6189478" y="4924423"/>
            <a:ext cx="1152000"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000" b="0" i="0" u="none" strike="noStrike" cap="none" spc="0">
                <a:ln w="0"/>
                <a:solidFill>
                  <a:srgbClr val="B1F5F1"/>
                </a:solidFill>
                <a:effectLst>
                  <a:outerShdw blurRad="38100" dist="25400" dir="5400000" algn="ctr" rotWithShape="0">
                    <a:srgbClr val="6E747A">
                      <a:alpha val="43000"/>
                    </a:srgbClr>
                  </a:outerShdw>
                </a:effectLst>
                <a:latin typeface="Avenir Next LT Pro"/>
              </a:rPr>
              <a:t>By Profit</a:t>
            </a:r>
          </a:p>
        </xdr:txBody>
      </xdr:sp>
      <xdr:sp macro="" textlink="">
        <xdr:nvSpPr>
          <xdr:cNvPr id="3169" name="TextBox 3168">
            <a:extLst>
              <a:ext uri="{FF2B5EF4-FFF2-40B4-BE49-F238E27FC236}">
                <a16:creationId xmlns:a16="http://schemas.microsoft.com/office/drawing/2014/main" id="{00000000-0008-0000-0200-0000610C0000}"/>
              </a:ext>
            </a:extLst>
          </xdr:cNvPr>
          <xdr:cNvSpPr txBox="1"/>
        </xdr:nvSpPr>
        <xdr:spPr>
          <a:xfrm flipH="1">
            <a:off x="5257799" y="4924423"/>
            <a:ext cx="720000"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000" b="0" i="0" u="none" strike="noStrike" cap="none" spc="0">
                <a:ln w="0"/>
                <a:solidFill>
                  <a:srgbClr val="B1F5F1"/>
                </a:solidFill>
                <a:effectLst>
                  <a:outerShdw blurRad="38100" dist="25400" dir="5400000" algn="ctr" rotWithShape="0">
                    <a:srgbClr val="6E747A">
                      <a:alpha val="43000"/>
                    </a:srgbClr>
                  </a:outerShdw>
                </a:effectLst>
                <a:latin typeface="Avenir Next LT Pro"/>
              </a:rPr>
              <a:t>By</a:t>
            </a:r>
            <a:r>
              <a:rPr lang="en-US" sz="1000" b="0" i="0" u="none" strike="noStrike" cap="none" spc="0" baseline="0">
                <a:ln w="0"/>
                <a:solidFill>
                  <a:srgbClr val="B1F5F1"/>
                </a:solidFill>
                <a:effectLst>
                  <a:outerShdw blurRad="38100" dist="25400" dir="5400000" algn="ctr" rotWithShape="0">
                    <a:srgbClr val="6E747A">
                      <a:alpha val="43000"/>
                    </a:srgbClr>
                  </a:outerShdw>
                </a:effectLst>
                <a:latin typeface="Avenir Next LT Pro"/>
              </a:rPr>
              <a:t> Sale</a:t>
            </a:r>
            <a:endParaRPr lang="en-US" sz="1000" b="0" i="0" u="none" strike="noStrike" cap="none" spc="0">
              <a:ln w="0"/>
              <a:solidFill>
                <a:srgbClr val="B1F5F1"/>
              </a:solidFill>
              <a:effectLst>
                <a:outerShdw blurRad="38100" dist="25400" dir="5400000" algn="ctr" rotWithShape="0">
                  <a:srgbClr val="6E747A">
                    <a:alpha val="43000"/>
                  </a:srgbClr>
                </a:outerShdw>
              </a:effectLst>
              <a:latin typeface="Avenir Next LT Pro"/>
            </a:endParaRPr>
          </a:p>
        </xdr:txBody>
      </xdr:sp>
    </xdr:grpSp>
    <xdr:clientData/>
  </xdr:twoCellAnchor>
  <mc:AlternateContent xmlns:mc="http://schemas.openxmlformats.org/markup-compatibility/2006">
    <mc:Choice xmlns:a14="http://schemas.microsoft.com/office/drawing/2010/main" Requires="a14">
      <xdr:twoCellAnchor editAs="oneCell">
        <xdr:from>
          <xdr:col>17</xdr:col>
          <xdr:colOff>409575</xdr:colOff>
          <xdr:row>33</xdr:row>
          <xdr:rowOff>123825</xdr:rowOff>
        </xdr:from>
        <xdr:to>
          <xdr:col>20</xdr:col>
          <xdr:colOff>523875</xdr:colOff>
          <xdr:row>35</xdr:row>
          <xdr:rowOff>47625</xdr:rowOff>
        </xdr:to>
        <xdr:sp macro="" textlink="">
          <xdr:nvSpPr>
            <xdr:cNvPr id="3100" name="Group Box 28" hidden="1">
              <a:extLst>
                <a:ext uri="{63B3BB69-23CF-44E3-9099-C40C66FF867C}">
                  <a14:compatExt spid="_x0000_s3100"/>
                </a:ext>
                <a:ext uri="{FF2B5EF4-FFF2-40B4-BE49-F238E27FC236}">
                  <a16:creationId xmlns:a16="http://schemas.microsoft.com/office/drawing/2014/main" id="{00000000-0008-0000-0200-00001C0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485775</xdr:colOff>
          <xdr:row>33</xdr:row>
          <xdr:rowOff>152400</xdr:rowOff>
        </xdr:from>
        <xdr:to>
          <xdr:col>19</xdr:col>
          <xdr:colOff>161925</xdr:colOff>
          <xdr:row>35</xdr:row>
          <xdr:rowOff>9525</xdr:rowOff>
        </xdr:to>
        <xdr:sp macro="" textlink="">
          <xdr:nvSpPr>
            <xdr:cNvPr id="3141" name="Option Button 29" hidden="1">
              <a:extLst>
                <a:ext uri="{63B3BB69-23CF-44E3-9099-C40C66FF867C}">
                  <a14:compatExt spid="_x0000_s3101"/>
                </a:ext>
                <a:ext uri="{FF2B5EF4-FFF2-40B4-BE49-F238E27FC236}">
                  <a16:creationId xmlns:a16="http://schemas.microsoft.com/office/drawing/2014/main" id="{00000000-0008-0000-0200-000045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190500</xdr:colOff>
          <xdr:row>33</xdr:row>
          <xdr:rowOff>152400</xdr:rowOff>
        </xdr:from>
        <xdr:to>
          <xdr:col>20</xdr:col>
          <xdr:colOff>476250</xdr:colOff>
          <xdr:row>35</xdr:row>
          <xdr:rowOff>9525</xdr:rowOff>
        </xdr:to>
        <xdr:sp macro="" textlink="">
          <xdr:nvSpPr>
            <xdr:cNvPr id="3102" name="Option Button 30" hidden="1">
              <a:extLst>
                <a:ext uri="{63B3BB69-23CF-44E3-9099-C40C66FF867C}">
                  <a14:compatExt spid="_x0000_s3102"/>
                </a:ext>
                <a:ext uri="{FF2B5EF4-FFF2-40B4-BE49-F238E27FC236}">
                  <a16:creationId xmlns:a16="http://schemas.microsoft.com/office/drawing/2014/main" id="{00000000-0008-0000-0200-00001E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552450</xdr:colOff>
          <xdr:row>8</xdr:row>
          <xdr:rowOff>142875</xdr:rowOff>
        </xdr:from>
        <xdr:to>
          <xdr:col>4</xdr:col>
          <xdr:colOff>352425</xdr:colOff>
          <xdr:row>20</xdr:row>
          <xdr:rowOff>142875</xdr:rowOff>
        </xdr:to>
        <xdr:sp macro="" textlink="">
          <xdr:nvSpPr>
            <xdr:cNvPr id="4099" name="Group Box 3" hidden="1">
              <a:extLst>
                <a:ext uri="{63B3BB69-23CF-44E3-9099-C40C66FF867C}">
                  <a14:compatExt spid="_x0000_s4099"/>
                </a:ext>
                <a:ext uri="{FF2B5EF4-FFF2-40B4-BE49-F238E27FC236}">
                  <a16:creationId xmlns:a16="http://schemas.microsoft.com/office/drawing/2014/main" id="{00000000-0008-0000-0300-000003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CA" sz="800" b="0" i="0" u="none" strike="noStrike" baseline="0">
                  <a:solidFill>
                    <a:srgbClr val="000000"/>
                  </a:solidFill>
                  <a:latin typeface="Segoe UI"/>
                  <a:cs typeface="Segoe UI"/>
                </a:rPr>
                <a:t>Group Box 3</a:t>
              </a:r>
            </a:p>
          </xdr:txBody>
        </xdr:sp>
        <xdr:clientData/>
      </xdr:twoCellAnchor>
    </mc:Choice>
    <mc:Fallback/>
  </mc:AlternateContent>
  <xdr:twoCellAnchor editAs="oneCell">
    <xdr:from>
      <xdr:col>0</xdr:col>
      <xdr:colOff>0</xdr:colOff>
      <xdr:row>0</xdr:row>
      <xdr:rowOff>0</xdr:rowOff>
    </xdr:from>
    <xdr:to>
      <xdr:col>30</xdr:col>
      <xdr:colOff>514350</xdr:colOff>
      <xdr:row>54</xdr:row>
      <xdr:rowOff>152400</xdr:rowOff>
    </xdr:to>
    <xdr:pic>
      <xdr:nvPicPr>
        <xdr:cNvPr id="11" name="Picture 10">
          <a:extLst>
            <a:ext uri="{FF2B5EF4-FFF2-40B4-BE49-F238E27FC236}">
              <a16:creationId xmlns:a16="http://schemas.microsoft.com/office/drawing/2014/main" id="{00000000-0008-0000-0300-00000B000000}"/>
            </a:ext>
          </a:extLst>
        </xdr:cNvPr>
        <xdr:cNvPicPr>
          <a:picLocks noChangeAspect="1" noChangeArrowheads="1"/>
        </xdr:cNvPicPr>
      </xdr:nvPicPr>
      <xdr:blipFill>
        <a:blip xmlns:r="http://schemas.openxmlformats.org/officeDocument/2006/relationships" r:embed="rId1">
          <a:alphaModFix amt="20000"/>
          <a:extLst>
            <a:ext uri="{28A0092B-C50C-407E-A947-70E740481C1C}">
              <a14:useLocalDpi xmlns:a14="http://schemas.microsoft.com/office/drawing/2010/main" val="0"/>
            </a:ext>
          </a:extLst>
        </a:blip>
        <a:srcRect/>
        <a:stretch>
          <a:fillRect/>
        </a:stretch>
      </xdr:blipFill>
      <xdr:spPr bwMode="auto">
        <a:xfrm rot="10800000" flipV="1">
          <a:off x="0" y="0"/>
          <a:ext cx="18802350" cy="88963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absolute">
        <xdr:from>
          <xdr:col>0</xdr:col>
          <xdr:colOff>466725</xdr:colOff>
          <xdr:row>33</xdr:row>
          <xdr:rowOff>19050</xdr:rowOff>
        </xdr:from>
        <xdr:to>
          <xdr:col>8</xdr:col>
          <xdr:colOff>114300</xdr:colOff>
          <xdr:row>37</xdr:row>
          <xdr:rowOff>142875</xdr:rowOff>
        </xdr:to>
        <xdr:sp macro="" textlink="">
          <xdr:nvSpPr>
            <xdr:cNvPr id="4111" name="Group Box 15" hidden="1">
              <a:extLst>
                <a:ext uri="{63B3BB69-23CF-44E3-9099-C40C66FF867C}">
                  <a14:compatExt spid="_x0000_s4111"/>
                </a:ext>
                <a:ext uri="{FF2B5EF4-FFF2-40B4-BE49-F238E27FC236}">
                  <a16:creationId xmlns:a16="http://schemas.microsoft.com/office/drawing/2014/main" id="{00000000-0008-0000-0300-00000F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xdr:twoCellAnchor>
    <xdr:from>
      <xdr:col>9</xdr:col>
      <xdr:colOff>523875</xdr:colOff>
      <xdr:row>4</xdr:row>
      <xdr:rowOff>95250</xdr:rowOff>
    </xdr:from>
    <xdr:to>
      <xdr:col>28</xdr:col>
      <xdr:colOff>352425</xdr:colOff>
      <xdr:row>55</xdr:row>
      <xdr:rowOff>57150</xdr:rowOff>
    </xdr:to>
    <mc:AlternateContent xmlns:mc="http://schemas.openxmlformats.org/markup-compatibility/2006">
      <mc:Choice xmlns:cx4="http://schemas.microsoft.com/office/drawing/2016/5/10/chartex" Requires="cx4">
        <xdr:graphicFrame macro="">
          <xdr:nvGraphicFramePr>
            <xdr:cNvPr id="12" name="Chart 11">
              <a:extLst>
                <a:ext uri="{FF2B5EF4-FFF2-40B4-BE49-F238E27FC236}">
                  <a16:creationId xmlns:a16="http://schemas.microsoft.com/office/drawing/2014/main" id="{00000000-0008-0000-0300-00000C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2"/>
            </a:graphicData>
          </a:graphic>
        </xdr:graphicFrame>
      </mc:Choice>
      <mc:Fallback>
        <xdr:sp macro="" textlink="">
          <xdr:nvSpPr>
            <xdr:cNvPr id="0" name=""/>
            <xdr:cNvSpPr>
              <a:spLocks noTextEdit="1"/>
            </xdr:cNvSpPr>
          </xdr:nvSpPr>
          <xdr:spPr>
            <a:xfrm>
              <a:off x="6010275" y="742950"/>
              <a:ext cx="11410950" cy="8220075"/>
            </a:xfrm>
            <a:prstGeom prst="rect">
              <a:avLst/>
            </a:prstGeom>
            <a:solidFill>
              <a:prstClr val="white"/>
            </a:solidFill>
            <a:ln w="1">
              <a:solidFill>
                <a:prstClr val="green"/>
              </a:solidFill>
            </a:ln>
          </xdr:spPr>
          <xdr:txBody>
            <a:bodyPr vertOverflow="clip" horzOverflow="clip"/>
            <a:lstStyle/>
            <a:p>
              <a:r>
                <a:rPr lang="en-CA"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0</xdr:col>
      <xdr:colOff>570412</xdr:colOff>
      <xdr:row>31</xdr:row>
      <xdr:rowOff>28574</xdr:rowOff>
    </xdr:from>
    <xdr:to>
      <xdr:col>8</xdr:col>
      <xdr:colOff>13612</xdr:colOff>
      <xdr:row>54</xdr:row>
      <xdr:rowOff>47624</xdr:rowOff>
    </xdr:to>
    <xdr:grpSp>
      <xdr:nvGrpSpPr>
        <xdr:cNvPr id="63" name="Group 62">
          <a:extLst>
            <a:ext uri="{FF2B5EF4-FFF2-40B4-BE49-F238E27FC236}">
              <a16:creationId xmlns:a16="http://schemas.microsoft.com/office/drawing/2014/main" id="{00000000-0008-0000-0300-00003F000000}"/>
            </a:ext>
          </a:extLst>
        </xdr:cNvPr>
        <xdr:cNvGrpSpPr/>
      </xdr:nvGrpSpPr>
      <xdr:grpSpPr>
        <a:xfrm>
          <a:off x="570412" y="5048249"/>
          <a:ext cx="4320000" cy="3743325"/>
          <a:chOff x="694237" y="5210174"/>
          <a:chExt cx="4320000" cy="3743325"/>
        </a:xfrm>
      </xdr:grpSpPr>
      <xdr:sp macro="" textlink="">
        <xdr:nvSpPr>
          <xdr:cNvPr id="19" name="Rectangle: Rounded Corners 18">
            <a:extLst>
              <a:ext uri="{FF2B5EF4-FFF2-40B4-BE49-F238E27FC236}">
                <a16:creationId xmlns:a16="http://schemas.microsoft.com/office/drawing/2014/main" id="{00000000-0008-0000-0300-000013000000}"/>
              </a:ext>
            </a:extLst>
          </xdr:cNvPr>
          <xdr:cNvSpPr/>
        </xdr:nvSpPr>
        <xdr:spPr>
          <a:xfrm>
            <a:off x="694237" y="5210174"/>
            <a:ext cx="4320000" cy="3743325"/>
          </a:xfrm>
          <a:prstGeom prst="roundRect">
            <a:avLst>
              <a:gd name="adj" fmla="val 7761"/>
            </a:avLst>
          </a:prstGeom>
          <a:gradFill>
            <a:gsLst>
              <a:gs pos="0">
                <a:srgbClr val="DC25FA">
                  <a:alpha val="20000"/>
                </a:srgbClr>
              </a:gs>
              <a:gs pos="63000">
                <a:srgbClr val="9947F7">
                  <a:alpha val="20000"/>
                </a:srgbClr>
              </a:gs>
            </a:gsLst>
            <a:lin ang="3900000" scaled="0"/>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graphicFrame macro="">
        <xdr:nvGraphicFramePr>
          <xdr:cNvPr id="53" name="Chart 52">
            <a:extLst>
              <a:ext uri="{FF2B5EF4-FFF2-40B4-BE49-F238E27FC236}">
                <a16:creationId xmlns:a16="http://schemas.microsoft.com/office/drawing/2014/main" id="{00000000-0008-0000-0300-000035000000}"/>
              </a:ext>
            </a:extLst>
          </xdr:cNvPr>
          <xdr:cNvGraphicFramePr>
            <a:graphicFrameLocks/>
          </xdr:cNvGraphicFramePr>
        </xdr:nvGraphicFramePr>
        <xdr:xfrm>
          <a:off x="752475" y="6191250"/>
          <a:ext cx="4181475" cy="2647949"/>
        </xdr:xfrm>
        <a:graphic>
          <a:graphicData uri="http://schemas.openxmlformats.org/drawingml/2006/chart">
            <c:chart xmlns:c="http://schemas.openxmlformats.org/drawingml/2006/chart" xmlns:r="http://schemas.openxmlformats.org/officeDocument/2006/relationships" r:id="rId3"/>
          </a:graphicData>
        </a:graphic>
      </xdr:graphicFrame>
      <xdr:grpSp>
        <xdr:nvGrpSpPr>
          <xdr:cNvPr id="58" name="Group 57">
            <a:extLst>
              <a:ext uri="{FF2B5EF4-FFF2-40B4-BE49-F238E27FC236}">
                <a16:creationId xmlns:a16="http://schemas.microsoft.com/office/drawing/2014/main" id="{00000000-0008-0000-0300-00003A000000}"/>
              </a:ext>
            </a:extLst>
          </xdr:cNvPr>
          <xdr:cNvGrpSpPr/>
        </xdr:nvGrpSpPr>
        <xdr:grpSpPr>
          <a:xfrm>
            <a:off x="1054012" y="5834063"/>
            <a:ext cx="3870413" cy="361950"/>
            <a:chOff x="1139737" y="5834063"/>
            <a:chExt cx="3870413" cy="361950"/>
          </a:xfrm>
        </xdr:grpSpPr>
        <xdr:grpSp>
          <xdr:nvGrpSpPr>
            <xdr:cNvPr id="44" name="Group 43">
              <a:extLst>
                <a:ext uri="{FF2B5EF4-FFF2-40B4-BE49-F238E27FC236}">
                  <a16:creationId xmlns:a16="http://schemas.microsoft.com/office/drawing/2014/main" id="{00000000-0008-0000-0300-00002C000000}"/>
                </a:ext>
              </a:extLst>
            </xdr:cNvPr>
            <xdr:cNvGrpSpPr/>
          </xdr:nvGrpSpPr>
          <xdr:grpSpPr>
            <a:xfrm>
              <a:off x="1301663" y="5881688"/>
              <a:ext cx="3419474" cy="314325"/>
              <a:chOff x="1543051" y="6134100"/>
              <a:chExt cx="3419474" cy="314325"/>
            </a:xfrm>
          </xdr:grpSpPr>
          <xdr:sp macro="" textlink="">
            <xdr:nvSpPr>
              <xdr:cNvPr id="21" name="TextBox 20">
                <a:extLst>
                  <a:ext uri="{FF2B5EF4-FFF2-40B4-BE49-F238E27FC236}">
                    <a16:creationId xmlns:a16="http://schemas.microsoft.com/office/drawing/2014/main" id="{00000000-0008-0000-0300-000015000000}"/>
                  </a:ext>
                </a:extLst>
              </xdr:cNvPr>
              <xdr:cNvSpPr txBox="1"/>
            </xdr:nvSpPr>
            <xdr:spPr>
              <a:xfrm>
                <a:off x="1543051" y="6134100"/>
                <a:ext cx="704849" cy="3143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l"/>
                <a:r>
                  <a:rPr lang="en-US" sz="1200" b="0" i="0" u="none" strike="noStrike">
                    <a:solidFill>
                      <a:schemeClr val="bg1"/>
                    </a:solidFill>
                    <a:latin typeface="Avenir Next LT Pro Light" panose="020B0304020202020204" pitchFamily="34" charset="0"/>
                    <a:cs typeface="+mn-cs"/>
                  </a:rPr>
                  <a:t>Central</a:t>
                </a:r>
              </a:p>
            </xdr:txBody>
          </xdr:sp>
          <xdr:sp macro="" textlink="">
            <xdr:nvSpPr>
              <xdr:cNvPr id="25" name="TextBox 24">
                <a:extLst>
                  <a:ext uri="{FF2B5EF4-FFF2-40B4-BE49-F238E27FC236}">
                    <a16:creationId xmlns:a16="http://schemas.microsoft.com/office/drawing/2014/main" id="{00000000-0008-0000-0300-000019000000}"/>
                  </a:ext>
                </a:extLst>
              </xdr:cNvPr>
              <xdr:cNvSpPr txBox="1"/>
            </xdr:nvSpPr>
            <xdr:spPr>
              <a:xfrm>
                <a:off x="2609849" y="6134100"/>
                <a:ext cx="473075" cy="3143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l"/>
                <a:r>
                  <a:rPr lang="en-US" sz="1200" b="0" i="0" u="none" strike="noStrike">
                    <a:solidFill>
                      <a:schemeClr val="bg1"/>
                    </a:solidFill>
                    <a:latin typeface="Avenir Next LT Pro Light" panose="020B0304020202020204" pitchFamily="34" charset="0"/>
                    <a:cs typeface="+mn-cs"/>
                  </a:rPr>
                  <a:t>East</a:t>
                </a:r>
              </a:p>
            </xdr:txBody>
          </xdr:sp>
          <xdr:sp macro="" textlink="Pivot_tables!AI42">
            <xdr:nvSpPr>
              <xdr:cNvPr id="38" name="TextBox 37">
                <a:extLst>
                  <a:ext uri="{FF2B5EF4-FFF2-40B4-BE49-F238E27FC236}">
                    <a16:creationId xmlns:a16="http://schemas.microsoft.com/office/drawing/2014/main" id="{00000000-0008-0000-0300-000026000000}"/>
                  </a:ext>
                </a:extLst>
              </xdr:cNvPr>
              <xdr:cNvSpPr txBox="1"/>
            </xdr:nvSpPr>
            <xdr:spPr>
              <a:xfrm>
                <a:off x="3444873" y="6134100"/>
                <a:ext cx="603251" cy="3143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l"/>
                <a:r>
                  <a:rPr lang="en-US" sz="1200" b="0" i="0" u="none" strike="noStrike">
                    <a:solidFill>
                      <a:schemeClr val="bg1"/>
                    </a:solidFill>
                    <a:latin typeface="Avenir Next LT Pro Light" panose="020B0304020202020204" pitchFamily="34" charset="0"/>
                    <a:cs typeface="+mn-cs"/>
                  </a:rPr>
                  <a:t>South</a:t>
                </a:r>
              </a:p>
            </xdr:txBody>
          </xdr:sp>
          <xdr:sp macro="" textlink="Pivot_tables!AI42">
            <xdr:nvSpPr>
              <xdr:cNvPr id="41" name="TextBox 40">
                <a:extLst>
                  <a:ext uri="{FF2B5EF4-FFF2-40B4-BE49-F238E27FC236}">
                    <a16:creationId xmlns:a16="http://schemas.microsoft.com/office/drawing/2014/main" id="{00000000-0008-0000-0300-000029000000}"/>
                  </a:ext>
                </a:extLst>
              </xdr:cNvPr>
              <xdr:cNvSpPr txBox="1"/>
            </xdr:nvSpPr>
            <xdr:spPr>
              <a:xfrm>
                <a:off x="4410074" y="6134100"/>
                <a:ext cx="552451" cy="3143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l"/>
                <a:r>
                  <a:rPr lang="en-US" sz="1200" b="0" i="0" u="none" strike="noStrike">
                    <a:solidFill>
                      <a:schemeClr val="bg1"/>
                    </a:solidFill>
                    <a:latin typeface="Avenir Next LT Pro Light" panose="020B0304020202020204" pitchFamily="34" charset="0"/>
                    <a:cs typeface="+mn-cs"/>
                  </a:rPr>
                  <a:t>West</a:t>
                </a:r>
              </a:p>
            </xdr:txBody>
          </xdr:sp>
        </xdr:grpSp>
        <mc:AlternateContent xmlns:mc="http://schemas.openxmlformats.org/markup-compatibility/2006">
          <mc:Choice xmlns:a14="http://schemas.microsoft.com/office/drawing/2010/main" Requires="a14">
            <xdr:grpSp>
              <xdr:nvGrpSpPr>
                <xdr:cNvPr id="55" name="Group 54">
                  <a:extLst>
                    <a:ext uri="{FF2B5EF4-FFF2-40B4-BE49-F238E27FC236}">
                      <a16:creationId xmlns:a16="http://schemas.microsoft.com/office/drawing/2014/main" id="{00000000-0008-0000-0300-000037000000}"/>
                    </a:ext>
                  </a:extLst>
                </xdr:cNvPr>
                <xdr:cNvGrpSpPr/>
              </xdr:nvGrpSpPr>
              <xdr:grpSpPr>
                <a:xfrm>
                  <a:off x="1139737" y="5834063"/>
                  <a:ext cx="3870413" cy="361950"/>
                  <a:chOff x="1139737" y="5834063"/>
                  <a:chExt cx="3870413" cy="361950"/>
                </a:xfrm>
              </xdr:grpSpPr>
              <xdr:sp macro="" textlink="">
                <xdr:nvSpPr>
                  <xdr:cNvPr id="4112" name="Option Button 16" hidden="1">
                    <a:extLst>
                      <a:ext uri="{63B3BB69-23CF-44E3-9099-C40C66FF867C}">
                        <a14:compatExt spid="_x0000_s4112"/>
                      </a:ext>
                      <a:ext uri="{FF2B5EF4-FFF2-40B4-BE49-F238E27FC236}">
                        <a16:creationId xmlns:a16="http://schemas.microsoft.com/office/drawing/2014/main" id="{00000000-0008-0000-0300-000010100000}"/>
                      </a:ext>
                    </a:extLst>
                  </xdr:cNvPr>
                  <xdr:cNvSpPr/>
                </xdr:nvSpPr>
                <xdr:spPr bwMode="auto">
                  <a:xfrm>
                    <a:off x="1139737" y="5834063"/>
                    <a:ext cx="784313" cy="36195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4113" name="Option Button 17" hidden="1">
                    <a:extLst>
                      <a:ext uri="{63B3BB69-23CF-44E3-9099-C40C66FF867C}">
                        <a14:compatExt spid="_x0000_s4113"/>
                      </a:ext>
                      <a:ext uri="{FF2B5EF4-FFF2-40B4-BE49-F238E27FC236}">
                        <a16:creationId xmlns:a16="http://schemas.microsoft.com/office/drawing/2014/main" id="{00000000-0008-0000-0300-000011100000}"/>
                      </a:ext>
                    </a:extLst>
                  </xdr:cNvPr>
                  <xdr:cNvSpPr/>
                </xdr:nvSpPr>
                <xdr:spPr bwMode="auto">
                  <a:xfrm>
                    <a:off x="2206537" y="5834063"/>
                    <a:ext cx="657225" cy="36195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4114" name="Option Button 18" hidden="1">
                    <a:extLst>
                      <a:ext uri="{63B3BB69-23CF-44E3-9099-C40C66FF867C}">
                        <a14:compatExt spid="_x0000_s4114"/>
                      </a:ext>
                      <a:ext uri="{FF2B5EF4-FFF2-40B4-BE49-F238E27FC236}">
                        <a16:creationId xmlns:a16="http://schemas.microsoft.com/office/drawing/2014/main" id="{00000000-0008-0000-0300-000012100000}"/>
                      </a:ext>
                    </a:extLst>
                  </xdr:cNvPr>
                  <xdr:cNvSpPr/>
                </xdr:nvSpPr>
                <xdr:spPr bwMode="auto">
                  <a:xfrm>
                    <a:off x="3044737" y="5834063"/>
                    <a:ext cx="790575" cy="36195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4115" name="Option Button 19" hidden="1">
                    <a:extLst>
                      <a:ext uri="{63B3BB69-23CF-44E3-9099-C40C66FF867C}">
                        <a14:compatExt spid="_x0000_s4115"/>
                      </a:ext>
                      <a:ext uri="{FF2B5EF4-FFF2-40B4-BE49-F238E27FC236}">
                        <a16:creationId xmlns:a16="http://schemas.microsoft.com/office/drawing/2014/main" id="{00000000-0008-0000-0300-000013100000}"/>
                      </a:ext>
                    </a:extLst>
                  </xdr:cNvPr>
                  <xdr:cNvSpPr/>
                </xdr:nvSpPr>
                <xdr:spPr bwMode="auto">
                  <a:xfrm>
                    <a:off x="4006762" y="5834063"/>
                    <a:ext cx="1003388" cy="36195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mc:Choice>
          <mc:Fallback/>
        </mc:AlternateContent>
      </xdr:grpSp>
      <xdr:sp macro="" textlink="Pivot_tables!AI32">
        <xdr:nvSpPr>
          <xdr:cNvPr id="50" name="TextBox 49">
            <a:extLst>
              <a:ext uri="{FF2B5EF4-FFF2-40B4-BE49-F238E27FC236}">
                <a16:creationId xmlns:a16="http://schemas.microsoft.com/office/drawing/2014/main" id="{00000000-0008-0000-0300-000032000000}"/>
              </a:ext>
            </a:extLst>
          </xdr:cNvPr>
          <xdr:cNvSpPr txBox="1"/>
        </xdr:nvSpPr>
        <xdr:spPr>
          <a:xfrm>
            <a:off x="820650" y="5448300"/>
            <a:ext cx="4067174" cy="3429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CA" sz="1800">
                <a:solidFill>
                  <a:schemeClr val="bg1"/>
                </a:solidFill>
                <a:latin typeface="Avenir Next LT Pro" panose="020B0504020202020204" pitchFamily="34" charset="0"/>
              </a:rPr>
              <a:t>Regional</a:t>
            </a:r>
          </a:p>
        </xdr:txBody>
      </xdr:sp>
    </xdr:grpSp>
    <xdr:clientData/>
  </xdr:twoCellAnchor>
  <xdr:twoCellAnchor>
    <xdr:from>
      <xdr:col>8</xdr:col>
      <xdr:colOff>228600</xdr:colOff>
      <xdr:row>31</xdr:row>
      <xdr:rowOff>28575</xdr:rowOff>
    </xdr:from>
    <xdr:to>
      <xdr:col>9</xdr:col>
      <xdr:colOff>519000</xdr:colOff>
      <xdr:row>54</xdr:row>
      <xdr:rowOff>47624</xdr:rowOff>
    </xdr:to>
    <xdr:grpSp>
      <xdr:nvGrpSpPr>
        <xdr:cNvPr id="4098" name="Group 4097">
          <a:extLst>
            <a:ext uri="{FF2B5EF4-FFF2-40B4-BE49-F238E27FC236}">
              <a16:creationId xmlns:a16="http://schemas.microsoft.com/office/drawing/2014/main" id="{00000000-0008-0000-0300-000002100000}"/>
            </a:ext>
          </a:extLst>
        </xdr:cNvPr>
        <xdr:cNvGrpSpPr/>
      </xdr:nvGrpSpPr>
      <xdr:grpSpPr>
        <a:xfrm>
          <a:off x="5105400" y="5048250"/>
          <a:ext cx="900000" cy="3743324"/>
          <a:chOff x="5229225" y="5210175"/>
          <a:chExt cx="900000" cy="3743324"/>
        </a:xfrm>
      </xdr:grpSpPr>
      <xdr:sp macro="" textlink="">
        <xdr:nvSpPr>
          <xdr:cNvPr id="4096" name="Rectangle: Rounded Corners 4095">
            <a:extLst>
              <a:ext uri="{FF2B5EF4-FFF2-40B4-BE49-F238E27FC236}">
                <a16:creationId xmlns:a16="http://schemas.microsoft.com/office/drawing/2014/main" id="{00000000-0008-0000-0300-000000100000}"/>
              </a:ext>
            </a:extLst>
          </xdr:cNvPr>
          <xdr:cNvSpPr/>
        </xdr:nvSpPr>
        <xdr:spPr>
          <a:xfrm>
            <a:off x="5229225" y="5210175"/>
            <a:ext cx="900000" cy="3743324"/>
          </a:xfrm>
          <a:prstGeom prst="roundRect">
            <a:avLst/>
          </a:prstGeom>
          <a:gradFill>
            <a:gsLst>
              <a:gs pos="0">
                <a:srgbClr val="DC25FA">
                  <a:alpha val="20000"/>
                </a:srgbClr>
              </a:gs>
              <a:gs pos="63000">
                <a:srgbClr val="9947F7">
                  <a:alpha val="20000"/>
                </a:srgbClr>
              </a:gs>
            </a:gsLst>
            <a:lin ang="3900000" scaled="0"/>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sp macro="" textlink="Pivot_tables!AI33">
        <xdr:nvSpPr>
          <xdr:cNvPr id="4097" name="TextBox 4096">
            <a:extLst>
              <a:ext uri="{FF2B5EF4-FFF2-40B4-BE49-F238E27FC236}">
                <a16:creationId xmlns:a16="http://schemas.microsoft.com/office/drawing/2014/main" id="{00000000-0008-0000-0300-000001100000}"/>
              </a:ext>
            </a:extLst>
          </xdr:cNvPr>
          <xdr:cNvSpPr txBox="1"/>
        </xdr:nvSpPr>
        <xdr:spPr>
          <a:xfrm>
            <a:off x="5277563" y="5318475"/>
            <a:ext cx="803325" cy="4632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ctr"/>
            <a:r>
              <a:rPr lang="en-US" sz="1200" b="0" i="0" u="none" strike="noStrike">
                <a:solidFill>
                  <a:srgbClr val="B1F5F1"/>
                </a:solidFill>
                <a:latin typeface="Avenir Next LT Pro Light" panose="020B0304020202020204" pitchFamily="34" charset="0"/>
                <a:cs typeface="+mn-cs"/>
              </a:rPr>
              <a:t>Regional Totals</a:t>
            </a:r>
          </a:p>
        </xdr:txBody>
      </xdr:sp>
      <xdr:grpSp>
        <xdr:nvGrpSpPr>
          <xdr:cNvPr id="59" name="Group 58">
            <a:extLst>
              <a:ext uri="{FF2B5EF4-FFF2-40B4-BE49-F238E27FC236}">
                <a16:creationId xmlns:a16="http://schemas.microsoft.com/office/drawing/2014/main" id="{00000000-0008-0000-0300-00003B000000}"/>
              </a:ext>
            </a:extLst>
          </xdr:cNvPr>
          <xdr:cNvGrpSpPr/>
        </xdr:nvGrpSpPr>
        <xdr:grpSpPr>
          <a:xfrm>
            <a:off x="5277563" y="5842348"/>
            <a:ext cx="803325" cy="2964754"/>
            <a:chOff x="5286375" y="5918548"/>
            <a:chExt cx="803325" cy="2964754"/>
          </a:xfrm>
        </xdr:grpSpPr>
        <xdr:grpSp>
          <xdr:nvGrpSpPr>
            <xdr:cNvPr id="26" name="Group 25">
              <a:extLst>
                <a:ext uri="{FF2B5EF4-FFF2-40B4-BE49-F238E27FC236}">
                  <a16:creationId xmlns:a16="http://schemas.microsoft.com/office/drawing/2014/main" id="{00000000-0008-0000-0300-00001A000000}"/>
                </a:ext>
              </a:extLst>
            </xdr:cNvPr>
            <xdr:cNvGrpSpPr/>
          </xdr:nvGrpSpPr>
          <xdr:grpSpPr>
            <a:xfrm>
              <a:off x="5286375" y="5918548"/>
              <a:ext cx="803325" cy="529877"/>
              <a:chOff x="5277563" y="5994748"/>
              <a:chExt cx="803325" cy="529877"/>
            </a:xfrm>
          </xdr:grpSpPr>
          <xdr:sp macro="" textlink="">
            <xdr:nvSpPr>
              <xdr:cNvPr id="4106" name="TextBox 4105">
                <a:extLst>
                  <a:ext uri="{FF2B5EF4-FFF2-40B4-BE49-F238E27FC236}">
                    <a16:creationId xmlns:a16="http://schemas.microsoft.com/office/drawing/2014/main" id="{00000000-0008-0000-0300-00000A100000}"/>
                  </a:ext>
                </a:extLst>
              </xdr:cNvPr>
              <xdr:cNvSpPr txBox="1"/>
            </xdr:nvSpPr>
            <xdr:spPr>
              <a:xfrm>
                <a:off x="5277563" y="5994748"/>
                <a:ext cx="803325" cy="253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ctr"/>
                <a:r>
                  <a:rPr lang="en-US" b="0" i="0" u="sng" strike="noStrike">
                    <a:solidFill>
                      <a:schemeClr val="bg1"/>
                    </a:solidFill>
                    <a:cs typeface="+mn-cs"/>
                  </a:rPr>
                  <a:t>Sales</a:t>
                </a:r>
              </a:p>
            </xdr:txBody>
          </xdr:sp>
          <xdr:sp macro="" textlink="Pivot_tables!AJ37">
            <xdr:nvSpPr>
              <xdr:cNvPr id="17" name="TextBox 16">
                <a:extLst>
                  <a:ext uri="{FF2B5EF4-FFF2-40B4-BE49-F238E27FC236}">
                    <a16:creationId xmlns:a16="http://schemas.microsoft.com/office/drawing/2014/main" id="{00000000-0008-0000-0300-000011000000}"/>
                  </a:ext>
                </a:extLst>
              </xdr:cNvPr>
              <xdr:cNvSpPr txBox="1"/>
            </xdr:nvSpPr>
            <xdr:spPr>
              <a:xfrm>
                <a:off x="5277563" y="6270973"/>
                <a:ext cx="803325" cy="253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ctr"/>
                <a:fld id="{E32ABF7D-175A-428B-818D-F2D703D8B3B6}" type="TxLink">
                  <a:rPr lang="en-US" sz="1100" b="0" i="0" u="none" strike="noStrike">
                    <a:solidFill>
                      <a:schemeClr val="bg1"/>
                    </a:solidFill>
                    <a:latin typeface="Avenir Next LT Pro"/>
                    <a:cs typeface="+mn-cs"/>
                  </a:rPr>
                  <a:pPr algn="ctr"/>
                  <a:t> 441,446 </a:t>
                </a:fld>
                <a:endParaRPr lang="en-US" sz="1100" b="0" i="0" u="none" strike="noStrike">
                  <a:solidFill>
                    <a:schemeClr val="bg1"/>
                  </a:solidFill>
                  <a:latin typeface="Avenir Next LT Pro"/>
                  <a:cs typeface="+mn-cs"/>
                </a:endParaRPr>
              </a:p>
            </xdr:txBody>
          </xdr:sp>
        </xdr:grpSp>
        <xdr:grpSp>
          <xdr:nvGrpSpPr>
            <xdr:cNvPr id="33" name="Group 32">
              <a:extLst>
                <a:ext uri="{FF2B5EF4-FFF2-40B4-BE49-F238E27FC236}">
                  <a16:creationId xmlns:a16="http://schemas.microsoft.com/office/drawing/2014/main" id="{00000000-0008-0000-0300-000021000000}"/>
                </a:ext>
              </a:extLst>
            </xdr:cNvPr>
            <xdr:cNvGrpSpPr/>
          </xdr:nvGrpSpPr>
          <xdr:grpSpPr>
            <a:xfrm>
              <a:off x="5286375" y="6527267"/>
              <a:ext cx="803325" cy="529877"/>
              <a:chOff x="5277563" y="5994748"/>
              <a:chExt cx="803325" cy="529877"/>
            </a:xfrm>
          </xdr:grpSpPr>
          <xdr:sp macro="" textlink="">
            <xdr:nvSpPr>
              <xdr:cNvPr id="34" name="TextBox 33">
                <a:extLst>
                  <a:ext uri="{FF2B5EF4-FFF2-40B4-BE49-F238E27FC236}">
                    <a16:creationId xmlns:a16="http://schemas.microsoft.com/office/drawing/2014/main" id="{00000000-0008-0000-0300-000022000000}"/>
                  </a:ext>
                </a:extLst>
              </xdr:cNvPr>
              <xdr:cNvSpPr txBox="1"/>
            </xdr:nvSpPr>
            <xdr:spPr>
              <a:xfrm>
                <a:off x="5277563" y="5994748"/>
                <a:ext cx="803325" cy="253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ctr"/>
                <a:r>
                  <a:rPr lang="en-US" b="0" i="0" u="sng" strike="noStrike">
                    <a:solidFill>
                      <a:schemeClr val="bg1"/>
                    </a:solidFill>
                    <a:cs typeface="+mn-cs"/>
                  </a:rPr>
                  <a:t>Profit</a:t>
                </a:r>
              </a:p>
            </xdr:txBody>
          </xdr:sp>
          <xdr:sp macro="" textlink="Pivot_tables!AI37">
            <xdr:nvSpPr>
              <xdr:cNvPr id="36" name="TextBox 35">
                <a:extLst>
                  <a:ext uri="{FF2B5EF4-FFF2-40B4-BE49-F238E27FC236}">
                    <a16:creationId xmlns:a16="http://schemas.microsoft.com/office/drawing/2014/main" id="{00000000-0008-0000-0300-000024000000}"/>
                  </a:ext>
                </a:extLst>
              </xdr:cNvPr>
              <xdr:cNvSpPr txBox="1"/>
            </xdr:nvSpPr>
            <xdr:spPr>
              <a:xfrm>
                <a:off x="5277563" y="6270973"/>
                <a:ext cx="803325" cy="253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ctr"/>
                <a:fld id="{826B3038-B1F0-499E-AA47-181588FDB69D}" type="TxLink">
                  <a:rPr lang="en-US" sz="1100" b="0" i="0" u="none" strike="noStrike">
                    <a:solidFill>
                      <a:schemeClr val="bg1"/>
                    </a:solidFill>
                    <a:latin typeface="Avenir Next LT Pro"/>
                    <a:cs typeface="+mn-cs"/>
                  </a:rPr>
                  <a:pPr algn="ctr"/>
                  <a:t> 78,646 </a:t>
                </a:fld>
                <a:endParaRPr lang="en-US" sz="1100" b="0" i="0" u="none" strike="noStrike">
                  <a:solidFill>
                    <a:schemeClr val="bg1"/>
                  </a:solidFill>
                  <a:latin typeface="Avenir Next LT Pro"/>
                  <a:cs typeface="+mn-cs"/>
                </a:endParaRPr>
              </a:p>
            </xdr:txBody>
          </xdr:sp>
        </xdr:grpSp>
        <xdr:grpSp>
          <xdr:nvGrpSpPr>
            <xdr:cNvPr id="37" name="Group 36">
              <a:extLst>
                <a:ext uri="{FF2B5EF4-FFF2-40B4-BE49-F238E27FC236}">
                  <a16:creationId xmlns:a16="http://schemas.microsoft.com/office/drawing/2014/main" id="{00000000-0008-0000-0300-000025000000}"/>
                </a:ext>
              </a:extLst>
            </xdr:cNvPr>
            <xdr:cNvGrpSpPr/>
          </xdr:nvGrpSpPr>
          <xdr:grpSpPr>
            <a:xfrm>
              <a:off x="5286375" y="7135986"/>
              <a:ext cx="803325" cy="529877"/>
              <a:chOff x="5277563" y="5994748"/>
              <a:chExt cx="803325" cy="529877"/>
            </a:xfrm>
          </xdr:grpSpPr>
          <xdr:sp macro="" textlink="">
            <xdr:nvSpPr>
              <xdr:cNvPr id="42" name="TextBox 41">
                <a:extLst>
                  <a:ext uri="{FF2B5EF4-FFF2-40B4-BE49-F238E27FC236}">
                    <a16:creationId xmlns:a16="http://schemas.microsoft.com/office/drawing/2014/main" id="{00000000-0008-0000-0300-00002A000000}"/>
                  </a:ext>
                </a:extLst>
              </xdr:cNvPr>
              <xdr:cNvSpPr txBox="1"/>
            </xdr:nvSpPr>
            <xdr:spPr>
              <a:xfrm>
                <a:off x="5277563" y="5994748"/>
                <a:ext cx="803325" cy="253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ctr"/>
                <a:r>
                  <a:rPr lang="en-US" b="0" i="0" u="sng" strike="noStrike">
                    <a:solidFill>
                      <a:schemeClr val="bg1"/>
                    </a:solidFill>
                    <a:cs typeface="+mn-cs"/>
                  </a:rPr>
                  <a:t>Discount</a:t>
                </a:r>
              </a:p>
            </xdr:txBody>
          </xdr:sp>
          <xdr:sp macro="" textlink="Pivot_tables!AH37">
            <xdr:nvSpPr>
              <xdr:cNvPr id="45" name="TextBox 44">
                <a:extLst>
                  <a:ext uri="{FF2B5EF4-FFF2-40B4-BE49-F238E27FC236}">
                    <a16:creationId xmlns:a16="http://schemas.microsoft.com/office/drawing/2014/main" id="{00000000-0008-0000-0300-00002D000000}"/>
                  </a:ext>
                </a:extLst>
              </xdr:cNvPr>
              <xdr:cNvSpPr txBox="1"/>
            </xdr:nvSpPr>
            <xdr:spPr>
              <a:xfrm>
                <a:off x="5277563" y="6270973"/>
                <a:ext cx="803325" cy="253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ctr"/>
                <a:fld id="{7DD3DFF6-E55B-4182-84B0-75039C1F075A}" type="TxLink">
                  <a:rPr lang="en-US" sz="1100" b="0" i="0" u="none" strike="noStrike">
                    <a:solidFill>
                      <a:schemeClr val="bg1"/>
                    </a:solidFill>
                    <a:latin typeface="Avenir Next LT Pro"/>
                    <a:cs typeface="+mn-cs"/>
                  </a:rPr>
                  <a:pPr algn="ctr"/>
                  <a:t> 27 </a:t>
                </a:fld>
                <a:endParaRPr lang="en-US" sz="1100" b="0" i="0" u="none" strike="noStrike">
                  <a:solidFill>
                    <a:schemeClr val="bg1"/>
                  </a:solidFill>
                  <a:latin typeface="Avenir Next LT Pro"/>
                  <a:cs typeface="+mn-cs"/>
                </a:endParaRPr>
              </a:p>
            </xdr:txBody>
          </xdr:sp>
        </xdr:grpSp>
        <xdr:grpSp>
          <xdr:nvGrpSpPr>
            <xdr:cNvPr id="47" name="Group 46">
              <a:extLst>
                <a:ext uri="{FF2B5EF4-FFF2-40B4-BE49-F238E27FC236}">
                  <a16:creationId xmlns:a16="http://schemas.microsoft.com/office/drawing/2014/main" id="{00000000-0008-0000-0300-00002F000000}"/>
                </a:ext>
              </a:extLst>
            </xdr:cNvPr>
            <xdr:cNvGrpSpPr/>
          </xdr:nvGrpSpPr>
          <xdr:grpSpPr>
            <a:xfrm>
              <a:off x="5286375" y="7744705"/>
              <a:ext cx="803325" cy="529877"/>
              <a:chOff x="5277563" y="5994748"/>
              <a:chExt cx="803325" cy="529877"/>
            </a:xfrm>
          </xdr:grpSpPr>
          <xdr:sp macro="" textlink="">
            <xdr:nvSpPr>
              <xdr:cNvPr id="48" name="TextBox 47">
                <a:extLst>
                  <a:ext uri="{FF2B5EF4-FFF2-40B4-BE49-F238E27FC236}">
                    <a16:creationId xmlns:a16="http://schemas.microsoft.com/office/drawing/2014/main" id="{00000000-0008-0000-0300-000030000000}"/>
                  </a:ext>
                </a:extLst>
              </xdr:cNvPr>
              <xdr:cNvSpPr txBox="1"/>
            </xdr:nvSpPr>
            <xdr:spPr>
              <a:xfrm>
                <a:off x="5277563" y="5994748"/>
                <a:ext cx="803325" cy="253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ctr"/>
                <a:r>
                  <a:rPr lang="en-US" b="0" i="0" u="sng" strike="noStrike">
                    <a:solidFill>
                      <a:schemeClr val="bg1"/>
                    </a:solidFill>
                    <a:cs typeface="+mn-cs"/>
                  </a:rPr>
                  <a:t>Cost</a:t>
                </a:r>
              </a:p>
            </xdr:txBody>
          </xdr:sp>
          <xdr:sp macro="" textlink="Pivot_tables!AF37">
            <xdr:nvSpPr>
              <xdr:cNvPr id="49" name="TextBox 48">
                <a:extLst>
                  <a:ext uri="{FF2B5EF4-FFF2-40B4-BE49-F238E27FC236}">
                    <a16:creationId xmlns:a16="http://schemas.microsoft.com/office/drawing/2014/main" id="{00000000-0008-0000-0300-000031000000}"/>
                  </a:ext>
                </a:extLst>
              </xdr:cNvPr>
              <xdr:cNvSpPr txBox="1"/>
            </xdr:nvSpPr>
            <xdr:spPr>
              <a:xfrm>
                <a:off x="5277563" y="6270973"/>
                <a:ext cx="803325" cy="253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ctr"/>
                <a:fld id="{1F586AB3-E833-47CF-9400-7E7E45A09FD3}" type="TxLink">
                  <a:rPr lang="en-US" sz="1100" b="0" i="0" u="none" strike="noStrike">
                    <a:solidFill>
                      <a:schemeClr val="bg1"/>
                    </a:solidFill>
                    <a:latin typeface="Avenir Next LT Pro"/>
                    <a:cs typeface="+mn-cs"/>
                  </a:rPr>
                  <a:pPr algn="ctr"/>
                  <a:t> 335,102 </a:t>
                </a:fld>
                <a:endParaRPr lang="en-US" sz="1100" b="0" i="0" u="none" strike="noStrike">
                  <a:solidFill>
                    <a:schemeClr val="bg1"/>
                  </a:solidFill>
                  <a:latin typeface="Avenir Next LT Pro"/>
                  <a:cs typeface="+mn-cs"/>
                </a:endParaRPr>
              </a:p>
            </xdr:txBody>
          </xdr:sp>
        </xdr:grpSp>
        <xdr:grpSp>
          <xdr:nvGrpSpPr>
            <xdr:cNvPr id="51" name="Group 50">
              <a:extLst>
                <a:ext uri="{FF2B5EF4-FFF2-40B4-BE49-F238E27FC236}">
                  <a16:creationId xmlns:a16="http://schemas.microsoft.com/office/drawing/2014/main" id="{00000000-0008-0000-0300-000033000000}"/>
                </a:ext>
              </a:extLst>
            </xdr:cNvPr>
            <xdr:cNvGrpSpPr/>
          </xdr:nvGrpSpPr>
          <xdr:grpSpPr>
            <a:xfrm>
              <a:off x="5286375" y="8353425"/>
              <a:ext cx="803325" cy="529877"/>
              <a:chOff x="5277563" y="5994748"/>
              <a:chExt cx="803325" cy="529877"/>
            </a:xfrm>
          </xdr:grpSpPr>
          <xdr:sp macro="" textlink="">
            <xdr:nvSpPr>
              <xdr:cNvPr id="52" name="TextBox 51">
                <a:extLst>
                  <a:ext uri="{FF2B5EF4-FFF2-40B4-BE49-F238E27FC236}">
                    <a16:creationId xmlns:a16="http://schemas.microsoft.com/office/drawing/2014/main" id="{00000000-0008-0000-0300-000034000000}"/>
                  </a:ext>
                </a:extLst>
              </xdr:cNvPr>
              <xdr:cNvSpPr txBox="1"/>
            </xdr:nvSpPr>
            <xdr:spPr>
              <a:xfrm>
                <a:off x="5277563" y="5994748"/>
                <a:ext cx="803325" cy="253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ctr"/>
                <a:r>
                  <a:rPr lang="en-US" b="0" i="0" u="sng" strike="noStrike">
                    <a:solidFill>
                      <a:schemeClr val="bg1"/>
                    </a:solidFill>
                    <a:cs typeface="+mn-cs"/>
                  </a:rPr>
                  <a:t>Shipping</a:t>
                </a:r>
              </a:p>
            </xdr:txBody>
          </xdr:sp>
          <xdr:sp macro="" textlink="Pivot_tables!AG37">
            <xdr:nvSpPr>
              <xdr:cNvPr id="54" name="TextBox 53">
                <a:extLst>
                  <a:ext uri="{FF2B5EF4-FFF2-40B4-BE49-F238E27FC236}">
                    <a16:creationId xmlns:a16="http://schemas.microsoft.com/office/drawing/2014/main" id="{00000000-0008-0000-0300-000036000000}"/>
                  </a:ext>
                </a:extLst>
              </xdr:cNvPr>
              <xdr:cNvSpPr txBox="1"/>
            </xdr:nvSpPr>
            <xdr:spPr>
              <a:xfrm>
                <a:off x="5277563" y="6270973"/>
                <a:ext cx="803325" cy="253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ctr"/>
                <a:fld id="{9FCCA1EF-E414-4265-9C71-3BDCBCDFEB98}" type="TxLink">
                  <a:rPr lang="en-US" sz="1100" b="0" i="0" u="none" strike="noStrike">
                    <a:solidFill>
                      <a:schemeClr val="bg1"/>
                    </a:solidFill>
                    <a:latin typeface="Avenir Next LT Pro"/>
                    <a:cs typeface="+mn-cs"/>
                  </a:rPr>
                  <a:pPr algn="ctr"/>
                  <a:t> 7,021 </a:t>
                </a:fld>
                <a:endParaRPr lang="en-US" sz="1100" b="0" i="0" u="none" strike="noStrike">
                  <a:solidFill>
                    <a:schemeClr val="bg1"/>
                  </a:solidFill>
                  <a:latin typeface="Avenir Next LT Pro"/>
                  <a:cs typeface="+mn-cs"/>
                </a:endParaRPr>
              </a:p>
            </xdr:txBody>
          </xdr:sp>
        </xdr:grpSp>
      </xdr:grpSp>
    </xdr:grpSp>
    <xdr:clientData/>
  </xdr:twoCellAnchor>
  <xdr:twoCellAnchor>
    <xdr:from>
      <xdr:col>1</xdr:col>
      <xdr:colOff>8435</xdr:colOff>
      <xdr:row>5</xdr:row>
      <xdr:rowOff>28575</xdr:rowOff>
    </xdr:from>
    <xdr:to>
      <xdr:col>8</xdr:col>
      <xdr:colOff>61235</xdr:colOff>
      <xdr:row>8</xdr:row>
      <xdr:rowOff>82800</xdr:rowOff>
    </xdr:to>
    <xdr:grpSp>
      <xdr:nvGrpSpPr>
        <xdr:cNvPr id="9" name="Group 8">
          <a:extLst>
            <a:ext uri="{FF2B5EF4-FFF2-40B4-BE49-F238E27FC236}">
              <a16:creationId xmlns:a16="http://schemas.microsoft.com/office/drawing/2014/main" id="{00000000-0008-0000-0300-000009000000}"/>
            </a:ext>
          </a:extLst>
        </xdr:cNvPr>
        <xdr:cNvGrpSpPr/>
      </xdr:nvGrpSpPr>
      <xdr:grpSpPr>
        <a:xfrm>
          <a:off x="618035" y="838200"/>
          <a:ext cx="4320000" cy="540000"/>
          <a:chOff x="618035" y="838200"/>
          <a:chExt cx="4320000" cy="540000"/>
        </a:xfrm>
      </xdr:grpSpPr>
      <xdr:sp macro="" textlink="">
        <xdr:nvSpPr>
          <xdr:cNvPr id="46" name="Rectangle: Rounded Corners 45">
            <a:extLst>
              <a:ext uri="{FF2B5EF4-FFF2-40B4-BE49-F238E27FC236}">
                <a16:creationId xmlns:a16="http://schemas.microsoft.com/office/drawing/2014/main" id="{00000000-0008-0000-0300-00002E000000}"/>
              </a:ext>
            </a:extLst>
          </xdr:cNvPr>
          <xdr:cNvSpPr/>
        </xdr:nvSpPr>
        <xdr:spPr>
          <a:xfrm>
            <a:off x="618035" y="838200"/>
            <a:ext cx="4320000" cy="540000"/>
          </a:xfrm>
          <a:prstGeom prst="roundRect">
            <a:avLst/>
          </a:prstGeom>
          <a:gradFill>
            <a:gsLst>
              <a:gs pos="0">
                <a:srgbClr val="DC25FA">
                  <a:alpha val="20000"/>
                </a:srgbClr>
              </a:gs>
              <a:gs pos="63000">
                <a:srgbClr val="9947F7">
                  <a:alpha val="20000"/>
                </a:srgbClr>
              </a:gs>
            </a:gsLst>
            <a:lin ang="3900000" scaled="0"/>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sp macro="" textlink="Pivot_tables!Z6">
        <xdr:nvSpPr>
          <xdr:cNvPr id="13" name="TextBox 12">
            <a:extLst>
              <a:ext uri="{FF2B5EF4-FFF2-40B4-BE49-F238E27FC236}">
                <a16:creationId xmlns:a16="http://schemas.microsoft.com/office/drawing/2014/main" id="{00000000-0008-0000-0300-00000D000000}"/>
              </a:ext>
            </a:extLst>
          </xdr:cNvPr>
          <xdr:cNvSpPr txBox="1"/>
        </xdr:nvSpPr>
        <xdr:spPr>
          <a:xfrm>
            <a:off x="647700" y="936750"/>
            <a:ext cx="4276725" cy="3429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1600" b="0" i="0" u="none" strike="noStrike">
                <a:solidFill>
                  <a:schemeClr val="bg1"/>
                </a:solidFill>
                <a:latin typeface="Avenir Next LT Pro"/>
                <a:cs typeface="Arial"/>
              </a:rPr>
              <a:t>Regional </a:t>
            </a:r>
            <a:fld id="{F5410F25-25F5-4B3E-BA05-22E01006A505}" type="TxLink">
              <a:rPr lang="en-US" sz="1600" b="0" i="0" u="none" strike="noStrike">
                <a:solidFill>
                  <a:schemeClr val="bg1"/>
                </a:solidFill>
                <a:latin typeface="Avenir Next LT Pro"/>
                <a:cs typeface="Arial"/>
              </a:rPr>
              <a:pPr algn="ctr"/>
              <a:t>Distribution of the All other Cost</a:t>
            </a:fld>
            <a:endParaRPr lang="en-CA" sz="1600">
              <a:solidFill>
                <a:schemeClr val="bg1"/>
              </a:solidFill>
              <a:latin typeface="Avenir Next LT Pro" panose="020B0504020202020204" pitchFamily="34" charset="0"/>
            </a:endParaRPr>
          </a:p>
        </xdr:txBody>
      </xdr:sp>
    </xdr:grpSp>
    <xdr:clientData/>
  </xdr:twoCellAnchor>
  <xdr:twoCellAnchor>
    <xdr:from>
      <xdr:col>1</xdr:col>
      <xdr:colOff>8437</xdr:colOff>
      <xdr:row>21</xdr:row>
      <xdr:rowOff>95250</xdr:rowOff>
    </xdr:from>
    <xdr:to>
      <xdr:col>4</xdr:col>
      <xdr:colOff>249637</xdr:colOff>
      <xdr:row>29</xdr:row>
      <xdr:rowOff>149850</xdr:rowOff>
    </xdr:to>
    <xdr:grpSp>
      <xdr:nvGrpSpPr>
        <xdr:cNvPr id="15" name="Group 14">
          <a:extLst>
            <a:ext uri="{FF2B5EF4-FFF2-40B4-BE49-F238E27FC236}">
              <a16:creationId xmlns:a16="http://schemas.microsoft.com/office/drawing/2014/main" id="{00000000-0008-0000-0300-00000F000000}"/>
            </a:ext>
          </a:extLst>
        </xdr:cNvPr>
        <xdr:cNvGrpSpPr/>
      </xdr:nvGrpSpPr>
      <xdr:grpSpPr>
        <a:xfrm>
          <a:off x="618037" y="3495675"/>
          <a:ext cx="2070000" cy="1350000"/>
          <a:chOff x="962024" y="3276600"/>
          <a:chExt cx="2070000" cy="1350000"/>
        </a:xfrm>
      </xdr:grpSpPr>
      <xdr:sp macro="" textlink="">
        <xdr:nvSpPr>
          <xdr:cNvPr id="205" name="Rectangle: Rounded Corners 204">
            <a:extLst>
              <a:ext uri="{FF2B5EF4-FFF2-40B4-BE49-F238E27FC236}">
                <a16:creationId xmlns:a16="http://schemas.microsoft.com/office/drawing/2014/main" id="{00000000-0008-0000-0300-0000CD000000}"/>
              </a:ext>
            </a:extLst>
          </xdr:cNvPr>
          <xdr:cNvSpPr/>
        </xdr:nvSpPr>
        <xdr:spPr>
          <a:xfrm>
            <a:off x="962024" y="3276600"/>
            <a:ext cx="2070000" cy="1350000"/>
          </a:xfrm>
          <a:prstGeom prst="roundRect">
            <a:avLst/>
          </a:prstGeom>
          <a:gradFill>
            <a:gsLst>
              <a:gs pos="0">
                <a:srgbClr val="DC25FA">
                  <a:alpha val="20000"/>
                </a:srgbClr>
              </a:gs>
              <a:gs pos="63000">
                <a:srgbClr val="9947F7">
                  <a:alpha val="20000"/>
                </a:srgbClr>
              </a:gs>
            </a:gsLst>
            <a:lin ang="3900000" scaled="0"/>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sp macro="" textlink="Pivot_tables!Z7">
        <xdr:nvSpPr>
          <xdr:cNvPr id="39" name="TextBox 38">
            <a:extLst>
              <a:ext uri="{FF2B5EF4-FFF2-40B4-BE49-F238E27FC236}">
                <a16:creationId xmlns:a16="http://schemas.microsoft.com/office/drawing/2014/main" id="{00000000-0008-0000-0300-000027000000}"/>
              </a:ext>
            </a:extLst>
          </xdr:cNvPr>
          <xdr:cNvSpPr txBox="1"/>
        </xdr:nvSpPr>
        <xdr:spPr>
          <a:xfrm>
            <a:off x="1054049" y="3553801"/>
            <a:ext cx="1885950" cy="3143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ctr"/>
            <a:fld id="{84067C53-E063-4E06-9F36-0100CEE2FD54}" type="TxLink">
              <a:rPr lang="en-US" sz="1400" b="0" i="0" u="none" strike="noStrike">
                <a:solidFill>
                  <a:schemeClr val="bg1"/>
                </a:solidFill>
                <a:latin typeface="Avenir Next LT Pro"/>
                <a:cs typeface="Arial"/>
              </a:rPr>
              <a:pPr algn="ctr"/>
              <a:t>Total Sales</a:t>
            </a:fld>
            <a:endParaRPr lang="en-US" sz="1400" b="0" i="0" u="none" strike="noStrike">
              <a:solidFill>
                <a:schemeClr val="bg1"/>
              </a:solidFill>
              <a:latin typeface="Avenir Next LT Pro Light" panose="020B0304020202020204" pitchFamily="34" charset="0"/>
              <a:cs typeface="+mn-cs"/>
            </a:endParaRPr>
          </a:p>
        </xdr:txBody>
      </xdr:sp>
      <xdr:sp macro="" textlink="Pivot_tables!AB55">
        <xdr:nvSpPr>
          <xdr:cNvPr id="40" name="TextBox 39">
            <a:extLst>
              <a:ext uri="{FF2B5EF4-FFF2-40B4-BE49-F238E27FC236}">
                <a16:creationId xmlns:a16="http://schemas.microsoft.com/office/drawing/2014/main" id="{00000000-0008-0000-0300-000028000000}"/>
              </a:ext>
            </a:extLst>
          </xdr:cNvPr>
          <xdr:cNvSpPr txBox="1"/>
        </xdr:nvSpPr>
        <xdr:spPr>
          <a:xfrm>
            <a:off x="1047751" y="3865096"/>
            <a:ext cx="1885950" cy="48430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ctr"/>
            <a:fld id="{2EB44A4B-837D-4A17-A264-A1CF0F14684E}" type="TxLink">
              <a:rPr lang="en-US" sz="2400" b="0" i="0" u="none" strike="noStrike">
                <a:solidFill>
                  <a:schemeClr val="bg1"/>
                </a:solidFill>
                <a:latin typeface="Avenir Next LT Pro"/>
                <a:cs typeface="Arial"/>
              </a:rPr>
              <a:pPr algn="ctr"/>
              <a:t>$1,881,525</a:t>
            </a:fld>
            <a:endParaRPr lang="en-US" sz="4800" b="0" i="0" u="none" strike="noStrike">
              <a:solidFill>
                <a:schemeClr val="bg1"/>
              </a:solidFill>
              <a:latin typeface="Avenir Next LT Pro Light" panose="020B0304020202020204" pitchFamily="34" charset="0"/>
              <a:cs typeface="Arial"/>
            </a:endParaRPr>
          </a:p>
        </xdr:txBody>
      </xdr:sp>
    </xdr:grpSp>
    <xdr:clientData/>
  </xdr:twoCellAnchor>
  <xdr:twoCellAnchor>
    <xdr:from>
      <xdr:col>4</xdr:col>
      <xdr:colOff>429637</xdr:colOff>
      <xdr:row>21</xdr:row>
      <xdr:rowOff>95250</xdr:rowOff>
    </xdr:from>
    <xdr:to>
      <xdr:col>8</xdr:col>
      <xdr:colOff>61237</xdr:colOff>
      <xdr:row>29</xdr:row>
      <xdr:rowOff>149850</xdr:rowOff>
    </xdr:to>
    <xdr:grpSp>
      <xdr:nvGrpSpPr>
        <xdr:cNvPr id="16" name="Group 15">
          <a:extLst>
            <a:ext uri="{FF2B5EF4-FFF2-40B4-BE49-F238E27FC236}">
              <a16:creationId xmlns:a16="http://schemas.microsoft.com/office/drawing/2014/main" id="{00000000-0008-0000-0300-000010000000}"/>
            </a:ext>
          </a:extLst>
        </xdr:cNvPr>
        <xdr:cNvGrpSpPr/>
      </xdr:nvGrpSpPr>
      <xdr:grpSpPr>
        <a:xfrm>
          <a:off x="2868037" y="3495675"/>
          <a:ext cx="2070000" cy="1350000"/>
          <a:chOff x="3212024" y="3276600"/>
          <a:chExt cx="2070000" cy="1350000"/>
        </a:xfrm>
      </xdr:grpSpPr>
      <xdr:sp macro="" textlink="">
        <xdr:nvSpPr>
          <xdr:cNvPr id="206" name="Rectangle: Rounded Corners 205">
            <a:extLst>
              <a:ext uri="{FF2B5EF4-FFF2-40B4-BE49-F238E27FC236}">
                <a16:creationId xmlns:a16="http://schemas.microsoft.com/office/drawing/2014/main" id="{00000000-0008-0000-0300-0000CE000000}"/>
              </a:ext>
            </a:extLst>
          </xdr:cNvPr>
          <xdr:cNvSpPr/>
        </xdr:nvSpPr>
        <xdr:spPr>
          <a:xfrm>
            <a:off x="3212024" y="3276600"/>
            <a:ext cx="2070000" cy="1350000"/>
          </a:xfrm>
          <a:prstGeom prst="roundRect">
            <a:avLst/>
          </a:prstGeom>
          <a:gradFill>
            <a:gsLst>
              <a:gs pos="0">
                <a:srgbClr val="DC25FA">
                  <a:alpha val="20000"/>
                </a:srgbClr>
              </a:gs>
              <a:gs pos="63000">
                <a:srgbClr val="9947F7">
                  <a:alpha val="20000"/>
                </a:srgbClr>
              </a:gs>
            </a:gsLst>
            <a:lin ang="3900000" scaled="0"/>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sp macro="" textlink="">
        <xdr:nvSpPr>
          <xdr:cNvPr id="43" name="TextBox 42">
            <a:extLst>
              <a:ext uri="{FF2B5EF4-FFF2-40B4-BE49-F238E27FC236}">
                <a16:creationId xmlns:a16="http://schemas.microsoft.com/office/drawing/2014/main" id="{00000000-0008-0000-0300-00002B000000}"/>
              </a:ext>
            </a:extLst>
          </xdr:cNvPr>
          <xdr:cNvSpPr txBox="1"/>
        </xdr:nvSpPr>
        <xdr:spPr>
          <a:xfrm>
            <a:off x="3437399" y="3553801"/>
            <a:ext cx="1619250" cy="34098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1400" b="0" i="0" u="none" strike="noStrike">
                <a:solidFill>
                  <a:schemeClr val="bg1"/>
                </a:solidFill>
                <a:latin typeface="Avenir Next LT Pro Light" panose="020B0304020202020204" pitchFamily="34" charset="0"/>
                <a:cs typeface="+mn-cs"/>
              </a:rPr>
              <a:t>Average Per</a:t>
            </a:r>
            <a:r>
              <a:rPr lang="en-US" sz="1400" b="0" i="0" u="none" strike="noStrike" baseline="0">
                <a:solidFill>
                  <a:schemeClr val="bg1"/>
                </a:solidFill>
                <a:latin typeface="Avenir Next LT Pro Light" panose="020B0304020202020204" pitchFamily="34" charset="0"/>
                <a:cs typeface="+mn-cs"/>
              </a:rPr>
              <a:t> </a:t>
            </a:r>
            <a:r>
              <a:rPr lang="en-US" sz="1400" b="0" i="0" u="none" strike="noStrike">
                <a:solidFill>
                  <a:schemeClr val="bg1"/>
                </a:solidFill>
                <a:latin typeface="Avenir Next LT Pro Light" panose="020B0304020202020204" pitchFamily="34" charset="0"/>
                <a:cs typeface="+mn-cs"/>
              </a:rPr>
              <a:t>State</a:t>
            </a:r>
          </a:p>
        </xdr:txBody>
      </xdr:sp>
      <xdr:sp macro="" textlink="Pivot_tables!AB56">
        <xdr:nvSpPr>
          <xdr:cNvPr id="14" name="TextBox 13">
            <a:extLst>
              <a:ext uri="{FF2B5EF4-FFF2-40B4-BE49-F238E27FC236}">
                <a16:creationId xmlns:a16="http://schemas.microsoft.com/office/drawing/2014/main" id="{00000000-0008-0000-0300-00000E000000}"/>
              </a:ext>
            </a:extLst>
          </xdr:cNvPr>
          <xdr:cNvSpPr txBox="1"/>
        </xdr:nvSpPr>
        <xdr:spPr>
          <a:xfrm>
            <a:off x="3324225" y="3865096"/>
            <a:ext cx="1838325" cy="48430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marR="0" lvl="0" indent="0" algn="ctr" defTabSz="914400" eaLnBrk="1" fontAlgn="auto" latinLnBrk="0" hangingPunct="1">
              <a:lnSpc>
                <a:spcPct val="100000"/>
              </a:lnSpc>
              <a:spcBef>
                <a:spcPts val="0"/>
              </a:spcBef>
              <a:spcAft>
                <a:spcPts val="0"/>
              </a:spcAft>
              <a:buClrTx/>
              <a:buSzTx/>
              <a:buFontTx/>
              <a:buNone/>
              <a:tabLst/>
              <a:defRPr/>
            </a:pPr>
            <a:fld id="{85F78F2F-F834-4128-8E48-201583416BE4}" type="TxLink">
              <a:rPr lang="en-US" sz="2400" b="0" i="0" u="none" strike="noStrike">
                <a:solidFill>
                  <a:schemeClr val="bg1"/>
                </a:solidFill>
                <a:effectLst/>
                <a:latin typeface="Avenir Next LT Pro"/>
                <a:ea typeface="+mn-ea"/>
                <a:cs typeface="+mn-cs"/>
              </a:rPr>
              <a:pPr marL="0" marR="0" lvl="0" indent="0" algn="ctr" defTabSz="914400" eaLnBrk="1" fontAlgn="auto" latinLnBrk="0" hangingPunct="1">
                <a:lnSpc>
                  <a:spcPct val="100000"/>
                </a:lnSpc>
                <a:spcBef>
                  <a:spcPts val="0"/>
                </a:spcBef>
                <a:spcAft>
                  <a:spcPts val="0"/>
                </a:spcAft>
                <a:buClrTx/>
                <a:buSzTx/>
                <a:buFontTx/>
                <a:buNone/>
                <a:tabLst/>
                <a:defRPr/>
              </a:pPr>
              <a:t> 38,398 </a:t>
            </a:fld>
            <a:endParaRPr lang="en-US" sz="2400" b="0" i="0" u="none" strike="noStrike">
              <a:solidFill>
                <a:schemeClr val="bg1"/>
              </a:solidFill>
              <a:latin typeface="Avenir Next LT Pro Light" panose="020B0304020202020204" pitchFamily="34" charset="0"/>
              <a:cs typeface="Arial"/>
            </a:endParaRPr>
          </a:p>
        </xdr:txBody>
      </xdr:sp>
    </xdr:grpSp>
    <xdr:clientData/>
  </xdr:twoCellAnchor>
  <xdr:twoCellAnchor>
    <xdr:from>
      <xdr:col>1</xdr:col>
      <xdr:colOff>8437</xdr:colOff>
      <xdr:row>9</xdr:row>
      <xdr:rowOff>123824</xdr:rowOff>
    </xdr:from>
    <xdr:to>
      <xdr:col>4</xdr:col>
      <xdr:colOff>361950</xdr:colOff>
      <xdr:row>20</xdr:row>
      <xdr:rowOff>70649</xdr:rowOff>
    </xdr:to>
    <xdr:grpSp>
      <xdr:nvGrpSpPr>
        <xdr:cNvPr id="61" name="Group 60">
          <a:extLst>
            <a:ext uri="{FF2B5EF4-FFF2-40B4-BE49-F238E27FC236}">
              <a16:creationId xmlns:a16="http://schemas.microsoft.com/office/drawing/2014/main" id="{00000000-0008-0000-0300-00003D000000}"/>
            </a:ext>
          </a:extLst>
        </xdr:cNvPr>
        <xdr:cNvGrpSpPr/>
      </xdr:nvGrpSpPr>
      <xdr:grpSpPr>
        <a:xfrm>
          <a:off x="618037" y="1581149"/>
          <a:ext cx="2182313" cy="1728000"/>
          <a:chOff x="741862" y="1743074"/>
          <a:chExt cx="2182313" cy="1728000"/>
        </a:xfrm>
      </xdr:grpSpPr>
      <xdr:sp macro="" textlink="">
        <xdr:nvSpPr>
          <xdr:cNvPr id="27" name="Rectangle: Rounded Corners 26">
            <a:extLst>
              <a:ext uri="{FF2B5EF4-FFF2-40B4-BE49-F238E27FC236}">
                <a16:creationId xmlns:a16="http://schemas.microsoft.com/office/drawing/2014/main" id="{00000000-0008-0000-0300-00001B000000}"/>
              </a:ext>
            </a:extLst>
          </xdr:cNvPr>
          <xdr:cNvSpPr/>
        </xdr:nvSpPr>
        <xdr:spPr>
          <a:xfrm>
            <a:off x="741862" y="1743074"/>
            <a:ext cx="2070000" cy="1728000"/>
          </a:xfrm>
          <a:prstGeom prst="roundRect">
            <a:avLst/>
          </a:prstGeom>
          <a:solidFill>
            <a:srgbClr val="070E25"/>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sp macro="" textlink="Pivot_tables!AI32">
        <xdr:nvSpPr>
          <xdr:cNvPr id="20" name="TextBox 19">
            <a:extLst>
              <a:ext uri="{FF2B5EF4-FFF2-40B4-BE49-F238E27FC236}">
                <a16:creationId xmlns:a16="http://schemas.microsoft.com/office/drawing/2014/main" id="{00000000-0008-0000-0300-000014000000}"/>
              </a:ext>
            </a:extLst>
          </xdr:cNvPr>
          <xdr:cNvSpPr txBox="1"/>
        </xdr:nvSpPr>
        <xdr:spPr>
          <a:xfrm>
            <a:off x="848175" y="1871662"/>
            <a:ext cx="1857374" cy="30003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1400" b="0" i="0" u="none" strike="noStrike">
                <a:solidFill>
                  <a:srgbClr val="D43260"/>
                </a:solidFill>
                <a:latin typeface="Avenir Next LT Pro" panose="020B0504020202020204" pitchFamily="34" charset="0"/>
                <a:cs typeface="Arial"/>
              </a:rPr>
              <a:t>Select Map Matrix</a:t>
            </a:r>
            <a:endParaRPr lang="en-CA" sz="1400" u="none">
              <a:solidFill>
                <a:srgbClr val="D43260"/>
              </a:solidFill>
              <a:latin typeface="Avenir Next LT Pro" panose="020B0504020202020204" pitchFamily="34" charset="0"/>
            </a:endParaRPr>
          </a:p>
        </xdr:txBody>
      </xdr:sp>
      <xdr:grpSp>
        <xdr:nvGrpSpPr>
          <xdr:cNvPr id="60" name="Group 59">
            <a:extLst>
              <a:ext uri="{FF2B5EF4-FFF2-40B4-BE49-F238E27FC236}">
                <a16:creationId xmlns:a16="http://schemas.microsoft.com/office/drawing/2014/main" id="{00000000-0008-0000-0300-00003C000000}"/>
              </a:ext>
            </a:extLst>
          </xdr:cNvPr>
          <xdr:cNvGrpSpPr/>
        </xdr:nvGrpSpPr>
        <xdr:grpSpPr>
          <a:xfrm>
            <a:off x="1189539" y="2166937"/>
            <a:ext cx="1734636" cy="1185863"/>
            <a:chOff x="1189539" y="2166937"/>
            <a:chExt cx="1734636" cy="1185863"/>
          </a:xfrm>
        </xdr:grpSpPr>
        <xdr:sp macro="" textlink="Pivot_tables!AI32">
          <xdr:nvSpPr>
            <xdr:cNvPr id="22" name="TextBox 21">
              <a:extLst>
                <a:ext uri="{FF2B5EF4-FFF2-40B4-BE49-F238E27FC236}">
                  <a16:creationId xmlns:a16="http://schemas.microsoft.com/office/drawing/2014/main" id="{00000000-0008-0000-0300-000016000000}"/>
                </a:ext>
              </a:extLst>
            </xdr:cNvPr>
            <xdr:cNvSpPr txBox="1"/>
          </xdr:nvSpPr>
          <xdr:spPr>
            <a:xfrm>
              <a:off x="1189539" y="2166937"/>
              <a:ext cx="1734636" cy="30003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l"/>
              <a:r>
                <a:rPr lang="en-US" sz="1200" b="0" i="0" u="none" strike="noStrike">
                  <a:solidFill>
                    <a:schemeClr val="bg1"/>
                  </a:solidFill>
                  <a:latin typeface="Avenir Next LT Pro" panose="020B0504020202020204" pitchFamily="34" charset="0"/>
                  <a:cs typeface="Arial"/>
                </a:rPr>
                <a:t>Cumulative Cost</a:t>
              </a:r>
              <a:endParaRPr lang="en-CA" sz="1200">
                <a:solidFill>
                  <a:schemeClr val="bg1"/>
                </a:solidFill>
                <a:latin typeface="Avenir Next LT Pro" panose="020B0504020202020204" pitchFamily="34" charset="0"/>
              </a:endParaRPr>
            </a:p>
          </xdr:txBody>
        </xdr:sp>
        <xdr:sp macro="" textlink="Pivot_tables!AI32">
          <xdr:nvSpPr>
            <xdr:cNvPr id="23" name="TextBox 22">
              <a:extLst>
                <a:ext uri="{FF2B5EF4-FFF2-40B4-BE49-F238E27FC236}">
                  <a16:creationId xmlns:a16="http://schemas.microsoft.com/office/drawing/2014/main" id="{00000000-0008-0000-0300-000017000000}"/>
                </a:ext>
              </a:extLst>
            </xdr:cNvPr>
            <xdr:cNvSpPr txBox="1"/>
          </xdr:nvSpPr>
          <xdr:spPr>
            <a:xfrm>
              <a:off x="1189539" y="2462212"/>
              <a:ext cx="1734636" cy="30003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l"/>
              <a:r>
                <a:rPr lang="en-US" sz="1200" b="0" i="0" u="none" strike="noStrike">
                  <a:solidFill>
                    <a:schemeClr val="bg1"/>
                  </a:solidFill>
                  <a:latin typeface="Avenir Next LT Pro" panose="020B0504020202020204" pitchFamily="34" charset="0"/>
                  <a:cs typeface="Arial"/>
                </a:rPr>
                <a:t>Shipping Cost</a:t>
              </a:r>
              <a:endParaRPr lang="en-CA" sz="1200">
                <a:solidFill>
                  <a:schemeClr val="bg1"/>
                </a:solidFill>
                <a:latin typeface="Avenir Next LT Pro" panose="020B0504020202020204" pitchFamily="34" charset="0"/>
              </a:endParaRPr>
            </a:p>
          </xdr:txBody>
        </xdr:sp>
        <xdr:sp macro="" textlink="Pivot_tables!AI32">
          <xdr:nvSpPr>
            <xdr:cNvPr id="24" name="TextBox 23">
              <a:extLst>
                <a:ext uri="{FF2B5EF4-FFF2-40B4-BE49-F238E27FC236}">
                  <a16:creationId xmlns:a16="http://schemas.microsoft.com/office/drawing/2014/main" id="{00000000-0008-0000-0300-000018000000}"/>
                </a:ext>
              </a:extLst>
            </xdr:cNvPr>
            <xdr:cNvSpPr txBox="1"/>
          </xdr:nvSpPr>
          <xdr:spPr>
            <a:xfrm>
              <a:off x="1189539" y="2747962"/>
              <a:ext cx="1734636" cy="30003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l"/>
              <a:r>
                <a:rPr lang="en-US" sz="1200" b="0" i="0" u="none" strike="noStrike">
                  <a:solidFill>
                    <a:schemeClr val="bg1"/>
                  </a:solidFill>
                  <a:latin typeface="Avenir Next LT Pro" panose="020B0504020202020204" pitchFamily="34" charset="0"/>
                  <a:cs typeface="Arial"/>
                </a:rPr>
                <a:t>Net Profit</a:t>
              </a:r>
              <a:endParaRPr lang="en-CA" sz="1200">
                <a:solidFill>
                  <a:schemeClr val="bg1"/>
                </a:solidFill>
                <a:latin typeface="Avenir Next LT Pro" panose="020B0504020202020204" pitchFamily="34" charset="0"/>
              </a:endParaRPr>
            </a:p>
          </xdr:txBody>
        </xdr:sp>
        <xdr:sp macro="" textlink="Pivot_tables!AI32">
          <xdr:nvSpPr>
            <xdr:cNvPr id="28" name="TextBox 27">
              <a:extLst>
                <a:ext uri="{FF2B5EF4-FFF2-40B4-BE49-F238E27FC236}">
                  <a16:creationId xmlns:a16="http://schemas.microsoft.com/office/drawing/2014/main" id="{00000000-0008-0000-0300-00001C000000}"/>
                </a:ext>
              </a:extLst>
            </xdr:cNvPr>
            <xdr:cNvSpPr txBox="1"/>
          </xdr:nvSpPr>
          <xdr:spPr>
            <a:xfrm>
              <a:off x="1189539" y="3052762"/>
              <a:ext cx="1734636" cy="30003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l"/>
              <a:r>
                <a:rPr lang="en-US" sz="1200" b="0" i="0" u="none" strike="noStrike">
                  <a:solidFill>
                    <a:schemeClr val="bg1"/>
                  </a:solidFill>
                  <a:latin typeface="Avenir Next LT Pro" panose="020B0504020202020204" pitchFamily="34" charset="0"/>
                  <a:cs typeface="Arial"/>
                </a:rPr>
                <a:t>Total</a:t>
              </a:r>
              <a:r>
                <a:rPr lang="en-US" sz="1200" b="0" i="0" u="none" strike="noStrike" baseline="0">
                  <a:solidFill>
                    <a:schemeClr val="bg1"/>
                  </a:solidFill>
                  <a:latin typeface="Avenir Next LT Pro" panose="020B0504020202020204" pitchFamily="34" charset="0"/>
                  <a:cs typeface="Arial"/>
                </a:rPr>
                <a:t> Sales</a:t>
              </a:r>
              <a:endParaRPr lang="en-CA" sz="1200">
                <a:solidFill>
                  <a:schemeClr val="bg1"/>
                </a:solidFill>
                <a:latin typeface="Avenir Next LT Pro" panose="020B0504020202020204" pitchFamily="34" charset="0"/>
              </a:endParaRPr>
            </a:p>
          </xdr:txBody>
        </xdr:sp>
      </xdr:grpSp>
      <mc:AlternateContent xmlns:mc="http://schemas.openxmlformats.org/markup-compatibility/2006">
        <mc:Choice xmlns:a14="http://schemas.microsoft.com/office/drawing/2010/main" Requires="a14">
          <xdr:grpSp>
            <xdr:nvGrpSpPr>
              <xdr:cNvPr id="18" name="Group 17">
                <a:extLst>
                  <a:ext uri="{FF2B5EF4-FFF2-40B4-BE49-F238E27FC236}">
                    <a16:creationId xmlns:a16="http://schemas.microsoft.com/office/drawing/2014/main" id="{00000000-0008-0000-0300-000012000000}"/>
                  </a:ext>
                </a:extLst>
              </xdr:cNvPr>
              <xdr:cNvGrpSpPr/>
            </xdr:nvGrpSpPr>
            <xdr:grpSpPr>
              <a:xfrm>
                <a:off x="1014862" y="2199000"/>
                <a:ext cx="1524000" cy="1115700"/>
                <a:chOff x="1235024" y="2160900"/>
                <a:chExt cx="1524000" cy="1115700"/>
              </a:xfrm>
            </xdr:grpSpPr>
            <xdr:sp macro="" textlink="">
              <xdr:nvSpPr>
                <xdr:cNvPr id="4100" name="Option Button 4" hidden="1">
                  <a:extLst>
                    <a:ext uri="{63B3BB69-23CF-44E3-9099-C40C66FF867C}">
                      <a14:compatExt spid="_x0000_s4100"/>
                    </a:ext>
                    <a:ext uri="{FF2B5EF4-FFF2-40B4-BE49-F238E27FC236}">
                      <a16:creationId xmlns:a16="http://schemas.microsoft.com/office/drawing/2014/main" id="{00000000-0008-0000-0300-000004100000}"/>
                    </a:ext>
                  </a:extLst>
                </xdr:cNvPr>
                <xdr:cNvSpPr/>
              </xdr:nvSpPr>
              <xdr:spPr bwMode="auto">
                <a:xfrm>
                  <a:off x="1235024" y="2160900"/>
                  <a:ext cx="1524000" cy="2571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4108" name="Option Button 12" hidden="1">
                  <a:extLst>
                    <a:ext uri="{63B3BB69-23CF-44E3-9099-C40C66FF867C}">
                      <a14:compatExt spid="_x0000_s4108"/>
                    </a:ext>
                    <a:ext uri="{FF2B5EF4-FFF2-40B4-BE49-F238E27FC236}">
                      <a16:creationId xmlns:a16="http://schemas.microsoft.com/office/drawing/2014/main" id="{00000000-0008-0000-0300-00000C100000}"/>
                    </a:ext>
                  </a:extLst>
                </xdr:cNvPr>
                <xdr:cNvSpPr/>
              </xdr:nvSpPr>
              <xdr:spPr bwMode="auto">
                <a:xfrm>
                  <a:off x="1235024" y="2451413"/>
                  <a:ext cx="1524000" cy="2571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4109" name="Option Button 13" hidden="1">
                  <a:extLst>
                    <a:ext uri="{63B3BB69-23CF-44E3-9099-C40C66FF867C}">
                      <a14:compatExt spid="_x0000_s4109"/>
                    </a:ext>
                    <a:ext uri="{FF2B5EF4-FFF2-40B4-BE49-F238E27FC236}">
                      <a16:creationId xmlns:a16="http://schemas.microsoft.com/office/drawing/2014/main" id="{00000000-0008-0000-0300-00000D100000}"/>
                    </a:ext>
                  </a:extLst>
                </xdr:cNvPr>
                <xdr:cNvSpPr/>
              </xdr:nvSpPr>
              <xdr:spPr bwMode="auto">
                <a:xfrm>
                  <a:off x="1235024" y="2732400"/>
                  <a:ext cx="1524000" cy="2571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4110" name="Option Button 14" hidden="1">
                  <a:extLst>
                    <a:ext uri="{63B3BB69-23CF-44E3-9099-C40C66FF867C}">
                      <a14:compatExt spid="_x0000_s4110"/>
                    </a:ext>
                    <a:ext uri="{FF2B5EF4-FFF2-40B4-BE49-F238E27FC236}">
                      <a16:creationId xmlns:a16="http://schemas.microsoft.com/office/drawing/2014/main" id="{00000000-0008-0000-0300-00000E100000}"/>
                    </a:ext>
                  </a:extLst>
                </xdr:cNvPr>
                <xdr:cNvSpPr/>
              </xdr:nvSpPr>
              <xdr:spPr bwMode="auto">
                <a:xfrm>
                  <a:off x="1235024" y="3019425"/>
                  <a:ext cx="1524000" cy="2571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mc:Choice>
        <mc:Fallback/>
      </mc:AlternateContent>
    </xdr:grpSp>
    <xdr:clientData/>
  </xdr:twoCellAnchor>
  <xdr:twoCellAnchor>
    <xdr:from>
      <xdr:col>4</xdr:col>
      <xdr:colOff>429637</xdr:colOff>
      <xdr:row>9</xdr:row>
      <xdr:rowOff>123825</xdr:rowOff>
    </xdr:from>
    <xdr:to>
      <xdr:col>8</xdr:col>
      <xdr:colOff>61237</xdr:colOff>
      <xdr:row>20</xdr:row>
      <xdr:rowOff>70650</xdr:rowOff>
    </xdr:to>
    <xdr:grpSp>
      <xdr:nvGrpSpPr>
        <xdr:cNvPr id="6" name="Group 5">
          <a:extLst>
            <a:ext uri="{FF2B5EF4-FFF2-40B4-BE49-F238E27FC236}">
              <a16:creationId xmlns:a16="http://schemas.microsoft.com/office/drawing/2014/main" id="{00000000-0008-0000-0300-000006000000}"/>
            </a:ext>
          </a:extLst>
        </xdr:cNvPr>
        <xdr:cNvGrpSpPr/>
      </xdr:nvGrpSpPr>
      <xdr:grpSpPr>
        <a:xfrm>
          <a:off x="2868037" y="1581150"/>
          <a:ext cx="2070000" cy="1728000"/>
          <a:chOff x="2991862" y="1695450"/>
          <a:chExt cx="2070000" cy="1728000"/>
        </a:xfrm>
      </xdr:grpSpPr>
      <xdr:sp macro="" textlink="">
        <xdr:nvSpPr>
          <xdr:cNvPr id="194" name="Rectangle: Rounded Corners 193">
            <a:extLst>
              <a:ext uri="{FF2B5EF4-FFF2-40B4-BE49-F238E27FC236}">
                <a16:creationId xmlns:a16="http://schemas.microsoft.com/office/drawing/2014/main" id="{00000000-0008-0000-0300-0000C2000000}"/>
              </a:ext>
            </a:extLst>
          </xdr:cNvPr>
          <xdr:cNvSpPr/>
        </xdr:nvSpPr>
        <xdr:spPr>
          <a:xfrm>
            <a:off x="2991862" y="1695450"/>
            <a:ext cx="2070000" cy="1728000"/>
          </a:xfrm>
          <a:prstGeom prst="roundRect">
            <a:avLst/>
          </a:prstGeom>
          <a:solidFill>
            <a:srgbClr val="070E25"/>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sp macro="" textlink="Pivot_tables!AI32">
        <xdr:nvSpPr>
          <xdr:cNvPr id="31" name="TextBox 30">
            <a:extLst>
              <a:ext uri="{FF2B5EF4-FFF2-40B4-BE49-F238E27FC236}">
                <a16:creationId xmlns:a16="http://schemas.microsoft.com/office/drawing/2014/main" id="{00000000-0008-0000-0300-00001F000000}"/>
              </a:ext>
            </a:extLst>
          </xdr:cNvPr>
          <xdr:cNvSpPr txBox="1"/>
        </xdr:nvSpPr>
        <xdr:spPr>
          <a:xfrm>
            <a:off x="3098175" y="1838325"/>
            <a:ext cx="1857374" cy="30003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1400" b="0" i="0" u="none" strike="noStrike">
                <a:solidFill>
                  <a:srgbClr val="D43260"/>
                </a:solidFill>
                <a:latin typeface="Avenir Next LT Pro" panose="020B0504020202020204" pitchFamily="34" charset="0"/>
                <a:cs typeface="Arial"/>
              </a:rPr>
              <a:t>Filters</a:t>
            </a:r>
            <a:endParaRPr lang="en-CA" sz="1400" u="none">
              <a:solidFill>
                <a:srgbClr val="D43260"/>
              </a:solidFill>
              <a:latin typeface="Avenir Next LT Pro" panose="020B0504020202020204" pitchFamily="34" charset="0"/>
            </a:endParaRPr>
          </a:p>
        </xdr:txBody>
      </xdr:sp>
    </xdr:grpSp>
    <xdr:clientData/>
  </xdr:twoCellAnchor>
  <xdr:twoCellAnchor>
    <xdr:from>
      <xdr:col>4</xdr:col>
      <xdr:colOff>555112</xdr:colOff>
      <xdr:row>12</xdr:row>
      <xdr:rowOff>23850</xdr:rowOff>
    </xdr:from>
    <xdr:to>
      <xdr:col>7</xdr:col>
      <xdr:colOff>526312</xdr:colOff>
      <xdr:row>19</xdr:row>
      <xdr:rowOff>78375</xdr:rowOff>
    </xdr:to>
    <mc:AlternateContent xmlns:mc="http://schemas.openxmlformats.org/markup-compatibility/2006" xmlns:a14="http://schemas.microsoft.com/office/drawing/2010/main">
      <mc:Choice Requires="a14">
        <xdr:graphicFrame macro="">
          <xdr:nvGraphicFramePr>
            <xdr:cNvPr id="184" name="Product Category 2">
              <a:extLst>
                <a:ext uri="{FF2B5EF4-FFF2-40B4-BE49-F238E27FC236}">
                  <a16:creationId xmlns:a16="http://schemas.microsoft.com/office/drawing/2014/main" id="{00000000-0008-0000-0300-0000B8000000}"/>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Product Category 2"/>
            </a:graphicData>
          </a:graphic>
        </xdr:graphicFrame>
      </mc:Choice>
      <mc:Fallback xmlns="">
        <xdr:sp macro="" textlink="">
          <xdr:nvSpPr>
            <xdr:cNvPr id="0" name=""/>
            <xdr:cNvSpPr>
              <a:spLocks noTextEdit="1"/>
            </xdr:cNvSpPr>
          </xdr:nvSpPr>
          <xdr:spPr>
            <a:xfrm>
              <a:off x="2993512" y="1966950"/>
              <a:ext cx="1800000" cy="1188000"/>
            </a:xfrm>
            <a:prstGeom prst="rect">
              <a:avLst/>
            </a:prstGeom>
            <a:solidFill>
              <a:prstClr val="white"/>
            </a:solidFill>
            <a:ln w="1">
              <a:solidFill>
                <a:prstClr val="green"/>
              </a:solidFill>
            </a:ln>
          </xdr:spPr>
          <xdr:txBody>
            <a:bodyPr vertOverflow="clip" horzOverflow="clip"/>
            <a:lstStyle/>
            <a:p>
              <a:r>
                <a:rPr lang="en-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xdr:from>
      <xdr:col>0</xdr:col>
      <xdr:colOff>9525</xdr:colOff>
      <xdr:row>0</xdr:row>
      <xdr:rowOff>0</xdr:rowOff>
    </xdr:from>
    <xdr:to>
      <xdr:col>37</xdr:col>
      <xdr:colOff>371475</xdr:colOff>
      <xdr:row>3</xdr:row>
      <xdr:rowOff>95250</xdr:rowOff>
    </xdr:to>
    <xdr:grpSp>
      <xdr:nvGrpSpPr>
        <xdr:cNvPr id="30" name="Group 29">
          <a:extLst>
            <a:ext uri="{FF2B5EF4-FFF2-40B4-BE49-F238E27FC236}">
              <a16:creationId xmlns:a16="http://schemas.microsoft.com/office/drawing/2014/main" id="{00000000-0008-0000-0300-00001E000000}"/>
            </a:ext>
          </a:extLst>
        </xdr:cNvPr>
        <xdr:cNvGrpSpPr/>
      </xdr:nvGrpSpPr>
      <xdr:grpSpPr>
        <a:xfrm>
          <a:off x="9525" y="0"/>
          <a:ext cx="22917150" cy="581025"/>
          <a:chOff x="0" y="0"/>
          <a:chExt cx="22917150" cy="581025"/>
        </a:xfrm>
      </xdr:grpSpPr>
      <xdr:grpSp>
        <xdr:nvGrpSpPr>
          <xdr:cNvPr id="32" name="Group 31">
            <a:extLst>
              <a:ext uri="{FF2B5EF4-FFF2-40B4-BE49-F238E27FC236}">
                <a16:creationId xmlns:a16="http://schemas.microsoft.com/office/drawing/2014/main" id="{00000000-0008-0000-0300-000020000000}"/>
              </a:ext>
            </a:extLst>
          </xdr:cNvPr>
          <xdr:cNvGrpSpPr/>
        </xdr:nvGrpSpPr>
        <xdr:grpSpPr>
          <a:xfrm>
            <a:off x="0" y="0"/>
            <a:ext cx="22917150" cy="581025"/>
            <a:chOff x="0" y="0"/>
            <a:chExt cx="22917150" cy="581025"/>
          </a:xfrm>
        </xdr:grpSpPr>
        <xdr:sp macro="" textlink="">
          <xdr:nvSpPr>
            <xdr:cNvPr id="4103" name="Rectangle 4102">
              <a:extLst>
                <a:ext uri="{FF2B5EF4-FFF2-40B4-BE49-F238E27FC236}">
                  <a16:creationId xmlns:a16="http://schemas.microsoft.com/office/drawing/2014/main" id="{00000000-0008-0000-0300-000007100000}"/>
                </a:ext>
              </a:extLst>
            </xdr:cNvPr>
            <xdr:cNvSpPr/>
          </xdr:nvSpPr>
          <xdr:spPr>
            <a:xfrm>
              <a:off x="0" y="0"/>
              <a:ext cx="22917150" cy="457200"/>
            </a:xfrm>
            <a:prstGeom prst="rect">
              <a:avLst/>
            </a:prstGeom>
            <a:solidFill>
              <a:srgbClr val="1D1D3C"/>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pic>
          <xdr:nvPicPr>
            <xdr:cNvPr id="4104" name="Picture 4103" descr="Superstore - NBC.com">
              <a:extLst>
                <a:ext uri="{FF2B5EF4-FFF2-40B4-BE49-F238E27FC236}">
                  <a16:creationId xmlns:a16="http://schemas.microsoft.com/office/drawing/2014/main" id="{00000000-0008-0000-0300-000008100000}"/>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238126" y="142875"/>
              <a:ext cx="1314450" cy="438150"/>
            </a:xfrm>
            <a:prstGeom prst="rect">
              <a:avLst/>
            </a:prstGeom>
            <a:noFill/>
            <a:effectLst>
              <a:outerShdw blurRad="50800" dist="38100" dir="2700000" algn="tl" rotWithShape="0">
                <a:schemeClr val="tx1">
                  <a:alpha val="40000"/>
                </a:schemeClr>
              </a:outerShdw>
            </a:effectLst>
            <a:extLst>
              <a:ext uri="{909E8E84-426E-40DD-AFC4-6F175D3DCCD1}">
                <a14:hiddenFill xmlns:a14="http://schemas.microsoft.com/office/drawing/2010/main">
                  <a:solidFill>
                    <a:srgbClr val="FFFFFF"/>
                  </a:solidFill>
                </a14:hiddenFill>
              </a:ext>
            </a:extLst>
          </xdr:spPr>
        </xdr:pic>
        <xdr:sp macro="" textlink="">
          <xdr:nvSpPr>
            <xdr:cNvPr id="4105" name="TextBox 4104">
              <a:hlinkClick xmlns:r="http://schemas.openxmlformats.org/officeDocument/2006/relationships" r:id="rId5" tooltip="Distribution"/>
              <a:extLst>
                <a:ext uri="{FF2B5EF4-FFF2-40B4-BE49-F238E27FC236}">
                  <a16:creationId xmlns:a16="http://schemas.microsoft.com/office/drawing/2014/main" id="{00000000-0008-0000-0300-000009100000}"/>
                </a:ext>
              </a:extLst>
            </xdr:cNvPr>
            <xdr:cNvSpPr txBox="1"/>
          </xdr:nvSpPr>
          <xdr:spPr>
            <a:xfrm>
              <a:off x="12355214" y="73558"/>
              <a:ext cx="1222374" cy="31008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CA" sz="1400">
                  <a:solidFill>
                    <a:schemeClr val="bg1"/>
                  </a:solidFill>
                  <a:latin typeface="Avenir Next LT Pro" panose="020B0504020202020204" pitchFamily="34" charset="0"/>
                </a:rPr>
                <a:t>Distribution</a:t>
              </a:r>
            </a:p>
          </xdr:txBody>
        </xdr:sp>
        <xdr:sp macro="" textlink="">
          <xdr:nvSpPr>
            <xdr:cNvPr id="4107" name="TextBox 4106">
              <a:hlinkClick xmlns:r="http://schemas.openxmlformats.org/officeDocument/2006/relationships" r:id="rId6" tooltip="Sales &amp; Profit"/>
              <a:extLst>
                <a:ext uri="{FF2B5EF4-FFF2-40B4-BE49-F238E27FC236}">
                  <a16:creationId xmlns:a16="http://schemas.microsoft.com/office/drawing/2014/main" id="{00000000-0008-0000-0300-00000B100000}"/>
                </a:ext>
              </a:extLst>
            </xdr:cNvPr>
            <xdr:cNvSpPr txBox="1"/>
          </xdr:nvSpPr>
          <xdr:spPr>
            <a:xfrm>
              <a:off x="10029825" y="73558"/>
              <a:ext cx="1266824" cy="31008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CA" sz="1400">
                  <a:solidFill>
                    <a:schemeClr val="bg1"/>
                  </a:solidFill>
                  <a:latin typeface="Avenir Next LT Pro" panose="020B0504020202020204" pitchFamily="34" charset="0"/>
                </a:rPr>
                <a:t>Sales &amp;</a:t>
              </a:r>
              <a:r>
                <a:rPr lang="en-CA" sz="1400" baseline="0">
                  <a:solidFill>
                    <a:schemeClr val="bg1"/>
                  </a:solidFill>
                  <a:latin typeface="Avenir Next LT Pro" panose="020B0504020202020204" pitchFamily="34" charset="0"/>
                </a:rPr>
                <a:t> Profit</a:t>
              </a:r>
              <a:endParaRPr lang="en-CA" sz="1400">
                <a:solidFill>
                  <a:schemeClr val="bg1"/>
                </a:solidFill>
                <a:latin typeface="Avenir Next LT Pro" panose="020B0504020202020204" pitchFamily="34" charset="0"/>
              </a:endParaRPr>
            </a:p>
          </xdr:txBody>
        </xdr:sp>
        <xdr:sp macro="" textlink="">
          <xdr:nvSpPr>
            <xdr:cNvPr id="4116" name="TextBox 4115">
              <a:hlinkClick xmlns:r="http://schemas.openxmlformats.org/officeDocument/2006/relationships" r:id="rId7" tooltip="Trends"/>
              <a:extLst>
                <a:ext uri="{FF2B5EF4-FFF2-40B4-BE49-F238E27FC236}">
                  <a16:creationId xmlns:a16="http://schemas.microsoft.com/office/drawing/2014/main" id="{00000000-0008-0000-0300-000014100000}"/>
                </a:ext>
              </a:extLst>
            </xdr:cNvPr>
            <xdr:cNvSpPr txBox="1"/>
          </xdr:nvSpPr>
          <xdr:spPr>
            <a:xfrm>
              <a:off x="11441757" y="73558"/>
              <a:ext cx="768349" cy="31008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CA" sz="1400">
                  <a:solidFill>
                    <a:schemeClr val="bg1"/>
                  </a:solidFill>
                  <a:latin typeface="Avenir Next LT Pro" panose="020B0504020202020204" pitchFamily="34" charset="0"/>
                </a:rPr>
                <a:t>Trends</a:t>
              </a:r>
            </a:p>
          </xdr:txBody>
        </xdr:sp>
        <xdr:sp macro="" textlink="">
          <xdr:nvSpPr>
            <xdr:cNvPr id="4117" name="TextBox 4116">
              <a:extLst>
                <a:ext uri="{FF2B5EF4-FFF2-40B4-BE49-F238E27FC236}">
                  <a16:creationId xmlns:a16="http://schemas.microsoft.com/office/drawing/2014/main" id="{00000000-0008-0000-0300-000015100000}"/>
                </a:ext>
              </a:extLst>
            </xdr:cNvPr>
            <xdr:cNvSpPr txBox="1"/>
          </xdr:nvSpPr>
          <xdr:spPr>
            <a:xfrm>
              <a:off x="2505075" y="95979"/>
              <a:ext cx="2619375" cy="31008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CA" sz="1400">
                  <a:solidFill>
                    <a:schemeClr val="bg1"/>
                  </a:solidFill>
                  <a:latin typeface="Avenir Next LT Pro" panose="020B0504020202020204" pitchFamily="34" charset="0"/>
                </a:rPr>
                <a:t>Sales Performance  - FY 2015</a:t>
              </a:r>
            </a:p>
          </xdr:txBody>
        </xdr:sp>
        <xdr:sp macro="" textlink="">
          <xdr:nvSpPr>
            <xdr:cNvPr id="4118" name="Rectangle: Rounded Corners 4117">
              <a:extLst>
                <a:ext uri="{FF2B5EF4-FFF2-40B4-BE49-F238E27FC236}">
                  <a16:creationId xmlns:a16="http://schemas.microsoft.com/office/drawing/2014/main" id="{00000000-0008-0000-0300-000016100000}"/>
                </a:ext>
              </a:extLst>
            </xdr:cNvPr>
            <xdr:cNvSpPr/>
          </xdr:nvSpPr>
          <xdr:spPr>
            <a:xfrm>
              <a:off x="13991587" y="361950"/>
              <a:ext cx="468000" cy="36000"/>
            </a:xfrm>
            <a:prstGeom prst="roundRect">
              <a:avLst/>
            </a:prstGeom>
            <a:solidFill>
              <a:srgbClr val="194AFE"/>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sp macro="" textlink="">
          <xdr:nvSpPr>
            <xdr:cNvPr id="4119" name="TextBox 4118">
              <a:hlinkClick xmlns:r="http://schemas.openxmlformats.org/officeDocument/2006/relationships" r:id="rId8" tooltip="Sales Map"/>
              <a:extLst>
                <a:ext uri="{FF2B5EF4-FFF2-40B4-BE49-F238E27FC236}">
                  <a16:creationId xmlns:a16="http://schemas.microsoft.com/office/drawing/2014/main" id="{00000000-0008-0000-0300-000017100000}"/>
                </a:ext>
              </a:extLst>
            </xdr:cNvPr>
            <xdr:cNvSpPr txBox="1"/>
          </xdr:nvSpPr>
          <xdr:spPr>
            <a:xfrm>
              <a:off x="13722696" y="73558"/>
              <a:ext cx="1019769" cy="31008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CA" sz="1400">
                  <a:solidFill>
                    <a:schemeClr val="bg1"/>
                  </a:solidFill>
                  <a:latin typeface="Avenir Next LT Pro" panose="020B0504020202020204" pitchFamily="34" charset="0"/>
                </a:rPr>
                <a:t>Sales Map</a:t>
              </a:r>
            </a:p>
          </xdr:txBody>
        </xdr:sp>
      </xdr:grpSp>
      <xdr:pic>
        <xdr:nvPicPr>
          <xdr:cNvPr id="62" name="Picture 61">
            <a:hlinkClick xmlns:r="http://schemas.openxmlformats.org/officeDocument/2006/relationships" r:id="rId9"/>
            <a:extLst>
              <a:ext uri="{FF2B5EF4-FFF2-40B4-BE49-F238E27FC236}">
                <a16:creationId xmlns:a16="http://schemas.microsoft.com/office/drawing/2014/main" id="{00000000-0008-0000-0300-00003E00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16144875" y="114300"/>
            <a:ext cx="1680593" cy="252000"/>
          </a:xfrm>
          <a:prstGeom prst="rect">
            <a:avLst/>
          </a:prstGeom>
        </xdr:spPr>
      </xdr:pic>
    </xdr:grpSp>
    <xdr:clientData/>
  </xdr:twoCellAnchor>
  <xdr:twoCellAnchor>
    <xdr:from>
      <xdr:col>24</xdr:col>
      <xdr:colOff>180975</xdr:colOff>
      <xdr:row>53</xdr:row>
      <xdr:rowOff>104775</xdr:rowOff>
    </xdr:from>
    <xdr:to>
      <xdr:col>28</xdr:col>
      <xdr:colOff>590550</xdr:colOff>
      <xdr:row>55</xdr:row>
      <xdr:rowOff>104775</xdr:rowOff>
    </xdr:to>
    <xdr:sp macro="" textlink="">
      <xdr:nvSpPr>
        <xdr:cNvPr id="4101" name="TextBox 4100">
          <a:extLst>
            <a:ext uri="{FF2B5EF4-FFF2-40B4-BE49-F238E27FC236}">
              <a16:creationId xmlns:a16="http://schemas.microsoft.com/office/drawing/2014/main" id="{00000000-0008-0000-0300-000005100000}"/>
            </a:ext>
          </a:extLst>
        </xdr:cNvPr>
        <xdr:cNvSpPr txBox="1"/>
      </xdr:nvSpPr>
      <xdr:spPr>
        <a:xfrm>
          <a:off x="14811375" y="8686800"/>
          <a:ext cx="2847975" cy="323850"/>
        </a:xfrm>
        <a:prstGeom prst="rect">
          <a:avLst/>
        </a:prstGeom>
        <a:solidFill>
          <a:schemeClr val="tx1"/>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1100" b="0" i="0" u="none" strike="noStrike">
              <a:solidFill>
                <a:schemeClr val="bg1"/>
              </a:solidFill>
              <a:latin typeface="Avenir Next LT Pro" panose="020B0504020202020204" pitchFamily="34" charset="0"/>
              <a:cs typeface="+mn-cs"/>
            </a:rPr>
            <a:t>Regional Sales of each product category</a:t>
          </a:r>
        </a:p>
      </xdr:txBody>
    </xdr:sp>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aurabh Lakhanpal" refreshedDate="45219.634634027774" backgroundQuery="1" createdVersion="8" refreshedVersion="8" minRefreshableVersion="3" recordCount="0" supportSubquery="1" supportAdvancedDrill="1" xr:uid="{AE6A2F22-CA16-4066-B68E-57CA3556E95D}">
  <cacheSource type="external" connectionId="1"/>
  <cacheFields count="7">
    <cacheField name="[Table_1].[Customer Segment].[Customer Segment]" caption="Customer Segment" numFmtId="0" hierarchy="7" level="1">
      <sharedItems count="4">
        <s v="Consumer"/>
        <s v="Corporate"/>
        <s v="Home Office"/>
        <s v="Small Business"/>
      </sharedItems>
    </cacheField>
    <cacheField name="[Table_1].[Product Sub-Category].[Product Sub-Category]" caption="Product Sub-Category" numFmtId="0" hierarchy="9" level="1">
      <sharedItems count="17">
        <s v="Appliances"/>
        <s v="Binders and Binder Accessories"/>
        <s v="Bookcases"/>
        <s v="Chairs &amp; Chairmats"/>
        <s v="Computer Peripherals"/>
        <s v="Copiers and Fax"/>
        <s v="Envelopes"/>
        <s v="Labels"/>
        <s v="Office Furnishings"/>
        <s v="Office Machines"/>
        <s v="Paper"/>
        <s v="Pens &amp; Art Supplies"/>
        <s v="Rubber Bands"/>
        <s v="Scissors, Rulers and Trimmers"/>
        <s v="Storage &amp; Organization"/>
        <s v="Tables"/>
        <s v="Telephones and Communication"/>
      </sharedItems>
    </cacheField>
    <cacheField name="[Measures].[Sum of Sales]" caption="Sum of Sales" numFmtId="0" hierarchy="38" level="32767"/>
    <cacheField name="[Measures].[Sum of Profit]" caption="Sum of Profit" numFmtId="0" hierarchy="40" level="32767"/>
    <cacheField name="[Table_1].[Order Priority].[Order Priority]" caption="Order Priority" numFmtId="0" hierarchy="2" level="1">
      <sharedItems count="5">
        <s v="Critical"/>
        <s v="High"/>
        <s v="Low"/>
        <s v="Medium"/>
        <s v="N/A"/>
      </sharedItems>
    </cacheField>
    <cacheField name="[Measures].[Distinct Count of Order ID]" caption="Distinct Count of Order ID" numFmtId="0" hierarchy="48" level="32767"/>
    <cacheField name="[Measures].[Max of Order Date]" caption="Max of Order Date" numFmtId="0" hierarchy="50" level="32767"/>
  </cacheFields>
  <cacheHierarchies count="53">
    <cacheHierarchy uniqueName="[Table_1].[Customer ID]" caption="Customer ID" attribute="1" defaultMemberUniqueName="[Table_1].[Customer ID].[All]" allUniqueName="[Table_1].[Customer ID].[All]" dimensionUniqueName="[Table_1]" displayFolder="" count="0" memberValueDatatype="20" unbalanced="0"/>
    <cacheHierarchy uniqueName="[Table_1].[Customer Name]" caption="Customer Name" attribute="1" defaultMemberUniqueName="[Table_1].[Customer Name].[All]" allUniqueName="[Table_1].[Customer Name].[All]" dimensionUniqueName="[Table_1]" displayFolder="" count="0" memberValueDatatype="130" unbalanced="0"/>
    <cacheHierarchy uniqueName="[Table_1].[Order Priority]" caption="Order Priority" attribute="1" defaultMemberUniqueName="[Table_1].[Order Priority].[All]" allUniqueName="[Table_1].[Order Priority].[All]" dimensionUniqueName="[Table_1]" displayFolder="" count="2" memberValueDatatype="130" unbalanced="0">
      <fieldsUsage count="2">
        <fieldUsage x="-1"/>
        <fieldUsage x="4"/>
      </fieldsUsage>
    </cacheHierarchy>
    <cacheHierarchy uniqueName="[Table_1].[Discount]" caption="Discount" attribute="1" defaultMemberUniqueName="[Table_1].[Discount].[All]" allUniqueName="[Table_1].[Discount].[All]" dimensionUniqueName="[Table_1]" displayFolder="" count="0" memberValueDatatype="5" unbalanced="0"/>
    <cacheHierarchy uniqueName="[Table_1].[Unit Price]" caption="Unit Price" attribute="1" defaultMemberUniqueName="[Table_1].[Unit Price].[All]" allUniqueName="[Table_1].[Unit Price].[All]" dimensionUniqueName="[Table_1]" displayFolder="" count="0" memberValueDatatype="5" unbalanced="0"/>
    <cacheHierarchy uniqueName="[Table_1].[Shipping Cost]" caption="Shipping Cost" attribute="1" defaultMemberUniqueName="[Table_1].[Shipping Cost].[All]" allUniqueName="[Table_1].[Shipping Cost].[All]" dimensionUniqueName="[Table_1]" displayFolder="" count="0" memberValueDatatype="5" unbalanced="0"/>
    <cacheHierarchy uniqueName="[Table_1].[Ship Mode]" caption="Ship Mode" attribute="1" defaultMemberUniqueName="[Table_1].[Ship Mode].[All]" allUniqueName="[Table_1].[Ship Mode].[All]" dimensionUniqueName="[Table_1]" displayFolder="" count="0" memberValueDatatype="130" unbalanced="0"/>
    <cacheHierarchy uniqueName="[Table_1].[Customer Segment]" caption="Customer Segment" attribute="1" defaultMemberUniqueName="[Table_1].[Customer Segment].[All]" allUniqueName="[Table_1].[Customer Segment].[All]" dimensionUniqueName="[Table_1]" displayFolder="" count="2" memberValueDatatype="130" unbalanced="0">
      <fieldsUsage count="2">
        <fieldUsage x="-1"/>
        <fieldUsage x="0"/>
      </fieldsUsage>
    </cacheHierarchy>
    <cacheHierarchy uniqueName="[Table_1].[Product Category]" caption="Product Category" attribute="1" defaultMemberUniqueName="[Table_1].[Product Category].[All]" allUniqueName="[Table_1].[Product Category].[All]" dimensionUniqueName="[Table_1]" displayFolder="" count="0" memberValueDatatype="130" unbalanced="0"/>
    <cacheHierarchy uniqueName="[Table_1].[Product Sub-Category]" caption="Product Sub-Category" attribute="1" defaultMemberUniqueName="[Table_1].[Product Sub-Category].[All]" allUniqueName="[Table_1].[Product Sub-Category].[All]" dimensionUniqueName="[Table_1]" displayFolder="" count="2" memberValueDatatype="130" unbalanced="0">
      <fieldsUsage count="2">
        <fieldUsage x="-1"/>
        <fieldUsage x="1"/>
      </fieldsUsage>
    </cacheHierarchy>
    <cacheHierarchy uniqueName="[Table_1].[Product Container]" caption="Product Container" attribute="1" defaultMemberUniqueName="[Table_1].[Product Container].[All]" allUniqueName="[Table_1].[Product Container].[All]" dimensionUniqueName="[Table_1]" displayFolder="" count="0" memberValueDatatype="130" unbalanced="0"/>
    <cacheHierarchy uniqueName="[Table_1].[Product Name]" caption="Product Name" attribute="1" defaultMemberUniqueName="[Table_1].[Product Name].[All]" allUniqueName="[Table_1].[Product Name].[All]" dimensionUniqueName="[Table_1]" displayFolder="" count="0" memberValueDatatype="130" unbalanced="0"/>
    <cacheHierarchy uniqueName="[Table_1].[Product Base Margin]" caption="Product Base Margin" attribute="1" defaultMemberUniqueName="[Table_1].[Product Base Margin].[All]" allUniqueName="[Table_1].[Product Base Margin].[All]" dimensionUniqueName="[Table_1]" displayFolder="" count="0" memberValueDatatype="5" unbalanced="0"/>
    <cacheHierarchy uniqueName="[Table_1].[Country]" caption="Country" attribute="1" defaultMemberUniqueName="[Table_1].[Country].[All]" allUniqueName="[Table_1].[Country].[All]" dimensionUniqueName="[Table_1]" displayFolder="" count="0" memberValueDatatype="130" unbalanced="0"/>
    <cacheHierarchy uniqueName="[Table_1].[Region]" caption="Region" attribute="1" defaultMemberUniqueName="[Table_1].[Region].[All]" allUniqueName="[Table_1].[Region].[All]" dimensionUniqueName="[Table_1]" displayFolder="" count="0" memberValueDatatype="130" unbalanced="0"/>
    <cacheHierarchy uniqueName="[Table_1].[State or Province]" caption="State or Province" attribute="1" defaultMemberUniqueName="[Table_1].[State or Province].[All]" allUniqueName="[Table_1].[State or Province].[All]" dimensionUniqueName="[Table_1]" displayFolder="" count="0" memberValueDatatype="130" unbalanced="0"/>
    <cacheHierarchy uniqueName="[Table_1].[City]" caption="City" attribute="1" defaultMemberUniqueName="[Table_1].[City].[All]" allUniqueName="[Table_1].[City].[All]" dimensionUniqueName="[Table_1]" displayFolder="" count="0" memberValueDatatype="130" unbalanced="0"/>
    <cacheHierarchy uniqueName="[Table_1].[Postal Code]" caption="Postal Code" attribute="1" defaultMemberUniqueName="[Table_1].[Postal Code].[All]" allUniqueName="[Table_1].[Postal Code].[All]" dimensionUniqueName="[Table_1]" displayFolder="" count="0" memberValueDatatype="20" unbalanced="0"/>
    <cacheHierarchy uniqueName="[Table_1].[Order Date]" caption="Order Date" attribute="1" time="1" defaultMemberUniqueName="[Table_1].[Order Date].[All]" allUniqueName="[Table_1].[Order Date].[All]" dimensionUniqueName="[Table_1]" displayFolder="" count="0" memberValueDatatype="7" unbalanced="0"/>
    <cacheHierarchy uniqueName="[Table_1].[Ship Date]" caption="Ship Date" attribute="1" time="1" defaultMemberUniqueName="[Table_1].[Ship Date].[All]" allUniqueName="[Table_1].[Ship Date].[All]" dimensionUniqueName="[Table_1]" displayFolder="" count="0" memberValueDatatype="7" unbalanced="0"/>
    <cacheHierarchy uniqueName="[Table_1].[Profit]" caption="Profit" attribute="1" defaultMemberUniqueName="[Table_1].[Profit].[All]" allUniqueName="[Table_1].[Profit].[All]" dimensionUniqueName="[Table_1]" displayFolder="" count="0" memberValueDatatype="5" unbalanced="0"/>
    <cacheHierarchy uniqueName="[Table_1].[Quantity ordered new]" caption="Quantity ordered new" attribute="1" defaultMemberUniqueName="[Table_1].[Quantity ordered new].[All]" allUniqueName="[Table_1].[Quantity ordered new].[All]" dimensionUniqueName="[Table_1]" displayFolder="" count="0" memberValueDatatype="20" unbalanced="0"/>
    <cacheHierarchy uniqueName="[Table_1].[Sales]" caption="Sales" attribute="1" defaultMemberUniqueName="[Table_1].[Sales].[All]" allUniqueName="[Table_1].[Sales].[All]" dimensionUniqueName="[Table_1]" displayFolder="" count="0" memberValueDatatype="5" unbalanced="0"/>
    <cacheHierarchy uniqueName="[Table_1].[Order ID]" caption="Order ID" attribute="1" defaultMemberUniqueName="[Table_1].[Order ID].[All]" allUniqueName="[Table_1].[Order ID].[All]" dimensionUniqueName="[Table_1]" displayFolder="" count="0" memberValueDatatype="20" unbalanced="0"/>
    <cacheHierarchy uniqueName="[Table_1].[Total]" caption="Total" attribute="1" defaultMemberUniqueName="[Table_1].[Total].[All]" allUniqueName="[Table_1].[Total].[All]" dimensionUniqueName="[Table_1]" displayFolder="" count="0" memberValueDatatype="5" unbalanced="0"/>
    <cacheHierarchy uniqueName="[Table_1].[Manager]" caption="Manager" attribute="1" defaultMemberUniqueName="[Table_1].[Manager].[All]" allUniqueName="[Table_1].[Manager].[All]" dimensionUniqueName="[Table_1]" displayFolder="" count="0" memberValueDatatype="130" unbalanced="0"/>
    <cacheHierarchy uniqueName="[Table_1].[Dollar Discount]" caption="Dollar Discount" attribute="1" defaultMemberUniqueName="[Table_1].[Dollar Discount].[All]" allUniqueName="[Table_1].[Dollar Discount].[All]" dimensionUniqueName="[Table_1]" displayFolder="" count="0" memberValueDatatype="5" unbalanced="0"/>
    <cacheHierarchy uniqueName="[Table_1].[Gross Cost]" caption="Gross Cost" attribute="1" defaultMemberUniqueName="[Table_1].[Gross Cost].[All]" allUniqueName="[Table_1].[Gross Cost].[All]" dimensionUniqueName="[Table_1]" displayFolder="" count="0" memberValueDatatype="5" unbalanced="0"/>
    <cacheHierarchy uniqueName="[Table_1].[Gross Profit]" caption="Gross Profit" attribute="1" defaultMemberUniqueName="[Table_1].[Gross Profit].[All]" allUniqueName="[Table_1].[Gross Profit].[All]" dimensionUniqueName="[Table_1]" displayFolder="" count="0" memberValueDatatype="5" unbalanced="0"/>
    <cacheHierarchy uniqueName="[Table_1].[Cumulative cost]" caption="Cumulative cost" attribute="1" defaultMemberUniqueName="[Table_1].[Cumulative cost].[All]" allUniqueName="[Table_1].[Cumulative cost].[All]" dimensionUniqueName="[Table_1]" displayFolder="" count="0" memberValueDatatype="5" unbalanced="0"/>
    <cacheHierarchy uniqueName="[Table_1].[Order Date (Month)]" caption="Order Date (Month)" attribute="1" defaultMemberUniqueName="[Table_1].[Order Date (Month)].[All]" allUniqueName="[Table_1].[Order Date (Month)].[All]" dimensionUniqueName="[Table_1]" displayFolder="" count="0" memberValueDatatype="130" unbalanced="0"/>
    <cacheHierarchy uniqueName="[Table_1].[Order Date (Month Index)]" caption="Order Date (Month Index)" attribute="1" defaultMemberUniqueName="[Table_1].[Order Date (Month Index)].[All]" allUniqueName="[Table_1].[Order Date (Month Index)].[All]" dimensionUniqueName="[Table_1]" displayFolder="" count="0" memberValueDatatype="20" unbalanced="0" hidden="1"/>
    <cacheHierarchy uniqueName="[Measures].[Σ Discount]" caption="Σ Discount" measure="1" displayFolder="" measureGroup="Table_1" count="0"/>
    <cacheHierarchy uniqueName="[Measures].[Σ Profit]" caption="Σ Profit" measure="1" displayFolder="" measureGroup="Table_1" count="0"/>
    <cacheHierarchy uniqueName="[Measures].[Σ Shipping]" caption="Σ Shipping" measure="1" displayFolder="" measureGroup="Table_1" count="0"/>
    <cacheHierarchy uniqueName="[Measures].[Σ Costs]" caption="Σ Costs" measure="1" displayFolder="" measureGroup="Table_1" count="0"/>
    <cacheHierarchy uniqueName="[Measures].[__XL_Count Table_1]" caption="__XL_Count Table_1" measure="1" displayFolder="" measureGroup="Table_1" count="0" hidden="1"/>
    <cacheHierarchy uniqueName="[Measures].[__No measures defined]" caption="__No measures defined" measure="1" displayFolder="" count="0" hidden="1"/>
    <cacheHierarchy uniqueName="[Measures].[Sum of Sales]" caption="Sum of Sales" measure="1" displayFolder="" measureGroup="Table_1" count="0" oneField="1" hidden="1">
      <fieldsUsage count="1">
        <fieldUsage x="2"/>
      </fieldsUsage>
      <extLst>
        <ext xmlns:x15="http://schemas.microsoft.com/office/spreadsheetml/2010/11/main" uri="{B97F6D7D-B522-45F9-BDA1-12C45D357490}">
          <x15:cacheHierarchy aggregatedColumn="22"/>
        </ext>
      </extLst>
    </cacheHierarchy>
    <cacheHierarchy uniqueName="[Measures].[Sum of Quantity ordered new]" caption="Sum of Quantity ordered new" measure="1" displayFolder="" measureGroup="Table_1" count="0" hidden="1">
      <extLst>
        <ext xmlns:x15="http://schemas.microsoft.com/office/spreadsheetml/2010/11/main" uri="{B97F6D7D-B522-45F9-BDA1-12C45D357490}">
          <x15:cacheHierarchy aggregatedColumn="21"/>
        </ext>
      </extLst>
    </cacheHierarchy>
    <cacheHierarchy uniqueName="[Measures].[Sum of Profit]" caption="Sum of Profit" measure="1" displayFolder="" measureGroup="Table_1" count="0" oneField="1" hidden="1">
      <fieldsUsage count="1">
        <fieldUsage x="3"/>
      </fieldsUsage>
      <extLst>
        <ext xmlns:x15="http://schemas.microsoft.com/office/spreadsheetml/2010/11/main" uri="{B97F6D7D-B522-45F9-BDA1-12C45D357490}">
          <x15:cacheHierarchy aggregatedColumn="20"/>
        </ext>
      </extLst>
    </cacheHierarchy>
    <cacheHierarchy uniqueName="[Measures].[Count of Product Category]" caption="Count of Product Category" measure="1" displayFolder="" measureGroup="Table_1" count="0" hidden="1">
      <extLst>
        <ext xmlns:x15="http://schemas.microsoft.com/office/spreadsheetml/2010/11/main" uri="{B97F6D7D-B522-45F9-BDA1-12C45D357490}">
          <x15:cacheHierarchy aggregatedColumn="8"/>
        </ext>
      </extLst>
    </cacheHierarchy>
    <cacheHierarchy uniqueName="[Measures].[Sum of Discount]" caption="Sum of Discount" measure="1" displayFolder="" measureGroup="Table_1" count="0" hidden="1">
      <extLst>
        <ext xmlns:x15="http://schemas.microsoft.com/office/spreadsheetml/2010/11/main" uri="{B97F6D7D-B522-45F9-BDA1-12C45D357490}">
          <x15:cacheHierarchy aggregatedColumn="3"/>
        </ext>
      </extLst>
    </cacheHierarchy>
    <cacheHierarchy uniqueName="[Measures].[Sum of Shipping Cost]" caption="Sum of Shipping Cost" measure="1" displayFolder="" measureGroup="Table_1" count="0" hidden="1">
      <extLst>
        <ext xmlns:x15="http://schemas.microsoft.com/office/spreadsheetml/2010/11/main" uri="{B97F6D7D-B522-45F9-BDA1-12C45D357490}">
          <x15:cacheHierarchy aggregatedColumn="5"/>
        </ext>
      </extLst>
    </cacheHierarchy>
    <cacheHierarchy uniqueName="[Measures].[Sum of Dollar Discount]" caption="Sum of Dollar Discount" measure="1" displayFolder="" measureGroup="Table_1" count="0" hidden="1">
      <extLst>
        <ext xmlns:x15="http://schemas.microsoft.com/office/spreadsheetml/2010/11/main" uri="{B97F6D7D-B522-45F9-BDA1-12C45D357490}">
          <x15:cacheHierarchy aggregatedColumn="26"/>
        </ext>
      </extLst>
    </cacheHierarchy>
    <cacheHierarchy uniqueName="[Measures].[Sum of Cumulative cost]" caption="Sum of Cumulative cost" measure="1" displayFolder="" measureGroup="Table_1" count="0" hidden="1">
      <extLst>
        <ext xmlns:x15="http://schemas.microsoft.com/office/spreadsheetml/2010/11/main" uri="{B97F6D7D-B522-45F9-BDA1-12C45D357490}">
          <x15:cacheHierarchy aggregatedColumn="29"/>
        </ext>
      </extLst>
    </cacheHierarchy>
    <cacheHierarchy uniqueName="[Measures].[Sum of Postal Code]" caption="Sum of Postal Code" measure="1" displayFolder="" measureGroup="Table_1" count="0" hidden="1">
      <extLst>
        <ext xmlns:x15="http://schemas.microsoft.com/office/spreadsheetml/2010/11/main" uri="{B97F6D7D-B522-45F9-BDA1-12C45D357490}">
          <x15:cacheHierarchy aggregatedColumn="17"/>
        </ext>
      </extLst>
    </cacheHierarchy>
    <cacheHierarchy uniqueName="[Measures].[Sum of Order ID]" caption="Sum of Order ID" measure="1" displayFolder="" measureGroup="Table_1" count="0" hidden="1">
      <extLst>
        <ext xmlns:x15="http://schemas.microsoft.com/office/spreadsheetml/2010/11/main" uri="{B97F6D7D-B522-45F9-BDA1-12C45D357490}">
          <x15:cacheHierarchy aggregatedColumn="23"/>
        </ext>
      </extLst>
    </cacheHierarchy>
    <cacheHierarchy uniqueName="[Measures].[Distinct Count of Order ID]" caption="Distinct Count of Order ID" measure="1" displayFolder="" measureGroup="Table_1" count="0" oneField="1" hidden="1">
      <fieldsUsage count="1">
        <fieldUsage x="5"/>
      </fieldsUsage>
      <extLst>
        <ext xmlns:x15="http://schemas.microsoft.com/office/spreadsheetml/2010/11/main" uri="{B97F6D7D-B522-45F9-BDA1-12C45D357490}">
          <x15:cacheHierarchy aggregatedColumn="23"/>
        </ext>
      </extLst>
    </cacheHierarchy>
    <cacheHierarchy uniqueName="[Measures].[Count of Order Date]" caption="Count of Order Date" measure="1" displayFolder="" measureGroup="Table_1" count="0" hidden="1">
      <extLst>
        <ext xmlns:x15="http://schemas.microsoft.com/office/spreadsheetml/2010/11/main" uri="{B97F6D7D-B522-45F9-BDA1-12C45D357490}">
          <x15:cacheHierarchy aggregatedColumn="18"/>
        </ext>
      </extLst>
    </cacheHierarchy>
    <cacheHierarchy uniqueName="[Measures].[Max of Order Date]" caption="Max of Order Date" measure="1" displayFolder="" measureGroup="Table_1" count="0" oneField="1" hidden="1">
      <fieldsUsage count="1">
        <fieldUsage x="6"/>
      </fieldsUsage>
      <extLst>
        <ext xmlns:x15="http://schemas.microsoft.com/office/spreadsheetml/2010/11/main" uri="{B97F6D7D-B522-45F9-BDA1-12C45D357490}">
          <x15:cacheHierarchy aggregatedColumn="18"/>
        </ext>
      </extLst>
    </cacheHierarchy>
    <cacheHierarchy uniqueName="[Measures].[Count of Product Name]" caption="Count of Product Name" measure="1" displayFolder="" measureGroup="Table_1" count="0" hidden="1">
      <extLst>
        <ext xmlns:x15="http://schemas.microsoft.com/office/spreadsheetml/2010/11/main" uri="{B97F6D7D-B522-45F9-BDA1-12C45D357490}">
          <x15:cacheHierarchy aggregatedColumn="11"/>
        </ext>
      </extLst>
    </cacheHierarchy>
    <cacheHierarchy uniqueName="[Measures].[Distinct Count of Product Name]" caption="Distinct Count of Product Name" measure="1" displayFolder="" measureGroup="Table_1" count="0" hidden="1">
      <extLst>
        <ext xmlns:x15="http://schemas.microsoft.com/office/spreadsheetml/2010/11/main" uri="{B97F6D7D-B522-45F9-BDA1-12C45D357490}">
          <x15:cacheHierarchy aggregatedColumn="11"/>
        </ext>
      </extLst>
    </cacheHierarchy>
  </cacheHierarchies>
  <kpis count="0"/>
  <dimensions count="2">
    <dimension measure="1" name="Measures" uniqueName="[Measures]" caption="Measures"/>
    <dimension name="Table_1" uniqueName="[Table_1]" caption="Table_1"/>
  </dimensions>
  <measureGroups count="1">
    <measureGroup name="Table_1" caption="Table_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aurabh Lakhanpal" refreshedDate="45219.691237384257" backgroundQuery="1" createdVersion="8" refreshedVersion="8" minRefreshableVersion="3" recordCount="0" supportSubquery="1" supportAdvancedDrill="1" xr:uid="{A64C017E-31DE-4DEC-A63A-7088F855994B}">
  <cacheSource type="external" connectionId="1"/>
  <cacheFields count="6">
    <cacheField name="[Table_1].[Order Date (Month)].[Order Date (Month)]" caption="Order Date (Month)" numFmtId="0" hierarchy="30" level="1">
      <sharedItems count="6">
        <s v="Jan"/>
        <s v="Feb"/>
        <s v="Mar"/>
        <s v="Apr"/>
        <s v="May"/>
        <s v="Jun"/>
      </sharedItems>
    </cacheField>
    <cacheField name="[Table_1].[Order Date].[Order Date]" caption="Order Date" numFmtId="0" hierarchy="18" level="1">
      <sharedItems containsSemiMixedTypes="0" containsNonDate="0" containsDate="1" containsString="0" minDate="2015-01-01T00:00:00" maxDate="2015-07-01T00:00:00" count="179">
        <d v="2015-01-01T00:00:00"/>
        <d v="2015-01-02T00:00:00"/>
        <d v="2015-01-03T00:00:00"/>
        <d v="2015-01-04T00:00:00"/>
        <d v="2015-01-05T00:00:00"/>
        <d v="2015-01-06T00:00:00"/>
        <d v="2015-01-07T00:00:00"/>
        <d v="2015-01-08T00:00:00"/>
        <d v="2015-01-09T00:00:00"/>
        <d v="2015-01-10T00:00:00"/>
        <d v="2015-01-11T00:00:00"/>
        <d v="2015-01-12T00:00:00"/>
        <d v="2015-01-13T00:00:00"/>
        <d v="2015-01-14T00:00:00"/>
        <d v="2015-01-15T00:00:00"/>
        <d v="2015-01-16T00:00:00"/>
        <d v="2015-01-17T00:00:00"/>
        <d v="2015-01-18T00:00:00"/>
        <d v="2015-01-19T00:00:00"/>
        <d v="2015-01-20T00:00:00"/>
        <d v="2015-01-21T00:00:00"/>
        <d v="2015-01-22T00:00:00"/>
        <d v="2015-01-23T00:00:00"/>
        <d v="2015-01-24T00:00:00"/>
        <d v="2015-01-25T00:00:00"/>
        <d v="2015-01-26T00:00:00"/>
        <d v="2015-01-27T00:00:00"/>
        <d v="2015-01-28T00:00:00"/>
        <d v="2015-01-29T00:00:00"/>
        <d v="2015-01-30T00:00:00"/>
        <d v="2015-01-31T00:00:00"/>
        <d v="2015-02-01T00:00:00"/>
        <d v="2015-02-02T00:00:00"/>
        <d v="2015-02-03T00:00:00"/>
        <d v="2015-02-04T00:00:00"/>
        <d v="2015-02-05T00:00:00"/>
        <d v="2015-02-06T00:00:00"/>
        <d v="2015-02-07T00:00:00"/>
        <d v="2015-02-08T00:00:00"/>
        <d v="2015-02-09T00:00:00"/>
        <d v="2015-02-10T00:00:00"/>
        <d v="2015-02-11T00:00:00"/>
        <d v="2015-02-12T00:00:00"/>
        <d v="2015-02-13T00:00:00"/>
        <d v="2015-02-14T00:00:00"/>
        <d v="2015-02-15T00:00:00"/>
        <d v="2015-02-16T00:00:00"/>
        <d v="2015-02-17T00:00:00"/>
        <d v="2015-02-18T00:00:00"/>
        <d v="2015-02-19T00:00:00"/>
        <d v="2015-02-20T00:00:00"/>
        <d v="2015-02-21T00:00:00"/>
        <d v="2015-02-22T00:00:00"/>
        <d v="2015-02-23T00:00:00"/>
        <d v="2015-02-24T00:00:00"/>
        <d v="2015-02-25T00:00:00"/>
        <d v="2015-02-26T00:00:00"/>
        <d v="2015-02-27T00:00:00"/>
        <d v="2015-02-28T00:00:00"/>
        <d v="2015-03-01T00:00:00"/>
        <d v="2015-03-02T00:00:00"/>
        <d v="2015-03-03T00:00:00"/>
        <d v="2015-03-04T00:00:00"/>
        <d v="2015-03-05T00:00:00"/>
        <d v="2015-03-06T00:00:00"/>
        <d v="2015-03-07T00:00:00"/>
        <d v="2015-03-08T00:00:00"/>
        <d v="2015-03-09T00:00:00"/>
        <d v="2015-03-10T00:00:00"/>
        <d v="2015-03-11T00:00:00"/>
        <d v="2015-03-12T00:00:00"/>
        <d v="2015-03-13T00:00:00"/>
        <d v="2015-03-14T00:00:00"/>
        <d v="2015-03-15T00:00:00"/>
        <d v="2015-03-16T00:00:00"/>
        <d v="2015-03-17T00:00:00"/>
        <d v="2015-03-18T00:00:00"/>
        <d v="2015-03-19T00:00:00"/>
        <d v="2015-03-20T00:00:00"/>
        <d v="2015-03-21T00:00:00"/>
        <d v="2015-03-22T00:00:00"/>
        <d v="2015-03-23T00:00:00"/>
        <d v="2015-03-24T00:00:00"/>
        <d v="2015-03-25T00:00:00"/>
        <d v="2015-03-26T00:00:00"/>
        <d v="2015-03-27T00:00:00"/>
        <d v="2015-03-28T00:00:00"/>
        <d v="2015-03-29T00:00:00"/>
        <d v="2015-03-30T00:00:00"/>
        <d v="2015-03-31T00:00:00"/>
        <d v="2015-04-01T00:00:00"/>
        <d v="2015-04-02T00:00:00"/>
        <d v="2015-04-04T00:00:00"/>
        <d v="2015-04-05T00:00:00"/>
        <d v="2015-04-06T00:00:00"/>
        <d v="2015-04-07T00:00:00"/>
        <d v="2015-04-08T00:00:00"/>
        <d v="2015-04-09T00:00:00"/>
        <d v="2015-04-10T00:00:00"/>
        <d v="2015-04-11T00:00:00"/>
        <d v="2015-04-12T00:00:00"/>
        <d v="2015-04-13T00:00:00"/>
        <d v="2015-04-14T00:00:00"/>
        <d v="2015-04-15T00:00:00"/>
        <d v="2015-04-16T00:00:00"/>
        <d v="2015-04-17T00:00:00"/>
        <d v="2015-04-18T00:00:00"/>
        <d v="2015-04-19T00:00:00"/>
        <d v="2015-04-20T00:00:00"/>
        <d v="2015-04-21T00:00:00"/>
        <d v="2015-04-22T00:00:00"/>
        <d v="2015-04-23T00:00:00"/>
        <d v="2015-04-24T00:00:00"/>
        <d v="2015-04-25T00:00:00"/>
        <d v="2015-04-26T00:00:00"/>
        <d v="2015-04-27T00:00:00"/>
        <d v="2015-04-28T00:00:00"/>
        <d v="2015-04-29T00:00:00"/>
        <d v="2015-04-30T00:00:00"/>
        <d v="2015-05-01T00:00:00"/>
        <d v="2015-05-02T00:00:00"/>
        <d v="2015-05-03T00:00:00"/>
        <d v="2015-05-04T00:00:00"/>
        <d v="2015-05-05T00:00:00"/>
        <d v="2015-05-06T00:00:00"/>
        <d v="2015-05-07T00:00:00"/>
        <d v="2015-05-08T00:00:00"/>
        <d v="2015-05-09T00:00:00"/>
        <d v="2015-05-10T00:00:00"/>
        <d v="2015-05-11T00:00:00"/>
        <d v="2015-05-12T00:00:00"/>
        <d v="2015-05-13T00:00:00"/>
        <d v="2015-05-14T00:00:00"/>
        <d v="2015-05-15T00:00:00"/>
        <d v="2015-05-16T00:00:00"/>
        <d v="2015-05-17T00:00:00"/>
        <d v="2015-05-18T00:00:00"/>
        <d v="2015-05-19T00:00:00"/>
        <d v="2015-05-20T00:00:00"/>
        <d v="2015-05-21T00:00:00"/>
        <d v="2015-05-22T00:00:00"/>
        <d v="2015-05-23T00:00:00"/>
        <d v="2015-05-24T00:00:00"/>
        <d v="2015-05-25T00:00:00"/>
        <d v="2015-05-26T00:00:00"/>
        <d v="2015-05-27T00:00:00"/>
        <d v="2015-05-28T00:00:00"/>
        <d v="2015-05-29T00:00:00"/>
        <d v="2015-05-30T00:00:00"/>
        <d v="2015-06-01T00:00:00"/>
        <d v="2015-06-02T00:00:00"/>
        <d v="2015-06-03T00:00:00"/>
        <d v="2015-06-04T00:00:00"/>
        <d v="2015-06-05T00:00:00"/>
        <d v="2015-06-06T00:00:00"/>
        <d v="2015-06-07T00:00:00"/>
        <d v="2015-06-08T00:00:00"/>
        <d v="2015-06-09T00:00:00"/>
        <d v="2015-06-10T00:00:00"/>
        <d v="2015-06-11T00:00:00"/>
        <d v="2015-06-12T00:00:00"/>
        <d v="2015-06-13T00:00:00"/>
        <d v="2015-06-14T00:00:00"/>
        <d v="2015-06-15T00:00:00"/>
        <d v="2015-06-16T00:00:00"/>
        <d v="2015-06-17T00:00:00"/>
        <d v="2015-06-18T00:00:00"/>
        <d v="2015-06-19T00:00:00"/>
        <d v="2015-06-20T00:00:00"/>
        <d v="2015-06-21T00:00:00"/>
        <d v="2015-06-22T00:00:00"/>
        <d v="2015-06-23T00:00:00"/>
        <d v="2015-06-24T00:00:00"/>
        <d v="2015-06-25T00:00:00"/>
        <d v="2015-06-26T00:00:00"/>
        <d v="2015-06-27T00:00:00"/>
        <d v="2015-06-28T00:00:00"/>
        <d v="2015-06-29T00:00:00"/>
        <d v="2015-06-30T00:00:00"/>
      </sharedItems>
    </cacheField>
    <cacheField name="[Measures].[Sum of Sales]" caption="Sum of Sales" numFmtId="0" hierarchy="38" level="32767"/>
    <cacheField name="[Measures].[Sum of Profit]" caption="Sum of Profit" numFmtId="0" hierarchy="40" level="32767"/>
    <cacheField name="[Measures].[Sum of Quantity ordered new]" caption="Sum of Quantity ordered new" numFmtId="0" hierarchy="39" level="32767"/>
    <cacheField name="[Table_1].[Customer Segment].[Customer Segment]" caption="Customer Segment" numFmtId="0" hierarchy="7" level="1">
      <sharedItems containsSemiMixedTypes="0" containsNonDate="0" containsString="0"/>
    </cacheField>
  </cacheFields>
  <cacheHierarchies count="53">
    <cacheHierarchy uniqueName="[Table_1].[Customer ID]" caption="Customer ID" attribute="1" defaultMemberUniqueName="[Table_1].[Customer ID].[All]" allUniqueName="[Table_1].[Customer ID].[All]" dimensionUniqueName="[Table_1]" displayFolder="" count="0" memberValueDatatype="20" unbalanced="0"/>
    <cacheHierarchy uniqueName="[Table_1].[Customer Name]" caption="Customer Name" attribute="1" defaultMemberUniqueName="[Table_1].[Customer Name].[All]" allUniqueName="[Table_1].[Customer Name].[All]" dimensionUniqueName="[Table_1]" displayFolder="" count="0" memberValueDatatype="130" unbalanced="0"/>
    <cacheHierarchy uniqueName="[Table_1].[Order Priority]" caption="Order Priority" attribute="1" defaultMemberUniqueName="[Table_1].[Order Priority].[All]" allUniqueName="[Table_1].[Order Priority].[All]" dimensionUniqueName="[Table_1]" displayFolder="" count="0" memberValueDatatype="130" unbalanced="0"/>
    <cacheHierarchy uniqueName="[Table_1].[Discount]" caption="Discount" attribute="1" defaultMemberUniqueName="[Table_1].[Discount].[All]" allUniqueName="[Table_1].[Discount].[All]" dimensionUniqueName="[Table_1]" displayFolder="" count="0" memberValueDatatype="5" unbalanced="0"/>
    <cacheHierarchy uniqueName="[Table_1].[Unit Price]" caption="Unit Price" attribute="1" defaultMemberUniqueName="[Table_1].[Unit Price].[All]" allUniqueName="[Table_1].[Unit Price].[All]" dimensionUniqueName="[Table_1]" displayFolder="" count="0" memberValueDatatype="5" unbalanced="0"/>
    <cacheHierarchy uniqueName="[Table_1].[Shipping Cost]" caption="Shipping Cost" attribute="1" defaultMemberUniqueName="[Table_1].[Shipping Cost].[All]" allUniqueName="[Table_1].[Shipping Cost].[All]" dimensionUniqueName="[Table_1]" displayFolder="" count="0" memberValueDatatype="5" unbalanced="0"/>
    <cacheHierarchy uniqueName="[Table_1].[Ship Mode]" caption="Ship Mode" attribute="1" defaultMemberUniqueName="[Table_1].[Ship Mode].[All]" allUniqueName="[Table_1].[Ship Mode].[All]" dimensionUniqueName="[Table_1]" displayFolder="" count="0" memberValueDatatype="130" unbalanced="0"/>
    <cacheHierarchy uniqueName="[Table_1].[Customer Segment]" caption="Customer Segment" attribute="1" defaultMemberUniqueName="[Table_1].[Customer Segment].[All]" allUniqueName="[Table_1].[Customer Segment].[All]" dimensionUniqueName="[Table_1]" displayFolder="" count="2" memberValueDatatype="130" unbalanced="0">
      <fieldsUsage count="2">
        <fieldUsage x="-1"/>
        <fieldUsage x="5"/>
      </fieldsUsage>
    </cacheHierarchy>
    <cacheHierarchy uniqueName="[Table_1].[Product Category]" caption="Product Category" attribute="1" defaultMemberUniqueName="[Table_1].[Product Category].[All]" allUniqueName="[Table_1].[Product Category].[All]" dimensionUniqueName="[Table_1]" displayFolder="" count="0" memberValueDatatype="130" unbalanced="0"/>
    <cacheHierarchy uniqueName="[Table_1].[Product Sub-Category]" caption="Product Sub-Category" attribute="1" defaultMemberUniqueName="[Table_1].[Product Sub-Category].[All]" allUniqueName="[Table_1].[Product Sub-Category].[All]" dimensionUniqueName="[Table_1]" displayFolder="" count="0" memberValueDatatype="130" unbalanced="0"/>
    <cacheHierarchy uniqueName="[Table_1].[Product Container]" caption="Product Container" attribute="1" defaultMemberUniqueName="[Table_1].[Product Container].[All]" allUniqueName="[Table_1].[Product Container].[All]" dimensionUniqueName="[Table_1]" displayFolder="" count="0" memberValueDatatype="130" unbalanced="0"/>
    <cacheHierarchy uniqueName="[Table_1].[Product Name]" caption="Product Name" attribute="1" defaultMemberUniqueName="[Table_1].[Product Name].[All]" allUniqueName="[Table_1].[Product Name].[All]" dimensionUniqueName="[Table_1]" displayFolder="" count="0" memberValueDatatype="130" unbalanced="0"/>
    <cacheHierarchy uniqueName="[Table_1].[Product Base Margin]" caption="Product Base Margin" attribute="1" defaultMemberUniqueName="[Table_1].[Product Base Margin].[All]" allUniqueName="[Table_1].[Product Base Margin].[All]" dimensionUniqueName="[Table_1]" displayFolder="" count="0" memberValueDatatype="5" unbalanced="0"/>
    <cacheHierarchy uniqueName="[Table_1].[Country]" caption="Country" attribute="1" defaultMemberUniqueName="[Table_1].[Country].[All]" allUniqueName="[Table_1].[Country].[All]" dimensionUniqueName="[Table_1]" displayFolder="" count="0" memberValueDatatype="130" unbalanced="0"/>
    <cacheHierarchy uniqueName="[Table_1].[Region]" caption="Region" attribute="1" defaultMemberUniqueName="[Table_1].[Region].[All]" allUniqueName="[Table_1].[Region].[All]" dimensionUniqueName="[Table_1]" displayFolder="" count="0" memberValueDatatype="130" unbalanced="0"/>
    <cacheHierarchy uniqueName="[Table_1].[State or Province]" caption="State or Province" attribute="1" defaultMemberUniqueName="[Table_1].[State or Province].[All]" allUniqueName="[Table_1].[State or Province].[All]" dimensionUniqueName="[Table_1]" displayFolder="" count="0" memberValueDatatype="130" unbalanced="0"/>
    <cacheHierarchy uniqueName="[Table_1].[City]" caption="City" attribute="1" defaultMemberUniqueName="[Table_1].[City].[All]" allUniqueName="[Table_1].[City].[All]" dimensionUniqueName="[Table_1]" displayFolder="" count="0" memberValueDatatype="130" unbalanced="0"/>
    <cacheHierarchy uniqueName="[Table_1].[Postal Code]" caption="Postal Code" attribute="1" defaultMemberUniqueName="[Table_1].[Postal Code].[All]" allUniqueName="[Table_1].[Postal Code].[All]" dimensionUniqueName="[Table_1]" displayFolder="" count="0" memberValueDatatype="20" unbalanced="0"/>
    <cacheHierarchy uniqueName="[Table_1].[Order Date]" caption="Order Date" attribute="1" time="1" defaultMemberUniqueName="[Table_1].[Order Date].[All]" allUniqueName="[Table_1].[Order Date].[All]" dimensionUniqueName="[Table_1]" displayFolder="" count="2" memberValueDatatype="7" unbalanced="0">
      <fieldsUsage count="2">
        <fieldUsage x="-1"/>
        <fieldUsage x="1"/>
      </fieldsUsage>
    </cacheHierarchy>
    <cacheHierarchy uniqueName="[Table_1].[Ship Date]" caption="Ship Date" attribute="1" time="1" defaultMemberUniqueName="[Table_1].[Ship Date].[All]" allUniqueName="[Table_1].[Ship Date].[All]" dimensionUniqueName="[Table_1]" displayFolder="" count="0" memberValueDatatype="7" unbalanced="0"/>
    <cacheHierarchy uniqueName="[Table_1].[Profit]" caption="Profit" attribute="1" defaultMemberUniqueName="[Table_1].[Profit].[All]" allUniqueName="[Table_1].[Profit].[All]" dimensionUniqueName="[Table_1]" displayFolder="" count="0" memberValueDatatype="5" unbalanced="0"/>
    <cacheHierarchy uniqueName="[Table_1].[Quantity ordered new]" caption="Quantity ordered new" attribute="1" defaultMemberUniqueName="[Table_1].[Quantity ordered new].[All]" allUniqueName="[Table_1].[Quantity ordered new].[All]" dimensionUniqueName="[Table_1]" displayFolder="" count="0" memberValueDatatype="20" unbalanced="0"/>
    <cacheHierarchy uniqueName="[Table_1].[Sales]" caption="Sales" attribute="1" defaultMemberUniqueName="[Table_1].[Sales].[All]" allUniqueName="[Table_1].[Sales].[All]" dimensionUniqueName="[Table_1]" displayFolder="" count="0" memberValueDatatype="5" unbalanced="0"/>
    <cacheHierarchy uniqueName="[Table_1].[Order ID]" caption="Order ID" attribute="1" defaultMemberUniqueName="[Table_1].[Order ID].[All]" allUniqueName="[Table_1].[Order ID].[All]" dimensionUniqueName="[Table_1]" displayFolder="" count="0" memberValueDatatype="20" unbalanced="0"/>
    <cacheHierarchy uniqueName="[Table_1].[Total]" caption="Total" attribute="1" defaultMemberUniqueName="[Table_1].[Total].[All]" allUniqueName="[Table_1].[Total].[All]" dimensionUniqueName="[Table_1]" displayFolder="" count="0" memberValueDatatype="5" unbalanced="0"/>
    <cacheHierarchy uniqueName="[Table_1].[Manager]" caption="Manager" attribute="1" defaultMemberUniqueName="[Table_1].[Manager].[All]" allUniqueName="[Table_1].[Manager].[All]" dimensionUniqueName="[Table_1]" displayFolder="" count="2" memberValueDatatype="130" unbalanced="0"/>
    <cacheHierarchy uniqueName="[Table_1].[Dollar Discount]" caption="Dollar Discount" attribute="1" defaultMemberUniqueName="[Table_1].[Dollar Discount].[All]" allUniqueName="[Table_1].[Dollar Discount].[All]" dimensionUniqueName="[Table_1]" displayFolder="" count="0" memberValueDatatype="5" unbalanced="0"/>
    <cacheHierarchy uniqueName="[Table_1].[Gross Cost]" caption="Gross Cost" attribute="1" defaultMemberUniqueName="[Table_1].[Gross Cost].[All]" allUniqueName="[Table_1].[Gross Cost].[All]" dimensionUniqueName="[Table_1]" displayFolder="" count="0" memberValueDatatype="5" unbalanced="0"/>
    <cacheHierarchy uniqueName="[Table_1].[Gross Profit]" caption="Gross Profit" attribute="1" defaultMemberUniqueName="[Table_1].[Gross Profit].[All]" allUniqueName="[Table_1].[Gross Profit].[All]" dimensionUniqueName="[Table_1]" displayFolder="" count="0" memberValueDatatype="5" unbalanced="0"/>
    <cacheHierarchy uniqueName="[Table_1].[Cumulative cost]" caption="Cumulative cost" attribute="1" defaultMemberUniqueName="[Table_1].[Cumulative cost].[All]" allUniqueName="[Table_1].[Cumulative cost].[All]" dimensionUniqueName="[Table_1]" displayFolder="" count="0" memberValueDatatype="5" unbalanced="0"/>
    <cacheHierarchy uniqueName="[Table_1].[Order Date (Month)]" caption="Order Date (Month)" attribute="1" defaultMemberUniqueName="[Table_1].[Order Date (Month)].[All]" allUniqueName="[Table_1].[Order Date (Month)].[All]" dimensionUniqueName="[Table_1]" displayFolder="" count="2" memberValueDatatype="130" unbalanced="0">
      <fieldsUsage count="2">
        <fieldUsage x="-1"/>
        <fieldUsage x="0"/>
      </fieldsUsage>
    </cacheHierarchy>
    <cacheHierarchy uniqueName="[Table_1].[Order Date (Month Index)]" caption="Order Date (Month Index)" attribute="1" defaultMemberUniqueName="[Table_1].[Order Date (Month Index)].[All]" allUniqueName="[Table_1].[Order Date (Month Index)].[All]" dimensionUniqueName="[Table_1]" displayFolder="" count="0" memberValueDatatype="20" unbalanced="0" hidden="1"/>
    <cacheHierarchy uniqueName="[Measures].[Σ Discount]" caption="Σ Discount" measure="1" displayFolder="" measureGroup="Table_1" count="0"/>
    <cacheHierarchy uniqueName="[Measures].[Σ Profit]" caption="Σ Profit" measure="1" displayFolder="" measureGroup="Table_1" count="0"/>
    <cacheHierarchy uniqueName="[Measures].[Σ Shipping]" caption="Σ Shipping" measure="1" displayFolder="" measureGroup="Table_1" count="0"/>
    <cacheHierarchy uniqueName="[Measures].[Σ Costs]" caption="Σ Costs" measure="1" displayFolder="" measureGroup="Table_1" count="0"/>
    <cacheHierarchy uniqueName="[Measures].[__XL_Count Table_1]" caption="__XL_Count Table_1" measure="1" displayFolder="" measureGroup="Table_1" count="0" hidden="1"/>
    <cacheHierarchy uniqueName="[Measures].[__No measures defined]" caption="__No measures defined" measure="1" displayFolder="" count="0" hidden="1"/>
    <cacheHierarchy uniqueName="[Measures].[Sum of Sales]" caption="Sum of Sales" measure="1" displayFolder="" measureGroup="Table_1" count="0" oneField="1" hidden="1">
      <fieldsUsage count="1">
        <fieldUsage x="2"/>
      </fieldsUsage>
      <extLst>
        <ext xmlns:x15="http://schemas.microsoft.com/office/spreadsheetml/2010/11/main" uri="{B97F6D7D-B522-45F9-BDA1-12C45D357490}">
          <x15:cacheHierarchy aggregatedColumn="22"/>
        </ext>
      </extLst>
    </cacheHierarchy>
    <cacheHierarchy uniqueName="[Measures].[Sum of Quantity ordered new]" caption="Sum of Quantity ordered new" measure="1" displayFolder="" measureGroup="Table_1" count="0" oneField="1" hidden="1">
      <fieldsUsage count="1">
        <fieldUsage x="4"/>
      </fieldsUsage>
      <extLst>
        <ext xmlns:x15="http://schemas.microsoft.com/office/spreadsheetml/2010/11/main" uri="{B97F6D7D-B522-45F9-BDA1-12C45D357490}">
          <x15:cacheHierarchy aggregatedColumn="21"/>
        </ext>
      </extLst>
    </cacheHierarchy>
    <cacheHierarchy uniqueName="[Measures].[Sum of Profit]" caption="Sum of Profit" measure="1" displayFolder="" measureGroup="Table_1" count="0" oneField="1" hidden="1">
      <fieldsUsage count="1">
        <fieldUsage x="3"/>
      </fieldsUsage>
      <extLst>
        <ext xmlns:x15="http://schemas.microsoft.com/office/spreadsheetml/2010/11/main" uri="{B97F6D7D-B522-45F9-BDA1-12C45D357490}">
          <x15:cacheHierarchy aggregatedColumn="20"/>
        </ext>
      </extLst>
    </cacheHierarchy>
    <cacheHierarchy uniqueName="[Measures].[Count of Product Category]" caption="Count of Product Category" measure="1" displayFolder="" measureGroup="Table_1" count="0" hidden="1">
      <extLst>
        <ext xmlns:x15="http://schemas.microsoft.com/office/spreadsheetml/2010/11/main" uri="{B97F6D7D-B522-45F9-BDA1-12C45D357490}">
          <x15:cacheHierarchy aggregatedColumn="8"/>
        </ext>
      </extLst>
    </cacheHierarchy>
    <cacheHierarchy uniqueName="[Measures].[Sum of Discount]" caption="Sum of Discount" measure="1" displayFolder="" measureGroup="Table_1" count="0" hidden="1">
      <extLst>
        <ext xmlns:x15="http://schemas.microsoft.com/office/spreadsheetml/2010/11/main" uri="{B97F6D7D-B522-45F9-BDA1-12C45D357490}">
          <x15:cacheHierarchy aggregatedColumn="3"/>
        </ext>
      </extLst>
    </cacheHierarchy>
    <cacheHierarchy uniqueName="[Measures].[Sum of Shipping Cost]" caption="Sum of Shipping Cost" measure="1" displayFolder="" measureGroup="Table_1" count="0" hidden="1">
      <extLst>
        <ext xmlns:x15="http://schemas.microsoft.com/office/spreadsheetml/2010/11/main" uri="{B97F6D7D-B522-45F9-BDA1-12C45D357490}">
          <x15:cacheHierarchy aggregatedColumn="5"/>
        </ext>
      </extLst>
    </cacheHierarchy>
    <cacheHierarchy uniqueName="[Measures].[Sum of Dollar Discount]" caption="Sum of Dollar Discount" measure="1" displayFolder="" measureGroup="Table_1" count="0" hidden="1">
      <extLst>
        <ext xmlns:x15="http://schemas.microsoft.com/office/spreadsheetml/2010/11/main" uri="{B97F6D7D-B522-45F9-BDA1-12C45D357490}">
          <x15:cacheHierarchy aggregatedColumn="26"/>
        </ext>
      </extLst>
    </cacheHierarchy>
    <cacheHierarchy uniqueName="[Measures].[Sum of Cumulative cost]" caption="Sum of Cumulative cost" measure="1" displayFolder="" measureGroup="Table_1" count="0" hidden="1">
      <extLst>
        <ext xmlns:x15="http://schemas.microsoft.com/office/spreadsheetml/2010/11/main" uri="{B97F6D7D-B522-45F9-BDA1-12C45D357490}">
          <x15:cacheHierarchy aggregatedColumn="29"/>
        </ext>
      </extLst>
    </cacheHierarchy>
    <cacheHierarchy uniqueName="[Measures].[Sum of Postal Code]" caption="Sum of Postal Code" measure="1" displayFolder="" measureGroup="Table_1" count="0" hidden="1">
      <extLst>
        <ext xmlns:x15="http://schemas.microsoft.com/office/spreadsheetml/2010/11/main" uri="{B97F6D7D-B522-45F9-BDA1-12C45D357490}">
          <x15:cacheHierarchy aggregatedColumn="17"/>
        </ext>
      </extLst>
    </cacheHierarchy>
    <cacheHierarchy uniqueName="[Measures].[Sum of Order ID]" caption="Sum of Order ID" measure="1" displayFolder="" measureGroup="Table_1" count="0" hidden="1">
      <extLst>
        <ext xmlns:x15="http://schemas.microsoft.com/office/spreadsheetml/2010/11/main" uri="{B97F6D7D-B522-45F9-BDA1-12C45D357490}">
          <x15:cacheHierarchy aggregatedColumn="23"/>
        </ext>
      </extLst>
    </cacheHierarchy>
    <cacheHierarchy uniqueName="[Measures].[Distinct Count of Order ID]" caption="Distinct Count of Order ID" measure="1" displayFolder="" measureGroup="Table_1" count="0" hidden="1">
      <extLst>
        <ext xmlns:x15="http://schemas.microsoft.com/office/spreadsheetml/2010/11/main" uri="{B97F6D7D-B522-45F9-BDA1-12C45D357490}">
          <x15:cacheHierarchy aggregatedColumn="23"/>
        </ext>
      </extLst>
    </cacheHierarchy>
    <cacheHierarchy uniqueName="[Measures].[Count of Order Date]" caption="Count of Order Date" measure="1" displayFolder="" measureGroup="Table_1" count="0" hidden="1">
      <extLst>
        <ext xmlns:x15="http://schemas.microsoft.com/office/spreadsheetml/2010/11/main" uri="{B97F6D7D-B522-45F9-BDA1-12C45D357490}">
          <x15:cacheHierarchy aggregatedColumn="18"/>
        </ext>
      </extLst>
    </cacheHierarchy>
    <cacheHierarchy uniqueName="[Measures].[Max of Order Date]" caption="Max of Order Date" measure="1" displayFolder="" measureGroup="Table_1" count="0" hidden="1">
      <extLst>
        <ext xmlns:x15="http://schemas.microsoft.com/office/spreadsheetml/2010/11/main" uri="{B97F6D7D-B522-45F9-BDA1-12C45D357490}">
          <x15:cacheHierarchy aggregatedColumn="18"/>
        </ext>
      </extLst>
    </cacheHierarchy>
    <cacheHierarchy uniqueName="[Measures].[Count of Product Name]" caption="Count of Product Name" measure="1" displayFolder="" measureGroup="Table_1" count="0" hidden="1">
      <extLst>
        <ext xmlns:x15="http://schemas.microsoft.com/office/spreadsheetml/2010/11/main" uri="{B97F6D7D-B522-45F9-BDA1-12C45D357490}">
          <x15:cacheHierarchy aggregatedColumn="11"/>
        </ext>
      </extLst>
    </cacheHierarchy>
    <cacheHierarchy uniqueName="[Measures].[Distinct Count of Product Name]" caption="Distinct Count of Product Name" measure="1" displayFolder="" measureGroup="Table_1" count="0" hidden="1">
      <extLst>
        <ext xmlns:x15="http://schemas.microsoft.com/office/spreadsheetml/2010/11/main" uri="{B97F6D7D-B522-45F9-BDA1-12C45D357490}">
          <x15:cacheHierarchy aggregatedColumn="11"/>
        </ext>
      </extLst>
    </cacheHierarchy>
  </cacheHierarchies>
  <kpis count="0"/>
  <dimensions count="2">
    <dimension measure="1" name="Measures" uniqueName="[Measures]" caption="Measures"/>
    <dimension name="Table_1" uniqueName="[Table_1]" caption="Table_1"/>
  </dimensions>
  <measureGroups count="1">
    <measureGroup name="Table_1" caption="Table_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aurabh Lakhanpal" refreshedDate="45219.69123773148" backgroundQuery="1" createdVersion="8" refreshedVersion="8" minRefreshableVersion="3" recordCount="0" supportSubquery="1" supportAdvancedDrill="1" xr:uid="{5FBC046E-FB2C-4F0D-BC53-17414D36FF13}">
  <cacheSource type="external" connectionId="1"/>
  <cacheFields count="5">
    <cacheField name="[Measures].[Sum of Sales]" caption="Sum of Sales" numFmtId="0" hierarchy="38" level="32767"/>
    <cacheField name="[Measures].[Sum of Profit]" caption="Sum of Profit" numFmtId="0" hierarchy="40" level="32767"/>
    <cacheField name="[Measures].[Sum of Quantity ordered new]" caption="Sum of Quantity ordered new" numFmtId="0" hierarchy="39" level="32767"/>
    <cacheField name="[Table_1].[Manager].[Manager]" caption="Manager" numFmtId="0" hierarchy="25" level="1">
      <sharedItems count="4">
        <s v="Chris"/>
        <s v="Erin"/>
        <s v="Sam"/>
        <s v="William"/>
      </sharedItems>
    </cacheField>
    <cacheField name="[Table_1].[Customer Segment].[Customer Segment]" caption="Customer Segment" numFmtId="0" hierarchy="7" level="1">
      <sharedItems containsSemiMixedTypes="0" containsNonDate="0" containsString="0"/>
    </cacheField>
  </cacheFields>
  <cacheHierarchies count="53">
    <cacheHierarchy uniqueName="[Table_1].[Customer ID]" caption="Customer ID" attribute="1" defaultMemberUniqueName="[Table_1].[Customer ID].[All]" allUniqueName="[Table_1].[Customer ID].[All]" dimensionUniqueName="[Table_1]" displayFolder="" count="2" memberValueDatatype="20" unbalanced="0"/>
    <cacheHierarchy uniqueName="[Table_1].[Customer Name]" caption="Customer Name" attribute="1" defaultMemberUniqueName="[Table_1].[Customer Name].[All]" allUniqueName="[Table_1].[Customer Name].[All]" dimensionUniqueName="[Table_1]" displayFolder="" count="2" memberValueDatatype="130" unbalanced="0"/>
    <cacheHierarchy uniqueName="[Table_1].[Order Priority]" caption="Order Priority" attribute="1" defaultMemberUniqueName="[Table_1].[Order Priority].[All]" allUniqueName="[Table_1].[Order Priority].[All]" dimensionUniqueName="[Table_1]" displayFolder="" count="2" memberValueDatatype="130" unbalanced="0"/>
    <cacheHierarchy uniqueName="[Table_1].[Discount]" caption="Discount" attribute="1" defaultMemberUniqueName="[Table_1].[Discount].[All]" allUniqueName="[Table_1].[Discount].[All]" dimensionUniqueName="[Table_1]" displayFolder="" count="2" memberValueDatatype="5" unbalanced="0"/>
    <cacheHierarchy uniqueName="[Table_1].[Unit Price]" caption="Unit Price" attribute="1" defaultMemberUniqueName="[Table_1].[Unit Price].[All]" allUniqueName="[Table_1].[Unit Price].[All]" dimensionUniqueName="[Table_1]" displayFolder="" count="2" memberValueDatatype="5" unbalanced="0"/>
    <cacheHierarchy uniqueName="[Table_1].[Shipping Cost]" caption="Shipping Cost" attribute="1" defaultMemberUniqueName="[Table_1].[Shipping Cost].[All]" allUniqueName="[Table_1].[Shipping Cost].[All]" dimensionUniqueName="[Table_1]" displayFolder="" count="2" memberValueDatatype="5" unbalanced="0"/>
    <cacheHierarchy uniqueName="[Table_1].[Ship Mode]" caption="Ship Mode" attribute="1" defaultMemberUniqueName="[Table_1].[Ship Mode].[All]" allUniqueName="[Table_1].[Ship Mode].[All]" dimensionUniqueName="[Table_1]" displayFolder="" count="2" memberValueDatatype="130" unbalanced="0"/>
    <cacheHierarchy uniqueName="[Table_1].[Customer Segment]" caption="Customer Segment" attribute="1" defaultMemberUniqueName="[Table_1].[Customer Segment].[All]" allUniqueName="[Table_1].[Customer Segment].[All]" dimensionUniqueName="[Table_1]" displayFolder="" count="2" memberValueDatatype="130" unbalanced="0">
      <fieldsUsage count="2">
        <fieldUsage x="-1"/>
        <fieldUsage x="4"/>
      </fieldsUsage>
    </cacheHierarchy>
    <cacheHierarchy uniqueName="[Table_1].[Product Category]" caption="Product Category" attribute="1" defaultMemberUniqueName="[Table_1].[Product Category].[All]" allUniqueName="[Table_1].[Product Category].[All]" dimensionUniqueName="[Table_1]" displayFolder="" count="2" memberValueDatatype="130" unbalanced="0"/>
    <cacheHierarchy uniqueName="[Table_1].[Product Sub-Category]" caption="Product Sub-Category" attribute="1" defaultMemberUniqueName="[Table_1].[Product Sub-Category].[All]" allUniqueName="[Table_1].[Product Sub-Category].[All]" dimensionUniqueName="[Table_1]" displayFolder="" count="2" memberValueDatatype="130" unbalanced="0"/>
    <cacheHierarchy uniqueName="[Table_1].[Product Container]" caption="Product Container" attribute="1" defaultMemberUniqueName="[Table_1].[Product Container].[All]" allUniqueName="[Table_1].[Product Container].[All]" dimensionUniqueName="[Table_1]" displayFolder="" count="2" memberValueDatatype="130" unbalanced="0"/>
    <cacheHierarchy uniqueName="[Table_1].[Product Name]" caption="Product Name" attribute="1" defaultMemberUniqueName="[Table_1].[Product Name].[All]" allUniqueName="[Table_1].[Product Name].[All]" dimensionUniqueName="[Table_1]" displayFolder="" count="2" memberValueDatatype="130" unbalanced="0"/>
    <cacheHierarchy uniqueName="[Table_1].[Product Base Margin]" caption="Product Base Margin" attribute="1" defaultMemberUniqueName="[Table_1].[Product Base Margin].[All]" allUniqueName="[Table_1].[Product Base Margin].[All]" dimensionUniqueName="[Table_1]" displayFolder="" count="2" memberValueDatatype="5" unbalanced="0"/>
    <cacheHierarchy uniqueName="[Table_1].[Country]" caption="Country" attribute="1" defaultMemberUniqueName="[Table_1].[Country].[All]" allUniqueName="[Table_1].[Country].[All]" dimensionUniqueName="[Table_1]" displayFolder="" count="2" memberValueDatatype="130" unbalanced="0"/>
    <cacheHierarchy uniqueName="[Table_1].[Region]" caption="Region" attribute="1" defaultMemberUniqueName="[Table_1].[Region].[All]" allUniqueName="[Table_1].[Region].[All]" dimensionUniqueName="[Table_1]" displayFolder="" count="2" memberValueDatatype="130" unbalanced="0"/>
    <cacheHierarchy uniqueName="[Table_1].[State or Province]" caption="State or Province" attribute="1" defaultMemberUniqueName="[Table_1].[State or Province].[All]" allUniqueName="[Table_1].[State or Province].[All]" dimensionUniqueName="[Table_1]" displayFolder="" count="2" memberValueDatatype="130" unbalanced="0"/>
    <cacheHierarchy uniqueName="[Table_1].[City]" caption="City" attribute="1" defaultMemberUniqueName="[Table_1].[City].[All]" allUniqueName="[Table_1].[City].[All]" dimensionUniqueName="[Table_1]" displayFolder="" count="2" memberValueDatatype="130" unbalanced="0"/>
    <cacheHierarchy uniqueName="[Table_1].[Postal Code]" caption="Postal Code" attribute="1" defaultMemberUniqueName="[Table_1].[Postal Code].[All]" allUniqueName="[Table_1].[Postal Code].[All]" dimensionUniqueName="[Table_1]" displayFolder="" count="2" memberValueDatatype="20" unbalanced="0"/>
    <cacheHierarchy uniqueName="[Table_1].[Order Date]" caption="Order Date" attribute="1" time="1" defaultMemberUniqueName="[Table_1].[Order Date].[All]" allUniqueName="[Table_1].[Order Date].[All]" dimensionUniqueName="[Table_1]" displayFolder="" count="2" memberValueDatatype="7" unbalanced="0"/>
    <cacheHierarchy uniqueName="[Table_1].[Ship Date]" caption="Ship Date" attribute="1" time="1" defaultMemberUniqueName="[Table_1].[Ship Date].[All]" allUniqueName="[Table_1].[Ship Date].[All]" dimensionUniqueName="[Table_1]" displayFolder="" count="2" memberValueDatatype="7" unbalanced="0"/>
    <cacheHierarchy uniqueName="[Table_1].[Profit]" caption="Profit" attribute="1" defaultMemberUniqueName="[Table_1].[Profit].[All]" allUniqueName="[Table_1].[Profit].[All]" dimensionUniqueName="[Table_1]" displayFolder="" count="2" memberValueDatatype="5" unbalanced="0"/>
    <cacheHierarchy uniqueName="[Table_1].[Quantity ordered new]" caption="Quantity ordered new" attribute="1" defaultMemberUniqueName="[Table_1].[Quantity ordered new].[All]" allUniqueName="[Table_1].[Quantity ordered new].[All]" dimensionUniqueName="[Table_1]" displayFolder="" count="2" memberValueDatatype="20" unbalanced="0"/>
    <cacheHierarchy uniqueName="[Table_1].[Sales]" caption="Sales" attribute="1" defaultMemberUniqueName="[Table_1].[Sales].[All]" allUniqueName="[Table_1].[Sales].[All]" dimensionUniqueName="[Table_1]" displayFolder="" count="2" memberValueDatatype="5" unbalanced="0"/>
    <cacheHierarchy uniqueName="[Table_1].[Order ID]" caption="Order ID" attribute="1" defaultMemberUniqueName="[Table_1].[Order ID].[All]" allUniqueName="[Table_1].[Order ID].[All]" dimensionUniqueName="[Table_1]" displayFolder="" count="2" memberValueDatatype="20" unbalanced="0"/>
    <cacheHierarchy uniqueName="[Table_1].[Total]" caption="Total" attribute="1" defaultMemberUniqueName="[Table_1].[Total].[All]" allUniqueName="[Table_1].[Total].[All]" dimensionUniqueName="[Table_1]" displayFolder="" count="2" memberValueDatatype="5" unbalanced="0"/>
    <cacheHierarchy uniqueName="[Table_1].[Manager]" caption="Manager" attribute="1" defaultMemberUniqueName="[Table_1].[Manager].[All]" allUniqueName="[Table_1].[Manager].[All]" dimensionUniqueName="[Table_1]" displayFolder="" count="2" memberValueDatatype="130" unbalanced="0">
      <fieldsUsage count="2">
        <fieldUsage x="-1"/>
        <fieldUsage x="3"/>
      </fieldsUsage>
    </cacheHierarchy>
    <cacheHierarchy uniqueName="[Table_1].[Dollar Discount]" caption="Dollar Discount" attribute="1" defaultMemberUniqueName="[Table_1].[Dollar Discount].[All]" allUniqueName="[Table_1].[Dollar Discount].[All]" dimensionUniqueName="[Table_1]" displayFolder="" count="2" memberValueDatatype="5" unbalanced="0"/>
    <cacheHierarchy uniqueName="[Table_1].[Gross Cost]" caption="Gross Cost" attribute="1" defaultMemberUniqueName="[Table_1].[Gross Cost].[All]" allUniqueName="[Table_1].[Gross Cost].[All]" dimensionUniqueName="[Table_1]" displayFolder="" count="2" memberValueDatatype="5" unbalanced="0"/>
    <cacheHierarchy uniqueName="[Table_1].[Gross Profit]" caption="Gross Profit" attribute="1" defaultMemberUniqueName="[Table_1].[Gross Profit].[All]" allUniqueName="[Table_1].[Gross Profit].[All]" dimensionUniqueName="[Table_1]" displayFolder="" count="2" memberValueDatatype="5" unbalanced="0"/>
    <cacheHierarchy uniqueName="[Table_1].[Cumulative cost]" caption="Cumulative cost" attribute="1" defaultMemberUniqueName="[Table_1].[Cumulative cost].[All]" allUniqueName="[Table_1].[Cumulative cost].[All]" dimensionUniqueName="[Table_1]" displayFolder="" count="2" memberValueDatatype="5" unbalanced="0"/>
    <cacheHierarchy uniqueName="[Table_1].[Order Date (Month)]" caption="Order Date (Month)" attribute="1" defaultMemberUniqueName="[Table_1].[Order Date (Month)].[All]" allUniqueName="[Table_1].[Order Date (Month)].[All]" dimensionUniqueName="[Table_1]" displayFolder="" count="2" memberValueDatatype="130" unbalanced="0"/>
    <cacheHierarchy uniqueName="[Table_1].[Order Date (Month Index)]" caption="Order Date (Month Index)" attribute="1" defaultMemberUniqueName="[Table_1].[Order Date (Month Index)].[All]" allUniqueName="[Table_1].[Order Date (Month Index)].[All]" dimensionUniqueName="[Table_1]" displayFolder="" count="2" memberValueDatatype="20" unbalanced="0" hidden="1"/>
    <cacheHierarchy uniqueName="[Measures].[Σ Discount]" caption="Σ Discount" measure="1" displayFolder="" measureGroup="Table_1" count="0"/>
    <cacheHierarchy uniqueName="[Measures].[Σ Profit]" caption="Σ Profit" measure="1" displayFolder="" measureGroup="Table_1" count="0"/>
    <cacheHierarchy uniqueName="[Measures].[Σ Shipping]" caption="Σ Shipping" measure="1" displayFolder="" measureGroup="Table_1" count="0"/>
    <cacheHierarchy uniqueName="[Measures].[Σ Costs]" caption="Σ Costs" measure="1" displayFolder="" measureGroup="Table_1" count="0"/>
    <cacheHierarchy uniqueName="[Measures].[__XL_Count Table_1]" caption="__XL_Count Table_1" measure="1" displayFolder="" measureGroup="Table_1" count="0" hidden="1"/>
    <cacheHierarchy uniqueName="[Measures].[__No measures defined]" caption="__No measures defined" measure="1" displayFolder="" count="0" hidden="1"/>
    <cacheHierarchy uniqueName="[Measures].[Sum of Sales]" caption="Sum of Sales" measure="1" displayFolder="" measureGroup="Table_1" count="0" oneField="1" hidden="1">
      <fieldsUsage count="1">
        <fieldUsage x="0"/>
      </fieldsUsage>
      <extLst>
        <ext xmlns:x15="http://schemas.microsoft.com/office/spreadsheetml/2010/11/main" uri="{B97F6D7D-B522-45F9-BDA1-12C45D357490}">
          <x15:cacheHierarchy aggregatedColumn="22"/>
        </ext>
      </extLst>
    </cacheHierarchy>
    <cacheHierarchy uniqueName="[Measures].[Sum of Quantity ordered new]" caption="Sum of Quantity ordered new" measure="1" displayFolder="" measureGroup="Table_1" count="0" oneField="1" hidden="1">
      <fieldsUsage count="1">
        <fieldUsage x="2"/>
      </fieldsUsage>
      <extLst>
        <ext xmlns:x15="http://schemas.microsoft.com/office/spreadsheetml/2010/11/main" uri="{B97F6D7D-B522-45F9-BDA1-12C45D357490}">
          <x15:cacheHierarchy aggregatedColumn="21"/>
        </ext>
      </extLst>
    </cacheHierarchy>
    <cacheHierarchy uniqueName="[Measures].[Sum of Profit]" caption="Sum of Profit" measure="1" displayFolder="" measureGroup="Table_1" count="0" oneField="1" hidden="1">
      <fieldsUsage count="1">
        <fieldUsage x="1"/>
      </fieldsUsage>
      <extLst>
        <ext xmlns:x15="http://schemas.microsoft.com/office/spreadsheetml/2010/11/main" uri="{B97F6D7D-B522-45F9-BDA1-12C45D357490}">
          <x15:cacheHierarchy aggregatedColumn="20"/>
        </ext>
      </extLst>
    </cacheHierarchy>
    <cacheHierarchy uniqueName="[Measures].[Count of Product Category]" caption="Count of Product Category" measure="1" displayFolder="" measureGroup="Table_1" count="0" hidden="1">
      <extLst>
        <ext xmlns:x15="http://schemas.microsoft.com/office/spreadsheetml/2010/11/main" uri="{B97F6D7D-B522-45F9-BDA1-12C45D357490}">
          <x15:cacheHierarchy aggregatedColumn="8"/>
        </ext>
      </extLst>
    </cacheHierarchy>
    <cacheHierarchy uniqueName="[Measures].[Sum of Discount]" caption="Sum of Discount" measure="1" displayFolder="" measureGroup="Table_1" count="0" hidden="1">
      <extLst>
        <ext xmlns:x15="http://schemas.microsoft.com/office/spreadsheetml/2010/11/main" uri="{B97F6D7D-B522-45F9-BDA1-12C45D357490}">
          <x15:cacheHierarchy aggregatedColumn="3"/>
        </ext>
      </extLst>
    </cacheHierarchy>
    <cacheHierarchy uniqueName="[Measures].[Sum of Shipping Cost]" caption="Sum of Shipping Cost" measure="1" displayFolder="" measureGroup="Table_1" count="0" hidden="1">
      <extLst>
        <ext xmlns:x15="http://schemas.microsoft.com/office/spreadsheetml/2010/11/main" uri="{B97F6D7D-B522-45F9-BDA1-12C45D357490}">
          <x15:cacheHierarchy aggregatedColumn="5"/>
        </ext>
      </extLst>
    </cacheHierarchy>
    <cacheHierarchy uniqueName="[Measures].[Sum of Dollar Discount]" caption="Sum of Dollar Discount" measure="1" displayFolder="" measureGroup="Table_1" count="0" hidden="1">
      <extLst>
        <ext xmlns:x15="http://schemas.microsoft.com/office/spreadsheetml/2010/11/main" uri="{B97F6D7D-B522-45F9-BDA1-12C45D357490}">
          <x15:cacheHierarchy aggregatedColumn="26"/>
        </ext>
      </extLst>
    </cacheHierarchy>
    <cacheHierarchy uniqueName="[Measures].[Sum of Cumulative cost]" caption="Sum of Cumulative cost" measure="1" displayFolder="" measureGroup="Table_1" count="0" hidden="1">
      <extLst>
        <ext xmlns:x15="http://schemas.microsoft.com/office/spreadsheetml/2010/11/main" uri="{B97F6D7D-B522-45F9-BDA1-12C45D357490}">
          <x15:cacheHierarchy aggregatedColumn="29"/>
        </ext>
      </extLst>
    </cacheHierarchy>
    <cacheHierarchy uniqueName="[Measures].[Sum of Postal Code]" caption="Sum of Postal Code" measure="1" displayFolder="" measureGroup="Table_1" count="0" hidden="1">
      <extLst>
        <ext xmlns:x15="http://schemas.microsoft.com/office/spreadsheetml/2010/11/main" uri="{B97F6D7D-B522-45F9-BDA1-12C45D357490}">
          <x15:cacheHierarchy aggregatedColumn="17"/>
        </ext>
      </extLst>
    </cacheHierarchy>
    <cacheHierarchy uniqueName="[Measures].[Sum of Order ID]" caption="Sum of Order ID" measure="1" displayFolder="" measureGroup="Table_1" count="0" hidden="1">
      <extLst>
        <ext xmlns:x15="http://schemas.microsoft.com/office/spreadsheetml/2010/11/main" uri="{B97F6D7D-B522-45F9-BDA1-12C45D357490}">
          <x15:cacheHierarchy aggregatedColumn="23"/>
        </ext>
      </extLst>
    </cacheHierarchy>
    <cacheHierarchy uniqueName="[Measures].[Distinct Count of Order ID]" caption="Distinct Count of Order ID" measure="1" displayFolder="" measureGroup="Table_1" count="0" hidden="1">
      <extLst>
        <ext xmlns:x15="http://schemas.microsoft.com/office/spreadsheetml/2010/11/main" uri="{B97F6D7D-B522-45F9-BDA1-12C45D357490}">
          <x15:cacheHierarchy aggregatedColumn="23"/>
        </ext>
      </extLst>
    </cacheHierarchy>
    <cacheHierarchy uniqueName="[Measures].[Count of Order Date]" caption="Count of Order Date" measure="1" displayFolder="" measureGroup="Table_1" count="0" hidden="1">
      <extLst>
        <ext xmlns:x15="http://schemas.microsoft.com/office/spreadsheetml/2010/11/main" uri="{B97F6D7D-B522-45F9-BDA1-12C45D357490}">
          <x15:cacheHierarchy aggregatedColumn="18"/>
        </ext>
      </extLst>
    </cacheHierarchy>
    <cacheHierarchy uniqueName="[Measures].[Max of Order Date]" caption="Max of Order Date" measure="1" displayFolder="" measureGroup="Table_1" count="0" hidden="1">
      <extLst>
        <ext xmlns:x15="http://schemas.microsoft.com/office/spreadsheetml/2010/11/main" uri="{B97F6D7D-B522-45F9-BDA1-12C45D357490}">
          <x15:cacheHierarchy aggregatedColumn="18"/>
        </ext>
      </extLst>
    </cacheHierarchy>
    <cacheHierarchy uniqueName="[Measures].[Count of Product Name]" caption="Count of Product Name" measure="1" displayFolder="" measureGroup="Table_1" count="0" hidden="1">
      <extLst>
        <ext xmlns:x15="http://schemas.microsoft.com/office/spreadsheetml/2010/11/main" uri="{B97F6D7D-B522-45F9-BDA1-12C45D357490}">
          <x15:cacheHierarchy aggregatedColumn="11"/>
        </ext>
      </extLst>
    </cacheHierarchy>
    <cacheHierarchy uniqueName="[Measures].[Distinct Count of Product Name]" caption="Distinct Count of Product Name" measure="1" displayFolder="" measureGroup="Table_1" count="0" hidden="1">
      <extLst>
        <ext xmlns:x15="http://schemas.microsoft.com/office/spreadsheetml/2010/11/main" uri="{B97F6D7D-B522-45F9-BDA1-12C45D357490}">
          <x15:cacheHierarchy aggregatedColumn="11"/>
        </ext>
      </extLst>
    </cacheHierarchy>
  </cacheHierarchies>
  <kpis count="0"/>
  <dimensions count="2">
    <dimension measure="1" name="Measures" uniqueName="[Measures]" caption="Measures"/>
    <dimension name="Table_1" uniqueName="[Table_1]" caption="Table_1"/>
  </dimensions>
  <measureGroups count="1">
    <measureGroup name="Table_1" caption="Table_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aurabh Lakhanpal" refreshedDate="45219.691237962965" backgroundQuery="1" createdVersion="8" refreshedVersion="8" minRefreshableVersion="3" recordCount="0" supportSubquery="1" supportAdvancedDrill="1" xr:uid="{1CFE1DCE-BA7F-4A57-960A-BB3853FDB87A}">
  <cacheSource type="external" connectionId="1"/>
  <cacheFields count="5">
    <cacheField name="[Table_1].[Product Sub-Category].[Product Sub-Category]" caption="Product Sub-Category" numFmtId="0" hierarchy="9" level="1">
      <sharedItems count="17">
        <s v="Appliances"/>
        <s v="Binders and Binder Accessories"/>
        <s v="Bookcases"/>
        <s v="Chairs &amp; Chairmats"/>
        <s v="Computer Peripherals"/>
        <s v="Copiers and Fax"/>
        <s v="Envelopes"/>
        <s v="Labels"/>
        <s v="Office Furnishings"/>
        <s v="Office Machines"/>
        <s v="Paper"/>
        <s v="Pens &amp; Art Supplies"/>
        <s v="Rubber Bands"/>
        <s v="Scissors, Rulers and Trimmers"/>
        <s v="Storage &amp; Organization"/>
        <s v="Tables"/>
        <s v="Telephones and Communication"/>
      </sharedItems>
    </cacheField>
    <cacheField name="[Measures].[Sum of Sales]" caption="Sum of Sales" numFmtId="0" hierarchy="38" level="32767"/>
    <cacheField name="[Measures].[Sum of Profit]" caption="Sum of Profit" numFmtId="0" hierarchy="40" level="32767"/>
    <cacheField name="[Measures].[Sum of Quantity ordered new]" caption="Sum of Quantity ordered new" numFmtId="0" hierarchy="39" level="32767"/>
    <cacheField name="[Table_1].[Customer Segment].[Customer Segment]" caption="Customer Segment" numFmtId="0" hierarchy="7" level="1">
      <sharedItems containsSemiMixedTypes="0" containsNonDate="0" containsString="0"/>
    </cacheField>
  </cacheFields>
  <cacheHierarchies count="53">
    <cacheHierarchy uniqueName="[Table_1].[Customer ID]" caption="Customer ID" attribute="1" defaultMemberUniqueName="[Table_1].[Customer ID].[All]" allUniqueName="[Table_1].[Customer ID].[All]" dimensionUniqueName="[Table_1]" displayFolder="" count="0" memberValueDatatype="20" unbalanced="0"/>
    <cacheHierarchy uniqueName="[Table_1].[Customer Name]" caption="Customer Name" attribute="1" defaultMemberUniqueName="[Table_1].[Customer Name].[All]" allUniqueName="[Table_1].[Customer Name].[All]" dimensionUniqueName="[Table_1]" displayFolder="" count="0" memberValueDatatype="130" unbalanced="0"/>
    <cacheHierarchy uniqueName="[Table_1].[Order Priority]" caption="Order Priority" attribute="1" defaultMemberUniqueName="[Table_1].[Order Priority].[All]" allUniqueName="[Table_1].[Order Priority].[All]" dimensionUniqueName="[Table_1]" displayFolder="" count="0" memberValueDatatype="130" unbalanced="0"/>
    <cacheHierarchy uniqueName="[Table_1].[Discount]" caption="Discount" attribute="1" defaultMemberUniqueName="[Table_1].[Discount].[All]" allUniqueName="[Table_1].[Discount].[All]" dimensionUniqueName="[Table_1]" displayFolder="" count="0" memberValueDatatype="5" unbalanced="0"/>
    <cacheHierarchy uniqueName="[Table_1].[Unit Price]" caption="Unit Price" attribute="1" defaultMemberUniqueName="[Table_1].[Unit Price].[All]" allUniqueName="[Table_1].[Unit Price].[All]" dimensionUniqueName="[Table_1]" displayFolder="" count="0" memberValueDatatype="5" unbalanced="0"/>
    <cacheHierarchy uniqueName="[Table_1].[Shipping Cost]" caption="Shipping Cost" attribute="1" defaultMemberUniqueName="[Table_1].[Shipping Cost].[All]" allUniqueName="[Table_1].[Shipping Cost].[All]" dimensionUniqueName="[Table_1]" displayFolder="" count="0" memberValueDatatype="5" unbalanced="0"/>
    <cacheHierarchy uniqueName="[Table_1].[Ship Mode]" caption="Ship Mode" attribute="1" defaultMemberUniqueName="[Table_1].[Ship Mode].[All]" allUniqueName="[Table_1].[Ship Mode].[All]" dimensionUniqueName="[Table_1]" displayFolder="" count="0" memberValueDatatype="130" unbalanced="0"/>
    <cacheHierarchy uniqueName="[Table_1].[Customer Segment]" caption="Customer Segment" attribute="1" defaultMemberUniqueName="[Table_1].[Customer Segment].[All]" allUniqueName="[Table_1].[Customer Segment].[All]" dimensionUniqueName="[Table_1]" displayFolder="" count="2" memberValueDatatype="130" unbalanced="0">
      <fieldsUsage count="2">
        <fieldUsage x="-1"/>
        <fieldUsage x="4"/>
      </fieldsUsage>
    </cacheHierarchy>
    <cacheHierarchy uniqueName="[Table_1].[Product Category]" caption="Product Category" attribute="1" defaultMemberUniqueName="[Table_1].[Product Category].[All]" allUniqueName="[Table_1].[Product Category].[All]" dimensionUniqueName="[Table_1]" displayFolder="" count="0" memberValueDatatype="130" unbalanced="0"/>
    <cacheHierarchy uniqueName="[Table_1].[Product Sub-Category]" caption="Product Sub-Category" attribute="1" defaultMemberUniqueName="[Table_1].[Product Sub-Category].[All]" allUniqueName="[Table_1].[Product Sub-Category].[All]" dimensionUniqueName="[Table_1]" displayFolder="" count="2" memberValueDatatype="130" unbalanced="0">
      <fieldsUsage count="2">
        <fieldUsage x="-1"/>
        <fieldUsage x="0"/>
      </fieldsUsage>
    </cacheHierarchy>
    <cacheHierarchy uniqueName="[Table_1].[Product Container]" caption="Product Container" attribute="1" defaultMemberUniqueName="[Table_1].[Product Container].[All]" allUniqueName="[Table_1].[Product Container].[All]" dimensionUniqueName="[Table_1]" displayFolder="" count="0" memberValueDatatype="130" unbalanced="0"/>
    <cacheHierarchy uniqueName="[Table_1].[Product Name]" caption="Product Name" attribute="1" defaultMemberUniqueName="[Table_1].[Product Name].[All]" allUniqueName="[Table_1].[Product Name].[All]" dimensionUniqueName="[Table_1]" displayFolder="" count="0" memberValueDatatype="130" unbalanced="0"/>
    <cacheHierarchy uniqueName="[Table_1].[Product Base Margin]" caption="Product Base Margin" attribute="1" defaultMemberUniqueName="[Table_1].[Product Base Margin].[All]" allUniqueName="[Table_1].[Product Base Margin].[All]" dimensionUniqueName="[Table_1]" displayFolder="" count="0" memberValueDatatype="5" unbalanced="0"/>
    <cacheHierarchy uniqueName="[Table_1].[Country]" caption="Country" attribute="1" defaultMemberUniqueName="[Table_1].[Country].[All]" allUniqueName="[Table_1].[Country].[All]" dimensionUniqueName="[Table_1]" displayFolder="" count="0" memberValueDatatype="130" unbalanced="0"/>
    <cacheHierarchy uniqueName="[Table_1].[Region]" caption="Region" attribute="1" defaultMemberUniqueName="[Table_1].[Region].[All]" allUniqueName="[Table_1].[Region].[All]" dimensionUniqueName="[Table_1]" displayFolder="" count="0" memberValueDatatype="130" unbalanced="0"/>
    <cacheHierarchy uniqueName="[Table_1].[State or Province]" caption="State or Province" attribute="1" defaultMemberUniqueName="[Table_1].[State or Province].[All]" allUniqueName="[Table_1].[State or Province].[All]" dimensionUniqueName="[Table_1]" displayFolder="" count="0" memberValueDatatype="130" unbalanced="0"/>
    <cacheHierarchy uniqueName="[Table_1].[City]" caption="City" attribute="1" defaultMemberUniqueName="[Table_1].[City].[All]" allUniqueName="[Table_1].[City].[All]" dimensionUniqueName="[Table_1]" displayFolder="" count="0" memberValueDatatype="130" unbalanced="0"/>
    <cacheHierarchy uniqueName="[Table_1].[Postal Code]" caption="Postal Code" attribute="1" defaultMemberUniqueName="[Table_1].[Postal Code].[All]" allUniqueName="[Table_1].[Postal Code].[All]" dimensionUniqueName="[Table_1]" displayFolder="" count="0" memberValueDatatype="20" unbalanced="0"/>
    <cacheHierarchy uniqueName="[Table_1].[Order Date]" caption="Order Date" attribute="1" time="1" defaultMemberUniqueName="[Table_1].[Order Date].[All]" allUniqueName="[Table_1].[Order Date].[All]" dimensionUniqueName="[Table_1]" displayFolder="" count="0" memberValueDatatype="7" unbalanced="0"/>
    <cacheHierarchy uniqueName="[Table_1].[Ship Date]" caption="Ship Date" attribute="1" time="1" defaultMemberUniqueName="[Table_1].[Ship Date].[All]" allUniqueName="[Table_1].[Ship Date].[All]" dimensionUniqueName="[Table_1]" displayFolder="" count="0" memberValueDatatype="7" unbalanced="0"/>
    <cacheHierarchy uniqueName="[Table_1].[Profit]" caption="Profit" attribute="1" defaultMemberUniqueName="[Table_1].[Profit].[All]" allUniqueName="[Table_1].[Profit].[All]" dimensionUniqueName="[Table_1]" displayFolder="" count="0" memberValueDatatype="5" unbalanced="0"/>
    <cacheHierarchy uniqueName="[Table_1].[Quantity ordered new]" caption="Quantity ordered new" attribute="1" defaultMemberUniqueName="[Table_1].[Quantity ordered new].[All]" allUniqueName="[Table_1].[Quantity ordered new].[All]" dimensionUniqueName="[Table_1]" displayFolder="" count="0" memberValueDatatype="20" unbalanced="0"/>
    <cacheHierarchy uniqueName="[Table_1].[Sales]" caption="Sales" attribute="1" defaultMemberUniqueName="[Table_1].[Sales].[All]" allUniqueName="[Table_1].[Sales].[All]" dimensionUniqueName="[Table_1]" displayFolder="" count="0" memberValueDatatype="5" unbalanced="0"/>
    <cacheHierarchy uniqueName="[Table_1].[Order ID]" caption="Order ID" attribute="1" defaultMemberUniqueName="[Table_1].[Order ID].[All]" allUniqueName="[Table_1].[Order ID].[All]" dimensionUniqueName="[Table_1]" displayFolder="" count="0" memberValueDatatype="20" unbalanced="0"/>
    <cacheHierarchy uniqueName="[Table_1].[Total]" caption="Total" attribute="1" defaultMemberUniqueName="[Table_1].[Total].[All]" allUniqueName="[Table_1].[Total].[All]" dimensionUniqueName="[Table_1]" displayFolder="" count="0" memberValueDatatype="5" unbalanced="0"/>
    <cacheHierarchy uniqueName="[Table_1].[Manager]" caption="Manager" attribute="1" defaultMemberUniqueName="[Table_1].[Manager].[All]" allUniqueName="[Table_1].[Manager].[All]" dimensionUniqueName="[Table_1]" displayFolder="" count="2" memberValueDatatype="130" unbalanced="0"/>
    <cacheHierarchy uniqueName="[Table_1].[Dollar Discount]" caption="Dollar Discount" attribute="1" defaultMemberUniqueName="[Table_1].[Dollar Discount].[All]" allUniqueName="[Table_1].[Dollar Discount].[All]" dimensionUniqueName="[Table_1]" displayFolder="" count="0" memberValueDatatype="5" unbalanced="0"/>
    <cacheHierarchy uniqueName="[Table_1].[Gross Cost]" caption="Gross Cost" attribute="1" defaultMemberUniqueName="[Table_1].[Gross Cost].[All]" allUniqueName="[Table_1].[Gross Cost].[All]" dimensionUniqueName="[Table_1]" displayFolder="" count="0" memberValueDatatype="5" unbalanced="0"/>
    <cacheHierarchy uniqueName="[Table_1].[Gross Profit]" caption="Gross Profit" attribute="1" defaultMemberUniqueName="[Table_1].[Gross Profit].[All]" allUniqueName="[Table_1].[Gross Profit].[All]" dimensionUniqueName="[Table_1]" displayFolder="" count="0" memberValueDatatype="5" unbalanced="0"/>
    <cacheHierarchy uniqueName="[Table_1].[Cumulative cost]" caption="Cumulative cost" attribute="1" defaultMemberUniqueName="[Table_1].[Cumulative cost].[All]" allUniqueName="[Table_1].[Cumulative cost].[All]" dimensionUniqueName="[Table_1]" displayFolder="" count="0" memberValueDatatype="5" unbalanced="0"/>
    <cacheHierarchy uniqueName="[Table_1].[Order Date (Month)]" caption="Order Date (Month)" attribute="1" defaultMemberUniqueName="[Table_1].[Order Date (Month)].[All]" allUniqueName="[Table_1].[Order Date (Month)].[All]" dimensionUniqueName="[Table_1]" displayFolder="" count="2" memberValueDatatype="130" unbalanced="0"/>
    <cacheHierarchy uniqueName="[Table_1].[Order Date (Month Index)]" caption="Order Date (Month Index)" attribute="1" defaultMemberUniqueName="[Table_1].[Order Date (Month Index)].[All]" allUniqueName="[Table_1].[Order Date (Month Index)].[All]" dimensionUniqueName="[Table_1]" displayFolder="" count="0" memberValueDatatype="20" unbalanced="0" hidden="1"/>
    <cacheHierarchy uniqueName="[Measures].[Σ Discount]" caption="Σ Discount" measure="1" displayFolder="" measureGroup="Table_1" count="0"/>
    <cacheHierarchy uniqueName="[Measures].[Σ Profit]" caption="Σ Profit" measure="1" displayFolder="" measureGroup="Table_1" count="0"/>
    <cacheHierarchy uniqueName="[Measures].[Σ Shipping]" caption="Σ Shipping" measure="1" displayFolder="" measureGroup="Table_1" count="0"/>
    <cacheHierarchy uniqueName="[Measures].[Σ Costs]" caption="Σ Costs" measure="1" displayFolder="" measureGroup="Table_1" count="0"/>
    <cacheHierarchy uniqueName="[Measures].[__XL_Count Table_1]" caption="__XL_Count Table_1" measure="1" displayFolder="" measureGroup="Table_1" count="0" hidden="1"/>
    <cacheHierarchy uniqueName="[Measures].[__No measures defined]" caption="__No measures defined" measure="1" displayFolder="" count="0" hidden="1"/>
    <cacheHierarchy uniqueName="[Measures].[Sum of Sales]" caption="Sum of Sales" measure="1" displayFolder="" measureGroup="Table_1" count="0" oneField="1" hidden="1">
      <fieldsUsage count="1">
        <fieldUsage x="1"/>
      </fieldsUsage>
      <extLst>
        <ext xmlns:x15="http://schemas.microsoft.com/office/spreadsheetml/2010/11/main" uri="{B97F6D7D-B522-45F9-BDA1-12C45D357490}">
          <x15:cacheHierarchy aggregatedColumn="22"/>
        </ext>
      </extLst>
    </cacheHierarchy>
    <cacheHierarchy uniqueName="[Measures].[Sum of Quantity ordered new]" caption="Sum of Quantity ordered new" measure="1" displayFolder="" measureGroup="Table_1" count="0" oneField="1" hidden="1">
      <fieldsUsage count="1">
        <fieldUsage x="3"/>
      </fieldsUsage>
      <extLst>
        <ext xmlns:x15="http://schemas.microsoft.com/office/spreadsheetml/2010/11/main" uri="{B97F6D7D-B522-45F9-BDA1-12C45D357490}">
          <x15:cacheHierarchy aggregatedColumn="21"/>
        </ext>
      </extLst>
    </cacheHierarchy>
    <cacheHierarchy uniqueName="[Measures].[Sum of Profit]" caption="Sum of Profit" measure="1" displayFolder="" measureGroup="Table_1" count="0" oneField="1" hidden="1">
      <fieldsUsage count="1">
        <fieldUsage x="2"/>
      </fieldsUsage>
      <extLst>
        <ext xmlns:x15="http://schemas.microsoft.com/office/spreadsheetml/2010/11/main" uri="{B97F6D7D-B522-45F9-BDA1-12C45D357490}">
          <x15:cacheHierarchy aggregatedColumn="20"/>
        </ext>
      </extLst>
    </cacheHierarchy>
    <cacheHierarchy uniqueName="[Measures].[Count of Product Category]" caption="Count of Product Category" measure="1" displayFolder="" measureGroup="Table_1" count="0" hidden="1">
      <extLst>
        <ext xmlns:x15="http://schemas.microsoft.com/office/spreadsheetml/2010/11/main" uri="{B97F6D7D-B522-45F9-BDA1-12C45D357490}">
          <x15:cacheHierarchy aggregatedColumn="8"/>
        </ext>
      </extLst>
    </cacheHierarchy>
    <cacheHierarchy uniqueName="[Measures].[Sum of Discount]" caption="Sum of Discount" measure="1" displayFolder="" measureGroup="Table_1" count="0" hidden="1">
      <extLst>
        <ext xmlns:x15="http://schemas.microsoft.com/office/spreadsheetml/2010/11/main" uri="{B97F6D7D-B522-45F9-BDA1-12C45D357490}">
          <x15:cacheHierarchy aggregatedColumn="3"/>
        </ext>
      </extLst>
    </cacheHierarchy>
    <cacheHierarchy uniqueName="[Measures].[Sum of Shipping Cost]" caption="Sum of Shipping Cost" measure="1" displayFolder="" measureGroup="Table_1" count="0" hidden="1">
      <extLst>
        <ext xmlns:x15="http://schemas.microsoft.com/office/spreadsheetml/2010/11/main" uri="{B97F6D7D-B522-45F9-BDA1-12C45D357490}">
          <x15:cacheHierarchy aggregatedColumn="5"/>
        </ext>
      </extLst>
    </cacheHierarchy>
    <cacheHierarchy uniqueName="[Measures].[Sum of Dollar Discount]" caption="Sum of Dollar Discount" measure="1" displayFolder="" measureGroup="Table_1" count="0" hidden="1">
      <extLst>
        <ext xmlns:x15="http://schemas.microsoft.com/office/spreadsheetml/2010/11/main" uri="{B97F6D7D-B522-45F9-BDA1-12C45D357490}">
          <x15:cacheHierarchy aggregatedColumn="26"/>
        </ext>
      </extLst>
    </cacheHierarchy>
    <cacheHierarchy uniqueName="[Measures].[Sum of Cumulative cost]" caption="Sum of Cumulative cost" measure="1" displayFolder="" measureGroup="Table_1" count="0" hidden="1">
      <extLst>
        <ext xmlns:x15="http://schemas.microsoft.com/office/spreadsheetml/2010/11/main" uri="{B97F6D7D-B522-45F9-BDA1-12C45D357490}">
          <x15:cacheHierarchy aggregatedColumn="29"/>
        </ext>
      </extLst>
    </cacheHierarchy>
    <cacheHierarchy uniqueName="[Measures].[Sum of Postal Code]" caption="Sum of Postal Code" measure="1" displayFolder="" measureGroup="Table_1" count="0" hidden="1">
      <extLst>
        <ext xmlns:x15="http://schemas.microsoft.com/office/spreadsheetml/2010/11/main" uri="{B97F6D7D-B522-45F9-BDA1-12C45D357490}">
          <x15:cacheHierarchy aggregatedColumn="17"/>
        </ext>
      </extLst>
    </cacheHierarchy>
    <cacheHierarchy uniqueName="[Measures].[Sum of Order ID]" caption="Sum of Order ID" measure="1" displayFolder="" measureGroup="Table_1" count="0" hidden="1">
      <extLst>
        <ext xmlns:x15="http://schemas.microsoft.com/office/spreadsheetml/2010/11/main" uri="{B97F6D7D-B522-45F9-BDA1-12C45D357490}">
          <x15:cacheHierarchy aggregatedColumn="23"/>
        </ext>
      </extLst>
    </cacheHierarchy>
    <cacheHierarchy uniqueName="[Measures].[Distinct Count of Order ID]" caption="Distinct Count of Order ID" measure="1" displayFolder="" measureGroup="Table_1" count="0" hidden="1">
      <extLst>
        <ext xmlns:x15="http://schemas.microsoft.com/office/spreadsheetml/2010/11/main" uri="{B97F6D7D-B522-45F9-BDA1-12C45D357490}">
          <x15:cacheHierarchy aggregatedColumn="23"/>
        </ext>
      </extLst>
    </cacheHierarchy>
    <cacheHierarchy uniqueName="[Measures].[Count of Order Date]" caption="Count of Order Date" measure="1" displayFolder="" measureGroup="Table_1" count="0" hidden="1">
      <extLst>
        <ext xmlns:x15="http://schemas.microsoft.com/office/spreadsheetml/2010/11/main" uri="{B97F6D7D-B522-45F9-BDA1-12C45D357490}">
          <x15:cacheHierarchy aggregatedColumn="18"/>
        </ext>
      </extLst>
    </cacheHierarchy>
    <cacheHierarchy uniqueName="[Measures].[Max of Order Date]" caption="Max of Order Date" measure="1" displayFolder="" measureGroup="Table_1" count="0" hidden="1">
      <extLst>
        <ext xmlns:x15="http://schemas.microsoft.com/office/spreadsheetml/2010/11/main" uri="{B97F6D7D-B522-45F9-BDA1-12C45D357490}">
          <x15:cacheHierarchy aggregatedColumn="18"/>
        </ext>
      </extLst>
    </cacheHierarchy>
    <cacheHierarchy uniqueName="[Measures].[Count of Product Name]" caption="Count of Product Name" measure="1" displayFolder="" measureGroup="Table_1" count="0" hidden="1">
      <extLst>
        <ext xmlns:x15="http://schemas.microsoft.com/office/spreadsheetml/2010/11/main" uri="{B97F6D7D-B522-45F9-BDA1-12C45D357490}">
          <x15:cacheHierarchy aggregatedColumn="11"/>
        </ext>
      </extLst>
    </cacheHierarchy>
    <cacheHierarchy uniqueName="[Measures].[Distinct Count of Product Name]" caption="Distinct Count of Product Name" measure="1" displayFolder="" measureGroup="Table_1" count="0" hidden="1">
      <extLst>
        <ext xmlns:x15="http://schemas.microsoft.com/office/spreadsheetml/2010/11/main" uri="{B97F6D7D-B522-45F9-BDA1-12C45D357490}">
          <x15:cacheHierarchy aggregatedColumn="11"/>
        </ext>
      </extLst>
    </cacheHierarchy>
  </cacheHierarchies>
  <kpis count="0"/>
  <dimensions count="2">
    <dimension measure="1" name="Measures" uniqueName="[Measures]" caption="Measures"/>
    <dimension name="Table_1" uniqueName="[Table_1]" caption="Table_1"/>
  </dimensions>
  <measureGroups count="1">
    <measureGroup name="Table_1" caption="Table_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aurabh Lakhanpal" refreshedDate="45219.692586342593" backgroundQuery="1" createdVersion="8" refreshedVersion="8" minRefreshableVersion="3" recordCount="0" supportSubquery="1" supportAdvancedDrill="1" xr:uid="{73701C9E-20F7-49AA-A446-2D010840C27C}">
  <cacheSource type="external" connectionId="1"/>
  <cacheFields count="7">
    <cacheField name="[Table_1].[Customer Segment].[Customer Segment]" caption="Customer Segment" numFmtId="0" hierarchy="7" level="1">
      <sharedItems count="4">
        <s v="Consumer"/>
        <s v="Corporate"/>
        <s v="Home Office"/>
        <s v="Small Business"/>
      </sharedItems>
    </cacheField>
    <cacheField name="[Table_1].[Product Sub-Category].[Product Sub-Category]" caption="Product Sub-Category" numFmtId="0" hierarchy="9" level="1">
      <sharedItems count="17">
        <s v="Appliances"/>
        <s v="Binders and Binder Accessories"/>
        <s v="Bookcases"/>
        <s v="Chairs &amp; Chairmats"/>
        <s v="Computer Peripherals"/>
        <s v="Copiers and Fax"/>
        <s v="Envelopes"/>
        <s v="Labels"/>
        <s v="Office Furnishings"/>
        <s v="Office Machines"/>
        <s v="Paper"/>
        <s v="Pens &amp; Art Supplies"/>
        <s v="Rubber Bands"/>
        <s v="Scissors, Rulers and Trimmers"/>
        <s v="Storage &amp; Organization"/>
        <s v="Tables"/>
        <s v="Telephones and Communication"/>
      </sharedItems>
    </cacheField>
    <cacheField name="[Measures].[Sum of Sales]" caption="Sum of Sales" numFmtId="0" hierarchy="38" level="32767"/>
    <cacheField name="[Measures].[Sum of Profit]" caption="Sum of Profit" numFmtId="0" hierarchy="40" level="32767"/>
    <cacheField name="[Table_1].[Order Priority].[Order Priority]" caption="Order Priority" numFmtId="0" hierarchy="2" level="1">
      <sharedItems count="5">
        <s v="Critical"/>
        <s v="High"/>
        <s v="Low"/>
        <s v="Medium"/>
        <s v="N/A"/>
      </sharedItems>
    </cacheField>
    <cacheField name="[Measures].[Distinct Count of Order ID]" caption="Distinct Count of Order ID" numFmtId="0" hierarchy="48" level="32767"/>
    <cacheField name="[Measures].[Max of Order Date]" caption="Max of Order Date" numFmtId="0" hierarchy="50" level="32767"/>
  </cacheFields>
  <cacheHierarchies count="53">
    <cacheHierarchy uniqueName="[Table_1].[Customer ID]" caption="Customer ID" attribute="1" defaultMemberUniqueName="[Table_1].[Customer ID].[All]" allUniqueName="[Table_1].[Customer ID].[All]" dimensionUniqueName="[Table_1]" displayFolder="" count="0" memberValueDatatype="20" unbalanced="0"/>
    <cacheHierarchy uniqueName="[Table_1].[Customer Name]" caption="Customer Name" attribute="1" defaultMemberUniqueName="[Table_1].[Customer Name].[All]" allUniqueName="[Table_1].[Customer Name].[All]" dimensionUniqueName="[Table_1]" displayFolder="" count="0" memberValueDatatype="130" unbalanced="0"/>
    <cacheHierarchy uniqueName="[Table_1].[Order Priority]" caption="Order Priority" attribute="1" defaultMemberUniqueName="[Table_1].[Order Priority].[All]" allUniqueName="[Table_1].[Order Priority].[All]" dimensionUniqueName="[Table_1]" displayFolder="" count="2" memberValueDatatype="130" unbalanced="0">
      <fieldsUsage count="2">
        <fieldUsage x="-1"/>
        <fieldUsage x="4"/>
      </fieldsUsage>
    </cacheHierarchy>
    <cacheHierarchy uniqueName="[Table_1].[Discount]" caption="Discount" attribute="1" defaultMemberUniqueName="[Table_1].[Discount].[All]" allUniqueName="[Table_1].[Discount].[All]" dimensionUniqueName="[Table_1]" displayFolder="" count="0" memberValueDatatype="5" unbalanced="0"/>
    <cacheHierarchy uniqueName="[Table_1].[Unit Price]" caption="Unit Price" attribute="1" defaultMemberUniqueName="[Table_1].[Unit Price].[All]" allUniqueName="[Table_1].[Unit Price].[All]" dimensionUniqueName="[Table_1]" displayFolder="" count="0" memberValueDatatype="5" unbalanced="0"/>
    <cacheHierarchy uniqueName="[Table_1].[Shipping Cost]" caption="Shipping Cost" attribute="1" defaultMemberUniqueName="[Table_1].[Shipping Cost].[All]" allUniqueName="[Table_1].[Shipping Cost].[All]" dimensionUniqueName="[Table_1]" displayFolder="" count="0" memberValueDatatype="5" unbalanced="0"/>
    <cacheHierarchy uniqueName="[Table_1].[Ship Mode]" caption="Ship Mode" attribute="1" defaultMemberUniqueName="[Table_1].[Ship Mode].[All]" allUniqueName="[Table_1].[Ship Mode].[All]" dimensionUniqueName="[Table_1]" displayFolder="" count="0" memberValueDatatype="130" unbalanced="0"/>
    <cacheHierarchy uniqueName="[Table_1].[Customer Segment]" caption="Customer Segment" attribute="1" defaultMemberUniqueName="[Table_1].[Customer Segment].[All]" allUniqueName="[Table_1].[Customer Segment].[All]" dimensionUniqueName="[Table_1]" displayFolder="" count="2" memberValueDatatype="130" unbalanced="0">
      <fieldsUsage count="2">
        <fieldUsage x="-1"/>
        <fieldUsage x="0"/>
      </fieldsUsage>
    </cacheHierarchy>
    <cacheHierarchy uniqueName="[Table_1].[Product Category]" caption="Product Category" attribute="1" defaultMemberUniqueName="[Table_1].[Product Category].[All]" allUniqueName="[Table_1].[Product Category].[All]" dimensionUniqueName="[Table_1]" displayFolder="" count="2" memberValueDatatype="130" unbalanced="0"/>
    <cacheHierarchy uniqueName="[Table_1].[Product Sub-Category]" caption="Product Sub-Category" attribute="1" defaultMemberUniqueName="[Table_1].[Product Sub-Category].[All]" allUniqueName="[Table_1].[Product Sub-Category].[All]" dimensionUniqueName="[Table_1]" displayFolder="" count="2" memberValueDatatype="130" unbalanced="0">
      <fieldsUsage count="2">
        <fieldUsage x="-1"/>
        <fieldUsage x="1"/>
      </fieldsUsage>
    </cacheHierarchy>
    <cacheHierarchy uniqueName="[Table_1].[Product Container]" caption="Product Container" attribute="1" defaultMemberUniqueName="[Table_1].[Product Container].[All]" allUniqueName="[Table_1].[Product Container].[All]" dimensionUniqueName="[Table_1]" displayFolder="" count="0" memberValueDatatype="130" unbalanced="0"/>
    <cacheHierarchy uniqueName="[Table_1].[Product Name]" caption="Product Name" attribute="1" defaultMemberUniqueName="[Table_1].[Product Name].[All]" allUniqueName="[Table_1].[Product Name].[All]" dimensionUniqueName="[Table_1]" displayFolder="" count="0" memberValueDatatype="130" unbalanced="0"/>
    <cacheHierarchy uniqueName="[Table_1].[Product Base Margin]" caption="Product Base Margin" attribute="1" defaultMemberUniqueName="[Table_1].[Product Base Margin].[All]" allUniqueName="[Table_1].[Product Base Margin].[All]" dimensionUniqueName="[Table_1]" displayFolder="" count="0" memberValueDatatype="5" unbalanced="0"/>
    <cacheHierarchy uniqueName="[Table_1].[Country]" caption="Country" attribute="1" defaultMemberUniqueName="[Table_1].[Country].[All]" allUniqueName="[Table_1].[Country].[All]" dimensionUniqueName="[Table_1]" displayFolder="" count="0" memberValueDatatype="130" unbalanced="0"/>
    <cacheHierarchy uniqueName="[Table_1].[Region]" caption="Region" attribute="1" defaultMemberUniqueName="[Table_1].[Region].[All]" allUniqueName="[Table_1].[Region].[All]" dimensionUniqueName="[Table_1]" displayFolder="" count="0" memberValueDatatype="130" unbalanced="0"/>
    <cacheHierarchy uniqueName="[Table_1].[State or Province]" caption="State or Province" attribute="1" defaultMemberUniqueName="[Table_1].[State or Province].[All]" allUniqueName="[Table_1].[State or Province].[All]" dimensionUniqueName="[Table_1]" displayFolder="" count="0" memberValueDatatype="130" unbalanced="0"/>
    <cacheHierarchy uniqueName="[Table_1].[City]" caption="City" attribute="1" defaultMemberUniqueName="[Table_1].[City].[All]" allUniqueName="[Table_1].[City].[All]" dimensionUniqueName="[Table_1]" displayFolder="" count="0" memberValueDatatype="130" unbalanced="0"/>
    <cacheHierarchy uniqueName="[Table_1].[Postal Code]" caption="Postal Code" attribute="1" defaultMemberUniqueName="[Table_1].[Postal Code].[All]" allUniqueName="[Table_1].[Postal Code].[All]" dimensionUniqueName="[Table_1]" displayFolder="" count="0" memberValueDatatype="20" unbalanced="0"/>
    <cacheHierarchy uniqueName="[Table_1].[Order Date]" caption="Order Date" attribute="1" time="1" defaultMemberUniqueName="[Table_1].[Order Date].[All]" allUniqueName="[Table_1].[Order Date].[All]" dimensionUniqueName="[Table_1]" displayFolder="" count="0" memberValueDatatype="7" unbalanced="0"/>
    <cacheHierarchy uniqueName="[Table_1].[Ship Date]" caption="Ship Date" attribute="1" time="1" defaultMemberUniqueName="[Table_1].[Ship Date].[All]" allUniqueName="[Table_1].[Ship Date].[All]" dimensionUniqueName="[Table_1]" displayFolder="" count="0" memberValueDatatype="7" unbalanced="0"/>
    <cacheHierarchy uniqueName="[Table_1].[Profit]" caption="Profit" attribute="1" defaultMemberUniqueName="[Table_1].[Profit].[All]" allUniqueName="[Table_1].[Profit].[All]" dimensionUniqueName="[Table_1]" displayFolder="" count="0" memberValueDatatype="5" unbalanced="0"/>
    <cacheHierarchy uniqueName="[Table_1].[Quantity ordered new]" caption="Quantity ordered new" attribute="1" defaultMemberUniqueName="[Table_1].[Quantity ordered new].[All]" allUniqueName="[Table_1].[Quantity ordered new].[All]" dimensionUniqueName="[Table_1]" displayFolder="" count="0" memberValueDatatype="20" unbalanced="0"/>
    <cacheHierarchy uniqueName="[Table_1].[Sales]" caption="Sales" attribute="1" defaultMemberUniqueName="[Table_1].[Sales].[All]" allUniqueName="[Table_1].[Sales].[All]" dimensionUniqueName="[Table_1]" displayFolder="" count="0" memberValueDatatype="5" unbalanced="0"/>
    <cacheHierarchy uniqueName="[Table_1].[Order ID]" caption="Order ID" attribute="1" defaultMemberUniqueName="[Table_1].[Order ID].[All]" allUniqueName="[Table_1].[Order ID].[All]" dimensionUniqueName="[Table_1]" displayFolder="" count="0" memberValueDatatype="20" unbalanced="0"/>
    <cacheHierarchy uniqueName="[Table_1].[Total]" caption="Total" attribute="1" defaultMemberUniqueName="[Table_1].[Total].[All]" allUniqueName="[Table_1].[Total].[All]" dimensionUniqueName="[Table_1]" displayFolder="" count="0" memberValueDatatype="5" unbalanced="0"/>
    <cacheHierarchy uniqueName="[Table_1].[Manager]" caption="Manager" attribute="1" defaultMemberUniqueName="[Table_1].[Manager].[All]" allUniqueName="[Table_1].[Manager].[All]" dimensionUniqueName="[Table_1]" displayFolder="" count="0" memberValueDatatype="130" unbalanced="0"/>
    <cacheHierarchy uniqueName="[Table_1].[Dollar Discount]" caption="Dollar Discount" attribute="1" defaultMemberUniqueName="[Table_1].[Dollar Discount].[All]" allUniqueName="[Table_1].[Dollar Discount].[All]" dimensionUniqueName="[Table_1]" displayFolder="" count="0" memberValueDatatype="5" unbalanced="0"/>
    <cacheHierarchy uniqueName="[Table_1].[Gross Cost]" caption="Gross Cost" attribute="1" defaultMemberUniqueName="[Table_1].[Gross Cost].[All]" allUniqueName="[Table_1].[Gross Cost].[All]" dimensionUniqueName="[Table_1]" displayFolder="" count="0" memberValueDatatype="5" unbalanced="0"/>
    <cacheHierarchy uniqueName="[Table_1].[Gross Profit]" caption="Gross Profit" attribute="1" defaultMemberUniqueName="[Table_1].[Gross Profit].[All]" allUniqueName="[Table_1].[Gross Profit].[All]" dimensionUniqueName="[Table_1]" displayFolder="" count="0" memberValueDatatype="5" unbalanced="0"/>
    <cacheHierarchy uniqueName="[Table_1].[Cumulative cost]" caption="Cumulative cost" attribute="1" defaultMemberUniqueName="[Table_1].[Cumulative cost].[All]" allUniqueName="[Table_1].[Cumulative cost].[All]" dimensionUniqueName="[Table_1]" displayFolder="" count="0" memberValueDatatype="5" unbalanced="0"/>
    <cacheHierarchy uniqueName="[Table_1].[Order Date (Month)]" caption="Order Date (Month)" attribute="1" defaultMemberUniqueName="[Table_1].[Order Date (Month)].[All]" allUniqueName="[Table_1].[Order Date (Month)].[All]" dimensionUniqueName="[Table_1]" displayFolder="" count="0" memberValueDatatype="130" unbalanced="0"/>
    <cacheHierarchy uniqueName="[Table_1].[Order Date (Month Index)]" caption="Order Date (Month Index)" attribute="1" defaultMemberUniqueName="[Table_1].[Order Date (Month Index)].[All]" allUniqueName="[Table_1].[Order Date (Month Index)].[All]" dimensionUniqueName="[Table_1]" displayFolder="" count="0" memberValueDatatype="20" unbalanced="0" hidden="1"/>
    <cacheHierarchy uniqueName="[Measures].[Σ Discount]" caption="Σ Discount" measure="1" displayFolder="" measureGroup="Table_1" count="0"/>
    <cacheHierarchy uniqueName="[Measures].[Σ Profit]" caption="Σ Profit" measure="1" displayFolder="" measureGroup="Table_1" count="0"/>
    <cacheHierarchy uniqueName="[Measures].[Σ Shipping]" caption="Σ Shipping" measure="1" displayFolder="" measureGroup="Table_1" count="0"/>
    <cacheHierarchy uniqueName="[Measures].[Σ Costs]" caption="Σ Costs" measure="1" displayFolder="" measureGroup="Table_1" count="0"/>
    <cacheHierarchy uniqueName="[Measures].[__XL_Count Table_1]" caption="__XL_Count Table_1" measure="1" displayFolder="" measureGroup="Table_1" count="0" hidden="1"/>
    <cacheHierarchy uniqueName="[Measures].[__No measures defined]" caption="__No measures defined" measure="1" displayFolder="" count="0" hidden="1"/>
    <cacheHierarchy uniqueName="[Measures].[Sum of Sales]" caption="Sum of Sales" measure="1" displayFolder="" measureGroup="Table_1" count="0" oneField="1" hidden="1">
      <fieldsUsage count="1">
        <fieldUsage x="2"/>
      </fieldsUsage>
      <extLst>
        <ext xmlns:x15="http://schemas.microsoft.com/office/spreadsheetml/2010/11/main" uri="{B97F6D7D-B522-45F9-BDA1-12C45D357490}">
          <x15:cacheHierarchy aggregatedColumn="22"/>
        </ext>
      </extLst>
    </cacheHierarchy>
    <cacheHierarchy uniqueName="[Measures].[Sum of Quantity ordered new]" caption="Sum of Quantity ordered new" measure="1" displayFolder="" measureGroup="Table_1" count="0" hidden="1">
      <extLst>
        <ext xmlns:x15="http://schemas.microsoft.com/office/spreadsheetml/2010/11/main" uri="{B97F6D7D-B522-45F9-BDA1-12C45D357490}">
          <x15:cacheHierarchy aggregatedColumn="21"/>
        </ext>
      </extLst>
    </cacheHierarchy>
    <cacheHierarchy uniqueName="[Measures].[Sum of Profit]" caption="Sum of Profit" measure="1" displayFolder="" measureGroup="Table_1" count="0" oneField="1" hidden="1">
      <fieldsUsage count="1">
        <fieldUsage x="3"/>
      </fieldsUsage>
      <extLst>
        <ext xmlns:x15="http://schemas.microsoft.com/office/spreadsheetml/2010/11/main" uri="{B97F6D7D-B522-45F9-BDA1-12C45D357490}">
          <x15:cacheHierarchy aggregatedColumn="20"/>
        </ext>
      </extLst>
    </cacheHierarchy>
    <cacheHierarchy uniqueName="[Measures].[Count of Product Category]" caption="Count of Product Category" measure="1" displayFolder="" measureGroup="Table_1" count="0" hidden="1">
      <extLst>
        <ext xmlns:x15="http://schemas.microsoft.com/office/spreadsheetml/2010/11/main" uri="{B97F6D7D-B522-45F9-BDA1-12C45D357490}">
          <x15:cacheHierarchy aggregatedColumn="8"/>
        </ext>
      </extLst>
    </cacheHierarchy>
    <cacheHierarchy uniqueName="[Measures].[Sum of Discount]" caption="Sum of Discount" measure="1" displayFolder="" measureGroup="Table_1" count="0" hidden="1">
      <extLst>
        <ext xmlns:x15="http://schemas.microsoft.com/office/spreadsheetml/2010/11/main" uri="{B97F6D7D-B522-45F9-BDA1-12C45D357490}">
          <x15:cacheHierarchy aggregatedColumn="3"/>
        </ext>
      </extLst>
    </cacheHierarchy>
    <cacheHierarchy uniqueName="[Measures].[Sum of Shipping Cost]" caption="Sum of Shipping Cost" measure="1" displayFolder="" measureGroup="Table_1" count="0" hidden="1">
      <extLst>
        <ext xmlns:x15="http://schemas.microsoft.com/office/spreadsheetml/2010/11/main" uri="{B97F6D7D-B522-45F9-BDA1-12C45D357490}">
          <x15:cacheHierarchy aggregatedColumn="5"/>
        </ext>
      </extLst>
    </cacheHierarchy>
    <cacheHierarchy uniqueName="[Measures].[Sum of Dollar Discount]" caption="Sum of Dollar Discount" measure="1" displayFolder="" measureGroup="Table_1" count="0" hidden="1">
      <extLst>
        <ext xmlns:x15="http://schemas.microsoft.com/office/spreadsheetml/2010/11/main" uri="{B97F6D7D-B522-45F9-BDA1-12C45D357490}">
          <x15:cacheHierarchy aggregatedColumn="26"/>
        </ext>
      </extLst>
    </cacheHierarchy>
    <cacheHierarchy uniqueName="[Measures].[Sum of Cumulative cost]" caption="Sum of Cumulative cost" measure="1" displayFolder="" measureGroup="Table_1" count="0" hidden="1">
      <extLst>
        <ext xmlns:x15="http://schemas.microsoft.com/office/spreadsheetml/2010/11/main" uri="{B97F6D7D-B522-45F9-BDA1-12C45D357490}">
          <x15:cacheHierarchy aggregatedColumn="29"/>
        </ext>
      </extLst>
    </cacheHierarchy>
    <cacheHierarchy uniqueName="[Measures].[Sum of Postal Code]" caption="Sum of Postal Code" measure="1" displayFolder="" measureGroup="Table_1" count="0" hidden="1">
      <extLst>
        <ext xmlns:x15="http://schemas.microsoft.com/office/spreadsheetml/2010/11/main" uri="{B97F6D7D-B522-45F9-BDA1-12C45D357490}">
          <x15:cacheHierarchy aggregatedColumn="17"/>
        </ext>
      </extLst>
    </cacheHierarchy>
    <cacheHierarchy uniqueName="[Measures].[Sum of Order ID]" caption="Sum of Order ID" measure="1" displayFolder="" measureGroup="Table_1" count="0" hidden="1">
      <extLst>
        <ext xmlns:x15="http://schemas.microsoft.com/office/spreadsheetml/2010/11/main" uri="{B97F6D7D-B522-45F9-BDA1-12C45D357490}">
          <x15:cacheHierarchy aggregatedColumn="23"/>
        </ext>
      </extLst>
    </cacheHierarchy>
    <cacheHierarchy uniqueName="[Measures].[Distinct Count of Order ID]" caption="Distinct Count of Order ID" measure="1" displayFolder="" measureGroup="Table_1" count="0" oneField="1" hidden="1">
      <fieldsUsage count="1">
        <fieldUsage x="5"/>
      </fieldsUsage>
      <extLst>
        <ext xmlns:x15="http://schemas.microsoft.com/office/spreadsheetml/2010/11/main" uri="{B97F6D7D-B522-45F9-BDA1-12C45D357490}">
          <x15:cacheHierarchy aggregatedColumn="23"/>
        </ext>
      </extLst>
    </cacheHierarchy>
    <cacheHierarchy uniqueName="[Measures].[Count of Order Date]" caption="Count of Order Date" measure="1" displayFolder="" measureGroup="Table_1" count="0" hidden="1">
      <extLst>
        <ext xmlns:x15="http://schemas.microsoft.com/office/spreadsheetml/2010/11/main" uri="{B97F6D7D-B522-45F9-BDA1-12C45D357490}">
          <x15:cacheHierarchy aggregatedColumn="18"/>
        </ext>
      </extLst>
    </cacheHierarchy>
    <cacheHierarchy uniqueName="[Measures].[Max of Order Date]" caption="Max of Order Date" measure="1" displayFolder="" measureGroup="Table_1" count="0" oneField="1" hidden="1">
      <fieldsUsage count="1">
        <fieldUsage x="6"/>
      </fieldsUsage>
      <extLst>
        <ext xmlns:x15="http://schemas.microsoft.com/office/spreadsheetml/2010/11/main" uri="{B97F6D7D-B522-45F9-BDA1-12C45D357490}">
          <x15:cacheHierarchy aggregatedColumn="18"/>
        </ext>
      </extLst>
    </cacheHierarchy>
    <cacheHierarchy uniqueName="[Measures].[Count of Product Name]" caption="Count of Product Name" measure="1" displayFolder="" measureGroup="Table_1" count="0" hidden="1">
      <extLst>
        <ext xmlns:x15="http://schemas.microsoft.com/office/spreadsheetml/2010/11/main" uri="{B97F6D7D-B522-45F9-BDA1-12C45D357490}">
          <x15:cacheHierarchy aggregatedColumn="11"/>
        </ext>
      </extLst>
    </cacheHierarchy>
    <cacheHierarchy uniqueName="[Measures].[Distinct Count of Product Name]" caption="Distinct Count of Product Name" measure="1" displayFolder="" measureGroup="Table_1" count="0" hidden="1">
      <extLst>
        <ext xmlns:x15="http://schemas.microsoft.com/office/spreadsheetml/2010/11/main" uri="{B97F6D7D-B522-45F9-BDA1-12C45D357490}">
          <x15:cacheHierarchy aggregatedColumn="11"/>
        </ext>
      </extLst>
    </cacheHierarchy>
  </cacheHierarchies>
  <kpis count="0"/>
  <dimensions count="2">
    <dimension measure="1" name="Measures" uniqueName="[Measures]" caption="Measures"/>
    <dimension name="Table_1" uniqueName="[Table_1]" caption="Table_1"/>
  </dimensions>
  <measureGroups count="1">
    <measureGroup name="Table_1" caption="Table_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aurabh Lakhanpal" refreshedDate="45219.692588310187" backgroundQuery="1" createdVersion="8" refreshedVersion="8" minRefreshableVersion="3" recordCount="0" supportSubquery="1" supportAdvancedDrill="1" xr:uid="{92415BE5-3FEC-4B28-8344-7766094E621F}">
  <cacheSource type="external" connectionId="1"/>
  <cacheFields count="4">
    <cacheField name="[Table_1].[City].[City]" caption="City" numFmtId="0" hierarchy="16" level="1">
      <sharedItems count="3">
        <s v="Janesville"/>
        <s v="Laguna Hills"/>
        <s v="Walla Walla"/>
      </sharedItems>
    </cacheField>
    <cacheField name="[Measures].[Sum of Quantity ordered new]" caption="Sum of Quantity ordered new" numFmtId="0" hierarchy="39" level="32767"/>
    <cacheField name="[Measures].[Sum of Profit]" caption="Sum of Profit" numFmtId="0" hierarchy="40" level="32767"/>
    <cacheField name="[Table_1].[Order Priority].[Order Priority]" caption="Order Priority" numFmtId="0" hierarchy="2" level="1">
      <sharedItems containsSemiMixedTypes="0" containsNonDate="0" containsString="0"/>
    </cacheField>
  </cacheFields>
  <cacheHierarchies count="54">
    <cacheHierarchy uniqueName="[Table_1].[Customer ID]" caption="Customer ID" attribute="1" defaultMemberUniqueName="[Table_1].[Customer ID].[All]" allUniqueName="[Table_1].[Customer ID].[All]" dimensionUniqueName="[Table_1]" displayFolder="" count="0" memberValueDatatype="20" unbalanced="0"/>
    <cacheHierarchy uniqueName="[Table_1].[Customer Name]" caption="Customer Name" attribute="1" defaultMemberUniqueName="[Table_1].[Customer Name].[All]" allUniqueName="[Table_1].[Customer Name].[All]" dimensionUniqueName="[Table_1]" displayFolder="" count="0" memberValueDatatype="130" unbalanced="0"/>
    <cacheHierarchy uniqueName="[Table_1].[Order Priority]" caption="Order Priority" attribute="1" defaultMemberUniqueName="[Table_1].[Order Priority].[All]" allUniqueName="[Table_1].[Order Priority].[All]" dimensionUniqueName="[Table_1]" displayFolder="" count="2" memberValueDatatype="130" unbalanced="0">
      <fieldsUsage count="2">
        <fieldUsage x="-1"/>
        <fieldUsage x="3"/>
      </fieldsUsage>
    </cacheHierarchy>
    <cacheHierarchy uniqueName="[Table_1].[Discount]" caption="Discount" attribute="1" defaultMemberUniqueName="[Table_1].[Discount].[All]" allUniqueName="[Table_1].[Discount].[All]" dimensionUniqueName="[Table_1]" displayFolder="" count="0" memberValueDatatype="5" unbalanced="0"/>
    <cacheHierarchy uniqueName="[Table_1].[Unit Price]" caption="Unit Price" attribute="1" defaultMemberUniqueName="[Table_1].[Unit Price].[All]" allUniqueName="[Table_1].[Unit Price].[All]" dimensionUniqueName="[Table_1]" displayFolder="" count="0" memberValueDatatype="5" unbalanced="0"/>
    <cacheHierarchy uniqueName="[Table_1].[Shipping Cost]" caption="Shipping Cost" attribute="1" defaultMemberUniqueName="[Table_1].[Shipping Cost].[All]" allUniqueName="[Table_1].[Shipping Cost].[All]" dimensionUniqueName="[Table_1]" displayFolder="" count="0" memberValueDatatype="5" unbalanced="0"/>
    <cacheHierarchy uniqueName="[Table_1].[Ship Mode]" caption="Ship Mode" attribute="1" defaultMemberUniqueName="[Table_1].[Ship Mode].[All]" allUniqueName="[Table_1].[Ship Mode].[All]" dimensionUniqueName="[Table_1]" displayFolder="" count="0" memberValueDatatype="130" unbalanced="0"/>
    <cacheHierarchy uniqueName="[Table_1].[Customer Segment]" caption="Customer Segment" attribute="1" defaultMemberUniqueName="[Table_1].[Customer Segment].[All]" allUniqueName="[Table_1].[Customer Segment].[All]" dimensionUniqueName="[Table_1]" displayFolder="" count="2" memberValueDatatype="130" unbalanced="0"/>
    <cacheHierarchy uniqueName="[Table_1].[Product Category]" caption="Product Category" attribute="1" defaultMemberUniqueName="[Table_1].[Product Category].[All]" allUniqueName="[Table_1].[Product Category].[All]" dimensionUniqueName="[Table_1]" displayFolder="" count="0" memberValueDatatype="130" unbalanced="0"/>
    <cacheHierarchy uniqueName="[Table_1].[Product Sub-Category]" caption="Product Sub-Category" attribute="1" defaultMemberUniqueName="[Table_1].[Product Sub-Category].[All]" allUniqueName="[Table_1].[Product Sub-Category].[All]" dimensionUniqueName="[Table_1]" displayFolder="" count="2" memberValueDatatype="130" unbalanced="0"/>
    <cacheHierarchy uniqueName="[Table_1].[Product Container]" caption="Product Container" attribute="1" defaultMemberUniqueName="[Table_1].[Product Container].[All]" allUniqueName="[Table_1].[Product Container].[All]" dimensionUniqueName="[Table_1]" displayFolder="" count="0" memberValueDatatype="130" unbalanced="0"/>
    <cacheHierarchy uniqueName="[Table_1].[Product Name]" caption="Product Name" attribute="1" defaultMemberUniqueName="[Table_1].[Product Name].[All]" allUniqueName="[Table_1].[Product Name].[All]" dimensionUniqueName="[Table_1]" displayFolder="" count="0" memberValueDatatype="130" unbalanced="0"/>
    <cacheHierarchy uniqueName="[Table_1].[Product Base Margin]" caption="Product Base Margin" attribute="1" defaultMemberUniqueName="[Table_1].[Product Base Margin].[All]" allUniqueName="[Table_1].[Product Base Margin].[All]" dimensionUniqueName="[Table_1]" displayFolder="" count="0" memberValueDatatype="5" unbalanced="0"/>
    <cacheHierarchy uniqueName="[Table_1].[Country]" caption="Country" attribute="1" defaultMemberUniqueName="[Table_1].[Country].[All]" allUniqueName="[Table_1].[Country].[All]" dimensionUniqueName="[Table_1]" displayFolder="" count="0" memberValueDatatype="130" unbalanced="0"/>
    <cacheHierarchy uniqueName="[Table_1].[Region]" caption="Region" attribute="1" defaultMemberUniqueName="[Table_1].[Region].[All]" allUniqueName="[Table_1].[Region].[All]" dimensionUniqueName="[Table_1]" displayFolder="" count="0" memberValueDatatype="130" unbalanced="0"/>
    <cacheHierarchy uniqueName="[Table_1].[State or Province]" caption="State or Province" attribute="1" defaultMemberUniqueName="[Table_1].[State or Province].[All]" allUniqueName="[Table_1].[State or Province].[All]" dimensionUniqueName="[Table_1]" displayFolder="" count="0" memberValueDatatype="130" unbalanced="0"/>
    <cacheHierarchy uniqueName="[Table_1].[City]" caption="City" attribute="1" defaultMemberUniqueName="[Table_1].[City].[All]" allUniqueName="[Table_1].[City].[All]" dimensionUniqueName="[Table_1]" displayFolder="" count="2" memberValueDatatype="130" unbalanced="0">
      <fieldsUsage count="2">
        <fieldUsage x="-1"/>
        <fieldUsage x="0"/>
      </fieldsUsage>
    </cacheHierarchy>
    <cacheHierarchy uniqueName="[Table_1].[Postal Code]" caption="Postal Code" attribute="1" defaultMemberUniqueName="[Table_1].[Postal Code].[All]" allUniqueName="[Table_1].[Postal Code].[All]" dimensionUniqueName="[Table_1]" displayFolder="" count="0" memberValueDatatype="20" unbalanced="0"/>
    <cacheHierarchy uniqueName="[Table_1].[Order Date]" caption="Order Date" attribute="1" time="1" defaultMemberUniqueName="[Table_1].[Order Date].[All]" allUniqueName="[Table_1].[Order Date].[All]" dimensionUniqueName="[Table_1]" displayFolder="" count="0" memberValueDatatype="7" unbalanced="0"/>
    <cacheHierarchy uniqueName="[Table_1].[Ship Date]" caption="Ship Date" attribute="1" time="1" defaultMemberUniqueName="[Table_1].[Ship Date].[All]" allUniqueName="[Table_1].[Ship Date].[All]" dimensionUniqueName="[Table_1]" displayFolder="" count="0" memberValueDatatype="7" unbalanced="0"/>
    <cacheHierarchy uniqueName="[Table_1].[Profit]" caption="Profit" attribute="1" defaultMemberUniqueName="[Table_1].[Profit].[All]" allUniqueName="[Table_1].[Profit].[All]" dimensionUniqueName="[Table_1]" displayFolder="" count="0" memberValueDatatype="5" unbalanced="0"/>
    <cacheHierarchy uniqueName="[Table_1].[Quantity ordered new]" caption="Quantity ordered new" attribute="1" defaultMemberUniqueName="[Table_1].[Quantity ordered new].[All]" allUniqueName="[Table_1].[Quantity ordered new].[All]" dimensionUniqueName="[Table_1]" displayFolder="" count="0" memberValueDatatype="20" unbalanced="0"/>
    <cacheHierarchy uniqueName="[Table_1].[Sales]" caption="Sales" attribute="1" defaultMemberUniqueName="[Table_1].[Sales].[All]" allUniqueName="[Table_1].[Sales].[All]" dimensionUniqueName="[Table_1]" displayFolder="" count="0" memberValueDatatype="5" unbalanced="0"/>
    <cacheHierarchy uniqueName="[Table_1].[Order ID]" caption="Order ID" attribute="1" defaultMemberUniqueName="[Table_1].[Order ID].[All]" allUniqueName="[Table_1].[Order ID].[All]" dimensionUniqueName="[Table_1]" displayFolder="" count="0" memberValueDatatype="20" unbalanced="0"/>
    <cacheHierarchy uniqueName="[Table_1].[Total]" caption="Total" attribute="1" defaultMemberUniqueName="[Table_1].[Total].[All]" allUniqueName="[Table_1].[Total].[All]" dimensionUniqueName="[Table_1]" displayFolder="" count="0" memberValueDatatype="5" unbalanced="0"/>
    <cacheHierarchy uniqueName="[Table_1].[Manager]" caption="Manager" attribute="1" defaultMemberUniqueName="[Table_1].[Manager].[All]" allUniqueName="[Table_1].[Manager].[All]" dimensionUniqueName="[Table_1]" displayFolder="" count="0" memberValueDatatype="130" unbalanced="0"/>
    <cacheHierarchy uniqueName="[Table_1].[Dollar Discount]" caption="Dollar Discount" attribute="1" defaultMemberUniqueName="[Table_1].[Dollar Discount].[All]" allUniqueName="[Table_1].[Dollar Discount].[All]" dimensionUniqueName="[Table_1]" displayFolder="" count="0" memberValueDatatype="5" unbalanced="0"/>
    <cacheHierarchy uniqueName="[Table_1].[Gross Cost]" caption="Gross Cost" attribute="1" defaultMemberUniqueName="[Table_1].[Gross Cost].[All]" allUniqueName="[Table_1].[Gross Cost].[All]" dimensionUniqueName="[Table_1]" displayFolder="" count="0" memberValueDatatype="5" unbalanced="0"/>
    <cacheHierarchy uniqueName="[Table_1].[Gross Profit]" caption="Gross Profit" attribute="1" defaultMemberUniqueName="[Table_1].[Gross Profit].[All]" allUniqueName="[Table_1].[Gross Profit].[All]" dimensionUniqueName="[Table_1]" displayFolder="" count="0" memberValueDatatype="5" unbalanced="0"/>
    <cacheHierarchy uniqueName="[Table_1].[Cumulative cost]" caption="Cumulative cost" attribute="1" defaultMemberUniqueName="[Table_1].[Cumulative cost].[All]" allUniqueName="[Table_1].[Cumulative cost].[All]" dimensionUniqueName="[Table_1]" displayFolder="" count="0" memberValueDatatype="5" unbalanced="0"/>
    <cacheHierarchy uniqueName="[Table_1].[Order Date (Month)]" caption="Order Date (Month)" attribute="1" defaultMemberUniqueName="[Table_1].[Order Date (Month)].[All]" allUniqueName="[Table_1].[Order Date (Month)].[All]" dimensionUniqueName="[Table_1]" displayFolder="" count="0" memberValueDatatype="130" unbalanced="0"/>
    <cacheHierarchy uniqueName="[Table_1].[Order Date (Month Index)]" caption="Order Date (Month Index)" attribute="1" defaultMemberUniqueName="[Table_1].[Order Date (Month Index)].[All]" allUniqueName="[Table_1].[Order Date (Month Index)].[All]" dimensionUniqueName="[Table_1]" displayFolder="" count="0" memberValueDatatype="20" unbalanced="0" hidden="1"/>
    <cacheHierarchy uniqueName="[Measures].[Σ Discount]" caption="Σ Discount" measure="1" displayFolder="" measureGroup="Table_1" count="0"/>
    <cacheHierarchy uniqueName="[Measures].[Σ Profit]" caption="Σ Profit" measure="1" displayFolder="" measureGroup="Table_1" count="0"/>
    <cacheHierarchy uniqueName="[Measures].[Σ Shipping]" caption="Σ Shipping" measure="1" displayFolder="" measureGroup="Table_1" count="0"/>
    <cacheHierarchy uniqueName="[Measures].[Σ Costs]" caption="Σ Costs" measure="1" displayFolder="" measureGroup="Table_1" count="0"/>
    <cacheHierarchy uniqueName="[Measures].[__XL_Count Table_1]" caption="__XL_Count Table_1" measure="1" displayFolder="" measureGroup="Table_1" count="0" hidden="1"/>
    <cacheHierarchy uniqueName="[Measures].[__No measures defined]" caption="__No measures defined" measure="1" displayFolder="" count="0" hidden="1"/>
    <cacheHierarchy uniqueName="[Measures].[Sum of Sales]" caption="Sum of Sales" measure="1" displayFolder="" measureGroup="Table_1" count="0" hidden="1">
      <extLst>
        <ext xmlns:x15="http://schemas.microsoft.com/office/spreadsheetml/2010/11/main" uri="{B97F6D7D-B522-45F9-BDA1-12C45D357490}">
          <x15:cacheHierarchy aggregatedColumn="22"/>
        </ext>
      </extLst>
    </cacheHierarchy>
    <cacheHierarchy uniqueName="[Measures].[Sum of Quantity ordered new]" caption="Sum of Quantity ordered new" measure="1" displayFolder="" measureGroup="Table_1" count="0" oneField="1" hidden="1">
      <fieldsUsage count="1">
        <fieldUsage x="1"/>
      </fieldsUsage>
      <extLst>
        <ext xmlns:x15="http://schemas.microsoft.com/office/spreadsheetml/2010/11/main" uri="{B97F6D7D-B522-45F9-BDA1-12C45D357490}">
          <x15:cacheHierarchy aggregatedColumn="21"/>
        </ext>
      </extLst>
    </cacheHierarchy>
    <cacheHierarchy uniqueName="[Measures].[Sum of Profit]" caption="Sum of Profit" measure="1" displayFolder="" measureGroup="Table_1" count="0" oneField="1" hidden="1">
      <fieldsUsage count="1">
        <fieldUsage x="2"/>
      </fieldsUsage>
      <extLst>
        <ext xmlns:x15="http://schemas.microsoft.com/office/spreadsheetml/2010/11/main" uri="{B97F6D7D-B522-45F9-BDA1-12C45D357490}">
          <x15:cacheHierarchy aggregatedColumn="20"/>
        </ext>
      </extLst>
    </cacheHierarchy>
    <cacheHierarchy uniqueName="[Measures].[Count of Product Category]" caption="Count of Product Category" measure="1" displayFolder="" measureGroup="Table_1" count="0" hidden="1">
      <extLst>
        <ext xmlns:x15="http://schemas.microsoft.com/office/spreadsheetml/2010/11/main" uri="{B97F6D7D-B522-45F9-BDA1-12C45D357490}">
          <x15:cacheHierarchy aggregatedColumn="8"/>
        </ext>
      </extLst>
    </cacheHierarchy>
    <cacheHierarchy uniqueName="[Measures].[Sum of Discount]" caption="Sum of Discount" measure="1" displayFolder="" measureGroup="Table_1" count="0" hidden="1">
      <extLst>
        <ext xmlns:x15="http://schemas.microsoft.com/office/spreadsheetml/2010/11/main" uri="{B97F6D7D-B522-45F9-BDA1-12C45D357490}">
          <x15:cacheHierarchy aggregatedColumn="3"/>
        </ext>
      </extLst>
    </cacheHierarchy>
    <cacheHierarchy uniqueName="[Measures].[Sum of Shipping Cost]" caption="Sum of Shipping Cost" measure="1" displayFolder="" measureGroup="Table_1" count="0" hidden="1">
      <extLst>
        <ext xmlns:x15="http://schemas.microsoft.com/office/spreadsheetml/2010/11/main" uri="{B97F6D7D-B522-45F9-BDA1-12C45D357490}">
          <x15:cacheHierarchy aggregatedColumn="5"/>
        </ext>
      </extLst>
    </cacheHierarchy>
    <cacheHierarchy uniqueName="[Measures].[Sum of Dollar Discount]" caption="Sum of Dollar Discount" measure="1" displayFolder="" measureGroup="Table_1" count="0" hidden="1">
      <extLst>
        <ext xmlns:x15="http://schemas.microsoft.com/office/spreadsheetml/2010/11/main" uri="{B97F6D7D-B522-45F9-BDA1-12C45D357490}">
          <x15:cacheHierarchy aggregatedColumn="26"/>
        </ext>
      </extLst>
    </cacheHierarchy>
    <cacheHierarchy uniqueName="[Measures].[Sum of Cumulative cost]" caption="Sum of Cumulative cost" measure="1" displayFolder="" measureGroup="Table_1" count="0" hidden="1">
      <extLst>
        <ext xmlns:x15="http://schemas.microsoft.com/office/spreadsheetml/2010/11/main" uri="{B97F6D7D-B522-45F9-BDA1-12C45D357490}">
          <x15:cacheHierarchy aggregatedColumn="29"/>
        </ext>
      </extLst>
    </cacheHierarchy>
    <cacheHierarchy uniqueName="[Measures].[Sum of Postal Code]" caption="Sum of Postal Code" measure="1" displayFolder="" measureGroup="Table_1" count="0" hidden="1">
      <extLst>
        <ext xmlns:x15="http://schemas.microsoft.com/office/spreadsheetml/2010/11/main" uri="{B97F6D7D-B522-45F9-BDA1-12C45D357490}">
          <x15:cacheHierarchy aggregatedColumn="17"/>
        </ext>
      </extLst>
    </cacheHierarchy>
    <cacheHierarchy uniqueName="[Measures].[Sum of Order ID]" caption="Sum of Order ID" measure="1" displayFolder="" measureGroup="Table_1" count="0" hidden="1">
      <extLst>
        <ext xmlns:x15="http://schemas.microsoft.com/office/spreadsheetml/2010/11/main" uri="{B97F6D7D-B522-45F9-BDA1-12C45D357490}">
          <x15:cacheHierarchy aggregatedColumn="23"/>
        </ext>
      </extLst>
    </cacheHierarchy>
    <cacheHierarchy uniqueName="[Measures].[Distinct Count of Order ID]" caption="Distinct Count of Order ID" measure="1" displayFolder="" measureGroup="Table_1" count="0" hidden="1">
      <extLst>
        <ext xmlns:x15="http://schemas.microsoft.com/office/spreadsheetml/2010/11/main" uri="{B97F6D7D-B522-45F9-BDA1-12C45D357490}">
          <x15:cacheHierarchy aggregatedColumn="23"/>
        </ext>
      </extLst>
    </cacheHierarchy>
    <cacheHierarchy uniqueName="[Measures].[Count of Order Date]" caption="Count of Order Date" measure="1" displayFolder="" measureGroup="Table_1" count="0" hidden="1">
      <extLst>
        <ext xmlns:x15="http://schemas.microsoft.com/office/spreadsheetml/2010/11/main" uri="{B97F6D7D-B522-45F9-BDA1-12C45D357490}">
          <x15:cacheHierarchy aggregatedColumn="18"/>
        </ext>
      </extLst>
    </cacheHierarchy>
    <cacheHierarchy uniqueName="[Measures].[Max of Order Date]" caption="Max of Order Date" measure="1" displayFolder="" measureGroup="Table_1" count="0" hidden="1">
      <extLst>
        <ext xmlns:x15="http://schemas.microsoft.com/office/spreadsheetml/2010/11/main" uri="{B97F6D7D-B522-45F9-BDA1-12C45D357490}">
          <x15:cacheHierarchy aggregatedColumn="18"/>
        </ext>
      </extLst>
    </cacheHierarchy>
    <cacheHierarchy uniqueName="[Measures].[Count of Product Name]" caption="Count of Product Name" measure="1" displayFolder="" measureGroup="Table_1" count="0" hidden="1">
      <extLst>
        <ext xmlns:x15="http://schemas.microsoft.com/office/spreadsheetml/2010/11/main" uri="{B97F6D7D-B522-45F9-BDA1-12C45D357490}">
          <x15:cacheHierarchy aggregatedColumn="11"/>
        </ext>
      </extLst>
    </cacheHierarchy>
    <cacheHierarchy uniqueName="[Measures].[Distinct Count of Product Name]" caption="Distinct Count of Product Name" measure="1" displayFolder="" measureGroup="Table_1" count="0" hidden="1">
      <extLst>
        <ext xmlns:x15="http://schemas.microsoft.com/office/spreadsheetml/2010/11/main" uri="{B97F6D7D-B522-45F9-BDA1-12C45D357490}">
          <x15:cacheHierarchy aggregatedColumn="11"/>
        </ext>
      </extLst>
    </cacheHierarchy>
    <cacheHierarchy uniqueName="[Measures].[Count of Sales]" caption="Count of Sales" measure="1" displayFolder="" measureGroup="Table_1" count="0" hidden="1">
      <extLst>
        <ext xmlns:x15="http://schemas.microsoft.com/office/spreadsheetml/2010/11/main" uri="{B97F6D7D-B522-45F9-BDA1-12C45D357490}">
          <x15:cacheHierarchy aggregatedColumn="22"/>
        </ext>
      </extLst>
    </cacheHierarchy>
  </cacheHierarchies>
  <kpis count="0"/>
  <dimensions count="2">
    <dimension measure="1" name="Measures" uniqueName="[Measures]" caption="Measures"/>
    <dimension name="Table_1" uniqueName="[Table_1]" caption="Table_1"/>
  </dimensions>
  <measureGroups count="1">
    <measureGroup name="Table_1" caption="Table_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aurabh Lakhanpal" refreshedDate="45219.692590740742" backgroundQuery="1" createdVersion="8" refreshedVersion="8" minRefreshableVersion="3" recordCount="0" supportSubquery="1" supportAdvancedDrill="1" xr:uid="{FB4642D6-B92E-400B-A017-2186B7CC55FB}">
  <cacheSource type="external" connectionId="1"/>
  <cacheFields count="4">
    <cacheField name="[Table_1].[City].[City]" caption="City" numFmtId="0" hierarchy="16" level="1">
      <sharedItems count="3">
        <s v="Janesville"/>
        <s v="Laguna Hills"/>
        <s v="Walla Walla"/>
      </sharedItems>
    </cacheField>
    <cacheField name="[Measures].[Sum of Sales]" caption="Sum of Sales" numFmtId="0" hierarchy="38" level="32767"/>
    <cacheField name="[Measures].[Sum of Quantity ordered new]" caption="Sum of Quantity ordered new" numFmtId="0" hierarchy="39" level="32767"/>
    <cacheField name="[Table_1].[Order Priority].[Order Priority]" caption="Order Priority" numFmtId="0" hierarchy="2" level="1">
      <sharedItems containsSemiMixedTypes="0" containsNonDate="0" containsString="0"/>
    </cacheField>
  </cacheFields>
  <cacheHierarchies count="54">
    <cacheHierarchy uniqueName="[Table_1].[Customer ID]" caption="Customer ID" attribute="1" defaultMemberUniqueName="[Table_1].[Customer ID].[All]" allUniqueName="[Table_1].[Customer ID].[All]" dimensionUniqueName="[Table_1]" displayFolder="" count="0" memberValueDatatype="20" unbalanced="0"/>
    <cacheHierarchy uniqueName="[Table_1].[Customer Name]" caption="Customer Name" attribute="1" defaultMemberUniqueName="[Table_1].[Customer Name].[All]" allUniqueName="[Table_1].[Customer Name].[All]" dimensionUniqueName="[Table_1]" displayFolder="" count="0" memberValueDatatype="130" unbalanced="0"/>
    <cacheHierarchy uniqueName="[Table_1].[Order Priority]" caption="Order Priority" attribute="1" defaultMemberUniqueName="[Table_1].[Order Priority].[All]" allUniqueName="[Table_1].[Order Priority].[All]" dimensionUniqueName="[Table_1]" displayFolder="" count="2" memberValueDatatype="130" unbalanced="0">
      <fieldsUsage count="2">
        <fieldUsage x="-1"/>
        <fieldUsage x="3"/>
      </fieldsUsage>
    </cacheHierarchy>
    <cacheHierarchy uniqueName="[Table_1].[Discount]" caption="Discount" attribute="1" defaultMemberUniqueName="[Table_1].[Discount].[All]" allUniqueName="[Table_1].[Discount].[All]" dimensionUniqueName="[Table_1]" displayFolder="" count="0" memberValueDatatype="5" unbalanced="0"/>
    <cacheHierarchy uniqueName="[Table_1].[Unit Price]" caption="Unit Price" attribute="1" defaultMemberUniqueName="[Table_1].[Unit Price].[All]" allUniqueName="[Table_1].[Unit Price].[All]" dimensionUniqueName="[Table_1]" displayFolder="" count="0" memberValueDatatype="5" unbalanced="0"/>
    <cacheHierarchy uniqueName="[Table_1].[Shipping Cost]" caption="Shipping Cost" attribute="1" defaultMemberUniqueName="[Table_1].[Shipping Cost].[All]" allUniqueName="[Table_1].[Shipping Cost].[All]" dimensionUniqueName="[Table_1]" displayFolder="" count="0" memberValueDatatype="5" unbalanced="0"/>
    <cacheHierarchy uniqueName="[Table_1].[Ship Mode]" caption="Ship Mode" attribute="1" defaultMemberUniqueName="[Table_1].[Ship Mode].[All]" allUniqueName="[Table_1].[Ship Mode].[All]" dimensionUniqueName="[Table_1]" displayFolder="" count="0" memberValueDatatype="130" unbalanced="0"/>
    <cacheHierarchy uniqueName="[Table_1].[Customer Segment]" caption="Customer Segment" attribute="1" defaultMemberUniqueName="[Table_1].[Customer Segment].[All]" allUniqueName="[Table_1].[Customer Segment].[All]" dimensionUniqueName="[Table_1]" displayFolder="" count="2" memberValueDatatype="130" unbalanced="0"/>
    <cacheHierarchy uniqueName="[Table_1].[Product Category]" caption="Product Category" attribute="1" defaultMemberUniqueName="[Table_1].[Product Category].[All]" allUniqueName="[Table_1].[Product Category].[All]" dimensionUniqueName="[Table_1]" displayFolder="" count="0" memberValueDatatype="130" unbalanced="0"/>
    <cacheHierarchy uniqueName="[Table_1].[Product Sub-Category]" caption="Product Sub-Category" attribute="1" defaultMemberUniqueName="[Table_1].[Product Sub-Category].[All]" allUniqueName="[Table_1].[Product Sub-Category].[All]" dimensionUniqueName="[Table_1]" displayFolder="" count="2" memberValueDatatype="130" unbalanced="0"/>
    <cacheHierarchy uniqueName="[Table_1].[Product Container]" caption="Product Container" attribute="1" defaultMemberUniqueName="[Table_1].[Product Container].[All]" allUniqueName="[Table_1].[Product Container].[All]" dimensionUniqueName="[Table_1]" displayFolder="" count="0" memberValueDatatype="130" unbalanced="0"/>
    <cacheHierarchy uniqueName="[Table_1].[Product Name]" caption="Product Name" attribute="1" defaultMemberUniqueName="[Table_1].[Product Name].[All]" allUniqueName="[Table_1].[Product Name].[All]" dimensionUniqueName="[Table_1]" displayFolder="" count="0" memberValueDatatype="130" unbalanced="0"/>
    <cacheHierarchy uniqueName="[Table_1].[Product Base Margin]" caption="Product Base Margin" attribute="1" defaultMemberUniqueName="[Table_1].[Product Base Margin].[All]" allUniqueName="[Table_1].[Product Base Margin].[All]" dimensionUniqueName="[Table_1]" displayFolder="" count="0" memberValueDatatype="5" unbalanced="0"/>
    <cacheHierarchy uniqueName="[Table_1].[Country]" caption="Country" attribute="1" defaultMemberUniqueName="[Table_1].[Country].[All]" allUniqueName="[Table_1].[Country].[All]" dimensionUniqueName="[Table_1]" displayFolder="" count="0" memberValueDatatype="130" unbalanced="0"/>
    <cacheHierarchy uniqueName="[Table_1].[Region]" caption="Region" attribute="1" defaultMemberUniqueName="[Table_1].[Region].[All]" allUniqueName="[Table_1].[Region].[All]" dimensionUniqueName="[Table_1]" displayFolder="" count="0" memberValueDatatype="130" unbalanced="0"/>
    <cacheHierarchy uniqueName="[Table_1].[State or Province]" caption="State or Province" attribute="1" defaultMemberUniqueName="[Table_1].[State or Province].[All]" allUniqueName="[Table_1].[State or Province].[All]" dimensionUniqueName="[Table_1]" displayFolder="" count="0" memberValueDatatype="130" unbalanced="0"/>
    <cacheHierarchy uniqueName="[Table_1].[City]" caption="City" attribute="1" defaultMemberUniqueName="[Table_1].[City].[All]" allUniqueName="[Table_1].[City].[All]" dimensionUniqueName="[Table_1]" displayFolder="" count="2" memberValueDatatype="130" unbalanced="0">
      <fieldsUsage count="2">
        <fieldUsage x="-1"/>
        <fieldUsage x="0"/>
      </fieldsUsage>
    </cacheHierarchy>
    <cacheHierarchy uniqueName="[Table_1].[Postal Code]" caption="Postal Code" attribute="1" defaultMemberUniqueName="[Table_1].[Postal Code].[All]" allUniqueName="[Table_1].[Postal Code].[All]" dimensionUniqueName="[Table_1]" displayFolder="" count="0" memberValueDatatype="20" unbalanced="0"/>
    <cacheHierarchy uniqueName="[Table_1].[Order Date]" caption="Order Date" attribute="1" time="1" defaultMemberUniqueName="[Table_1].[Order Date].[All]" allUniqueName="[Table_1].[Order Date].[All]" dimensionUniqueName="[Table_1]" displayFolder="" count="0" memberValueDatatype="7" unbalanced="0"/>
    <cacheHierarchy uniqueName="[Table_1].[Ship Date]" caption="Ship Date" attribute="1" time="1" defaultMemberUniqueName="[Table_1].[Ship Date].[All]" allUniqueName="[Table_1].[Ship Date].[All]" dimensionUniqueName="[Table_1]" displayFolder="" count="0" memberValueDatatype="7" unbalanced="0"/>
    <cacheHierarchy uniqueName="[Table_1].[Profit]" caption="Profit" attribute="1" defaultMemberUniqueName="[Table_1].[Profit].[All]" allUniqueName="[Table_1].[Profit].[All]" dimensionUniqueName="[Table_1]" displayFolder="" count="0" memberValueDatatype="5" unbalanced="0"/>
    <cacheHierarchy uniqueName="[Table_1].[Quantity ordered new]" caption="Quantity ordered new" attribute="1" defaultMemberUniqueName="[Table_1].[Quantity ordered new].[All]" allUniqueName="[Table_1].[Quantity ordered new].[All]" dimensionUniqueName="[Table_1]" displayFolder="" count="0" memberValueDatatype="20" unbalanced="0"/>
    <cacheHierarchy uniqueName="[Table_1].[Sales]" caption="Sales" attribute="1" defaultMemberUniqueName="[Table_1].[Sales].[All]" allUniqueName="[Table_1].[Sales].[All]" dimensionUniqueName="[Table_1]" displayFolder="" count="0" memberValueDatatype="5" unbalanced="0"/>
    <cacheHierarchy uniqueName="[Table_1].[Order ID]" caption="Order ID" attribute="1" defaultMemberUniqueName="[Table_1].[Order ID].[All]" allUniqueName="[Table_1].[Order ID].[All]" dimensionUniqueName="[Table_1]" displayFolder="" count="0" memberValueDatatype="20" unbalanced="0"/>
    <cacheHierarchy uniqueName="[Table_1].[Total]" caption="Total" attribute="1" defaultMemberUniqueName="[Table_1].[Total].[All]" allUniqueName="[Table_1].[Total].[All]" dimensionUniqueName="[Table_1]" displayFolder="" count="0" memberValueDatatype="5" unbalanced="0"/>
    <cacheHierarchy uniqueName="[Table_1].[Manager]" caption="Manager" attribute="1" defaultMemberUniqueName="[Table_1].[Manager].[All]" allUniqueName="[Table_1].[Manager].[All]" dimensionUniqueName="[Table_1]" displayFolder="" count="0" memberValueDatatype="130" unbalanced="0"/>
    <cacheHierarchy uniqueName="[Table_1].[Dollar Discount]" caption="Dollar Discount" attribute="1" defaultMemberUniqueName="[Table_1].[Dollar Discount].[All]" allUniqueName="[Table_1].[Dollar Discount].[All]" dimensionUniqueName="[Table_1]" displayFolder="" count="0" memberValueDatatype="5" unbalanced="0"/>
    <cacheHierarchy uniqueName="[Table_1].[Gross Cost]" caption="Gross Cost" attribute="1" defaultMemberUniqueName="[Table_1].[Gross Cost].[All]" allUniqueName="[Table_1].[Gross Cost].[All]" dimensionUniqueName="[Table_1]" displayFolder="" count="0" memberValueDatatype="5" unbalanced="0"/>
    <cacheHierarchy uniqueName="[Table_1].[Gross Profit]" caption="Gross Profit" attribute="1" defaultMemberUniqueName="[Table_1].[Gross Profit].[All]" allUniqueName="[Table_1].[Gross Profit].[All]" dimensionUniqueName="[Table_1]" displayFolder="" count="0" memberValueDatatype="5" unbalanced="0"/>
    <cacheHierarchy uniqueName="[Table_1].[Cumulative cost]" caption="Cumulative cost" attribute="1" defaultMemberUniqueName="[Table_1].[Cumulative cost].[All]" allUniqueName="[Table_1].[Cumulative cost].[All]" dimensionUniqueName="[Table_1]" displayFolder="" count="0" memberValueDatatype="5" unbalanced="0"/>
    <cacheHierarchy uniqueName="[Table_1].[Order Date (Month)]" caption="Order Date (Month)" attribute="1" defaultMemberUniqueName="[Table_1].[Order Date (Month)].[All]" allUniqueName="[Table_1].[Order Date (Month)].[All]" dimensionUniqueName="[Table_1]" displayFolder="" count="0" memberValueDatatype="130" unbalanced="0"/>
    <cacheHierarchy uniqueName="[Table_1].[Order Date (Month Index)]" caption="Order Date (Month Index)" attribute="1" defaultMemberUniqueName="[Table_1].[Order Date (Month Index)].[All]" allUniqueName="[Table_1].[Order Date (Month Index)].[All]" dimensionUniqueName="[Table_1]" displayFolder="" count="0" memberValueDatatype="20" unbalanced="0" hidden="1"/>
    <cacheHierarchy uniqueName="[Measures].[Σ Discount]" caption="Σ Discount" measure="1" displayFolder="" measureGroup="Table_1" count="0"/>
    <cacheHierarchy uniqueName="[Measures].[Σ Profit]" caption="Σ Profit" measure="1" displayFolder="" measureGroup="Table_1" count="0"/>
    <cacheHierarchy uniqueName="[Measures].[Σ Shipping]" caption="Σ Shipping" measure="1" displayFolder="" measureGroup="Table_1" count="0"/>
    <cacheHierarchy uniqueName="[Measures].[Σ Costs]" caption="Σ Costs" measure="1" displayFolder="" measureGroup="Table_1" count="0"/>
    <cacheHierarchy uniqueName="[Measures].[__XL_Count Table_1]" caption="__XL_Count Table_1" measure="1" displayFolder="" measureGroup="Table_1" count="0" hidden="1"/>
    <cacheHierarchy uniqueName="[Measures].[__No measures defined]" caption="__No measures defined" measure="1" displayFolder="" count="0" hidden="1"/>
    <cacheHierarchy uniqueName="[Measures].[Sum of Sales]" caption="Sum of Sales" measure="1" displayFolder="" measureGroup="Table_1" count="0" oneField="1" hidden="1">
      <fieldsUsage count="1">
        <fieldUsage x="1"/>
      </fieldsUsage>
      <extLst>
        <ext xmlns:x15="http://schemas.microsoft.com/office/spreadsheetml/2010/11/main" uri="{B97F6D7D-B522-45F9-BDA1-12C45D357490}">
          <x15:cacheHierarchy aggregatedColumn="22"/>
        </ext>
      </extLst>
    </cacheHierarchy>
    <cacheHierarchy uniqueName="[Measures].[Sum of Quantity ordered new]" caption="Sum of Quantity ordered new" measure="1" displayFolder="" measureGroup="Table_1" count="0" oneField="1" hidden="1">
      <fieldsUsage count="1">
        <fieldUsage x="2"/>
      </fieldsUsage>
      <extLst>
        <ext xmlns:x15="http://schemas.microsoft.com/office/spreadsheetml/2010/11/main" uri="{B97F6D7D-B522-45F9-BDA1-12C45D357490}">
          <x15:cacheHierarchy aggregatedColumn="21"/>
        </ext>
      </extLst>
    </cacheHierarchy>
    <cacheHierarchy uniqueName="[Measures].[Sum of Profit]" caption="Sum of Profit" measure="1" displayFolder="" measureGroup="Table_1" count="0" hidden="1">
      <extLst>
        <ext xmlns:x15="http://schemas.microsoft.com/office/spreadsheetml/2010/11/main" uri="{B97F6D7D-B522-45F9-BDA1-12C45D357490}">
          <x15:cacheHierarchy aggregatedColumn="20"/>
        </ext>
      </extLst>
    </cacheHierarchy>
    <cacheHierarchy uniqueName="[Measures].[Count of Product Category]" caption="Count of Product Category" measure="1" displayFolder="" measureGroup="Table_1" count="0" hidden="1">
      <extLst>
        <ext xmlns:x15="http://schemas.microsoft.com/office/spreadsheetml/2010/11/main" uri="{B97F6D7D-B522-45F9-BDA1-12C45D357490}">
          <x15:cacheHierarchy aggregatedColumn="8"/>
        </ext>
      </extLst>
    </cacheHierarchy>
    <cacheHierarchy uniqueName="[Measures].[Sum of Discount]" caption="Sum of Discount" measure="1" displayFolder="" measureGroup="Table_1" count="0" hidden="1">
      <extLst>
        <ext xmlns:x15="http://schemas.microsoft.com/office/spreadsheetml/2010/11/main" uri="{B97F6D7D-B522-45F9-BDA1-12C45D357490}">
          <x15:cacheHierarchy aggregatedColumn="3"/>
        </ext>
      </extLst>
    </cacheHierarchy>
    <cacheHierarchy uniqueName="[Measures].[Sum of Shipping Cost]" caption="Sum of Shipping Cost" measure="1" displayFolder="" measureGroup="Table_1" count="0" hidden="1">
      <extLst>
        <ext xmlns:x15="http://schemas.microsoft.com/office/spreadsheetml/2010/11/main" uri="{B97F6D7D-B522-45F9-BDA1-12C45D357490}">
          <x15:cacheHierarchy aggregatedColumn="5"/>
        </ext>
      </extLst>
    </cacheHierarchy>
    <cacheHierarchy uniqueName="[Measures].[Sum of Dollar Discount]" caption="Sum of Dollar Discount" measure="1" displayFolder="" measureGroup="Table_1" count="0" hidden="1">
      <extLst>
        <ext xmlns:x15="http://schemas.microsoft.com/office/spreadsheetml/2010/11/main" uri="{B97F6D7D-B522-45F9-BDA1-12C45D357490}">
          <x15:cacheHierarchy aggregatedColumn="26"/>
        </ext>
      </extLst>
    </cacheHierarchy>
    <cacheHierarchy uniqueName="[Measures].[Sum of Cumulative cost]" caption="Sum of Cumulative cost" measure="1" displayFolder="" measureGroup="Table_1" count="0" hidden="1">
      <extLst>
        <ext xmlns:x15="http://schemas.microsoft.com/office/spreadsheetml/2010/11/main" uri="{B97F6D7D-B522-45F9-BDA1-12C45D357490}">
          <x15:cacheHierarchy aggregatedColumn="29"/>
        </ext>
      </extLst>
    </cacheHierarchy>
    <cacheHierarchy uniqueName="[Measures].[Sum of Postal Code]" caption="Sum of Postal Code" measure="1" displayFolder="" measureGroup="Table_1" count="0" hidden="1">
      <extLst>
        <ext xmlns:x15="http://schemas.microsoft.com/office/spreadsheetml/2010/11/main" uri="{B97F6D7D-B522-45F9-BDA1-12C45D357490}">
          <x15:cacheHierarchy aggregatedColumn="17"/>
        </ext>
      </extLst>
    </cacheHierarchy>
    <cacheHierarchy uniqueName="[Measures].[Sum of Order ID]" caption="Sum of Order ID" measure="1" displayFolder="" measureGroup="Table_1" count="0" hidden="1">
      <extLst>
        <ext xmlns:x15="http://schemas.microsoft.com/office/spreadsheetml/2010/11/main" uri="{B97F6D7D-B522-45F9-BDA1-12C45D357490}">
          <x15:cacheHierarchy aggregatedColumn="23"/>
        </ext>
      </extLst>
    </cacheHierarchy>
    <cacheHierarchy uniqueName="[Measures].[Distinct Count of Order ID]" caption="Distinct Count of Order ID" measure="1" displayFolder="" measureGroup="Table_1" count="0" hidden="1">
      <extLst>
        <ext xmlns:x15="http://schemas.microsoft.com/office/spreadsheetml/2010/11/main" uri="{B97F6D7D-B522-45F9-BDA1-12C45D357490}">
          <x15:cacheHierarchy aggregatedColumn="23"/>
        </ext>
      </extLst>
    </cacheHierarchy>
    <cacheHierarchy uniqueName="[Measures].[Count of Order Date]" caption="Count of Order Date" measure="1" displayFolder="" measureGroup="Table_1" count="0" hidden="1">
      <extLst>
        <ext xmlns:x15="http://schemas.microsoft.com/office/spreadsheetml/2010/11/main" uri="{B97F6D7D-B522-45F9-BDA1-12C45D357490}">
          <x15:cacheHierarchy aggregatedColumn="18"/>
        </ext>
      </extLst>
    </cacheHierarchy>
    <cacheHierarchy uniqueName="[Measures].[Max of Order Date]" caption="Max of Order Date" measure="1" displayFolder="" measureGroup="Table_1" count="0" hidden="1">
      <extLst>
        <ext xmlns:x15="http://schemas.microsoft.com/office/spreadsheetml/2010/11/main" uri="{B97F6D7D-B522-45F9-BDA1-12C45D357490}">
          <x15:cacheHierarchy aggregatedColumn="18"/>
        </ext>
      </extLst>
    </cacheHierarchy>
    <cacheHierarchy uniqueName="[Measures].[Count of Product Name]" caption="Count of Product Name" measure="1" displayFolder="" measureGroup="Table_1" count="0" hidden="1">
      <extLst>
        <ext xmlns:x15="http://schemas.microsoft.com/office/spreadsheetml/2010/11/main" uri="{B97F6D7D-B522-45F9-BDA1-12C45D357490}">
          <x15:cacheHierarchy aggregatedColumn="11"/>
        </ext>
      </extLst>
    </cacheHierarchy>
    <cacheHierarchy uniqueName="[Measures].[Distinct Count of Product Name]" caption="Distinct Count of Product Name" measure="1" displayFolder="" measureGroup="Table_1" count="0" hidden="1">
      <extLst>
        <ext xmlns:x15="http://schemas.microsoft.com/office/spreadsheetml/2010/11/main" uri="{B97F6D7D-B522-45F9-BDA1-12C45D357490}">
          <x15:cacheHierarchy aggregatedColumn="11"/>
        </ext>
      </extLst>
    </cacheHierarchy>
    <cacheHierarchy uniqueName="[Measures].[Count of Sales]" caption="Count of Sales" measure="1" displayFolder="" measureGroup="Table_1" count="0" hidden="1">
      <extLst>
        <ext xmlns:x15="http://schemas.microsoft.com/office/spreadsheetml/2010/11/main" uri="{B97F6D7D-B522-45F9-BDA1-12C45D357490}">
          <x15:cacheHierarchy aggregatedColumn="22"/>
        </ext>
      </extLst>
    </cacheHierarchy>
  </cacheHierarchies>
  <kpis count="0"/>
  <dimensions count="2">
    <dimension measure="1" name="Measures" uniqueName="[Measures]" caption="Measures"/>
    <dimension name="Table_1" uniqueName="[Table_1]" caption="Table_1"/>
  </dimensions>
  <measureGroups count="1">
    <measureGroup name="Table_1" caption="Table_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aurabh Lakhanpal" refreshedDate="45219.692592824074" backgroundQuery="1" createdVersion="8" refreshedVersion="8" minRefreshableVersion="3" recordCount="0" supportSubquery="1" supportAdvancedDrill="1" xr:uid="{4C4FA4F7-8C68-4050-BC35-01E737F72F9F}">
  <cacheSource type="external" connectionId="1"/>
  <cacheFields count="4">
    <cacheField name="[Table_1].[Product Name].[Product Name]" caption="Product Name" numFmtId="0" hierarchy="11" level="1">
      <sharedItems count="3">
        <s v="*Staples* Packaging Labels"/>
        <s v="Avery Reinforcements for Hole-Punch Pages"/>
        <s v="Letter Slitter"/>
      </sharedItems>
    </cacheField>
    <cacheField name="[Measures].[Sum of Sales]" caption="Sum of Sales" numFmtId="0" hierarchy="38" level="32767"/>
    <cacheField name="[Measures].[Sum of Quantity ordered new]" caption="Sum of Quantity ordered new" numFmtId="0" hierarchy="39" level="32767"/>
    <cacheField name="[Table_1].[Order Priority].[Order Priority]" caption="Order Priority" numFmtId="0" hierarchy="2" level="1">
      <sharedItems containsSemiMixedTypes="0" containsNonDate="0" containsString="0"/>
    </cacheField>
  </cacheFields>
  <cacheHierarchies count="53">
    <cacheHierarchy uniqueName="[Table_1].[Customer ID]" caption="Customer ID" attribute="1" defaultMemberUniqueName="[Table_1].[Customer ID].[All]" allUniqueName="[Table_1].[Customer ID].[All]" dimensionUniqueName="[Table_1]" displayFolder="" count="0" memberValueDatatype="20" unbalanced="0"/>
    <cacheHierarchy uniqueName="[Table_1].[Customer Name]" caption="Customer Name" attribute="1" defaultMemberUniqueName="[Table_1].[Customer Name].[All]" allUniqueName="[Table_1].[Customer Name].[All]" dimensionUniqueName="[Table_1]" displayFolder="" count="0" memberValueDatatype="130" unbalanced="0"/>
    <cacheHierarchy uniqueName="[Table_1].[Order Priority]" caption="Order Priority" attribute="1" defaultMemberUniqueName="[Table_1].[Order Priority].[All]" allUniqueName="[Table_1].[Order Priority].[All]" dimensionUniqueName="[Table_1]" displayFolder="" count="2" memberValueDatatype="130" unbalanced="0">
      <fieldsUsage count="2">
        <fieldUsage x="-1"/>
        <fieldUsage x="3"/>
      </fieldsUsage>
    </cacheHierarchy>
    <cacheHierarchy uniqueName="[Table_1].[Discount]" caption="Discount" attribute="1" defaultMemberUniqueName="[Table_1].[Discount].[All]" allUniqueName="[Table_1].[Discount].[All]" dimensionUniqueName="[Table_1]" displayFolder="" count="0" memberValueDatatype="5" unbalanced="0"/>
    <cacheHierarchy uniqueName="[Table_1].[Unit Price]" caption="Unit Price" attribute="1" defaultMemberUniqueName="[Table_1].[Unit Price].[All]" allUniqueName="[Table_1].[Unit Price].[All]" dimensionUniqueName="[Table_1]" displayFolder="" count="0" memberValueDatatype="5" unbalanced="0"/>
    <cacheHierarchy uniqueName="[Table_1].[Shipping Cost]" caption="Shipping Cost" attribute="1" defaultMemberUniqueName="[Table_1].[Shipping Cost].[All]" allUniqueName="[Table_1].[Shipping Cost].[All]" dimensionUniqueName="[Table_1]" displayFolder="" count="0" memberValueDatatype="5" unbalanced="0"/>
    <cacheHierarchy uniqueName="[Table_1].[Ship Mode]" caption="Ship Mode" attribute="1" defaultMemberUniqueName="[Table_1].[Ship Mode].[All]" allUniqueName="[Table_1].[Ship Mode].[All]" dimensionUniqueName="[Table_1]" displayFolder="" count="0" memberValueDatatype="130" unbalanced="0"/>
    <cacheHierarchy uniqueName="[Table_1].[Customer Segment]" caption="Customer Segment" attribute="1" defaultMemberUniqueName="[Table_1].[Customer Segment].[All]" allUniqueName="[Table_1].[Customer Segment].[All]" dimensionUniqueName="[Table_1]" displayFolder="" count="2" memberValueDatatype="130" unbalanced="0"/>
    <cacheHierarchy uniqueName="[Table_1].[Product Category]" caption="Product Category" attribute="1" defaultMemberUniqueName="[Table_1].[Product Category].[All]" allUniqueName="[Table_1].[Product Category].[All]" dimensionUniqueName="[Table_1]" displayFolder="" count="0" memberValueDatatype="130" unbalanced="0"/>
    <cacheHierarchy uniqueName="[Table_1].[Product Sub-Category]" caption="Product Sub-Category" attribute="1" defaultMemberUniqueName="[Table_1].[Product Sub-Category].[All]" allUniqueName="[Table_1].[Product Sub-Category].[All]" dimensionUniqueName="[Table_1]" displayFolder="" count="2" memberValueDatatype="130" unbalanced="0"/>
    <cacheHierarchy uniqueName="[Table_1].[Product Container]" caption="Product Container" attribute="1" defaultMemberUniqueName="[Table_1].[Product Container].[All]" allUniqueName="[Table_1].[Product Container].[All]" dimensionUniqueName="[Table_1]" displayFolder="" count="0" memberValueDatatype="130" unbalanced="0"/>
    <cacheHierarchy uniqueName="[Table_1].[Product Name]" caption="Product Name" attribute="1" defaultMemberUniqueName="[Table_1].[Product Name].[All]" allUniqueName="[Table_1].[Product Name].[All]" dimensionUniqueName="[Table_1]" displayFolder="" count="2" memberValueDatatype="130" unbalanced="0">
      <fieldsUsage count="2">
        <fieldUsage x="-1"/>
        <fieldUsage x="0"/>
      </fieldsUsage>
    </cacheHierarchy>
    <cacheHierarchy uniqueName="[Table_1].[Product Base Margin]" caption="Product Base Margin" attribute="1" defaultMemberUniqueName="[Table_1].[Product Base Margin].[All]" allUniqueName="[Table_1].[Product Base Margin].[All]" dimensionUniqueName="[Table_1]" displayFolder="" count="0" memberValueDatatype="5" unbalanced="0"/>
    <cacheHierarchy uniqueName="[Table_1].[Country]" caption="Country" attribute="1" defaultMemberUniqueName="[Table_1].[Country].[All]" allUniqueName="[Table_1].[Country].[All]" dimensionUniqueName="[Table_1]" displayFolder="" count="0" memberValueDatatype="130" unbalanced="0"/>
    <cacheHierarchy uniqueName="[Table_1].[Region]" caption="Region" attribute="1" defaultMemberUniqueName="[Table_1].[Region].[All]" allUniqueName="[Table_1].[Region].[All]" dimensionUniqueName="[Table_1]" displayFolder="" count="0" memberValueDatatype="130" unbalanced="0"/>
    <cacheHierarchy uniqueName="[Table_1].[State or Province]" caption="State or Province" attribute="1" defaultMemberUniqueName="[Table_1].[State or Province].[All]" allUniqueName="[Table_1].[State or Province].[All]" dimensionUniqueName="[Table_1]" displayFolder="" count="0" memberValueDatatype="130" unbalanced="0"/>
    <cacheHierarchy uniqueName="[Table_1].[City]" caption="City" attribute="1" defaultMemberUniqueName="[Table_1].[City].[All]" allUniqueName="[Table_1].[City].[All]" dimensionUniqueName="[Table_1]" displayFolder="" count="0" memberValueDatatype="130" unbalanced="0"/>
    <cacheHierarchy uniqueName="[Table_1].[Postal Code]" caption="Postal Code" attribute="1" defaultMemberUniqueName="[Table_1].[Postal Code].[All]" allUniqueName="[Table_1].[Postal Code].[All]" dimensionUniqueName="[Table_1]" displayFolder="" count="0" memberValueDatatype="20" unbalanced="0"/>
    <cacheHierarchy uniqueName="[Table_1].[Order Date]" caption="Order Date" attribute="1" time="1" defaultMemberUniqueName="[Table_1].[Order Date].[All]" allUniqueName="[Table_1].[Order Date].[All]" dimensionUniqueName="[Table_1]" displayFolder="" count="0" memberValueDatatype="7" unbalanced="0"/>
    <cacheHierarchy uniqueName="[Table_1].[Ship Date]" caption="Ship Date" attribute="1" time="1" defaultMemberUniqueName="[Table_1].[Ship Date].[All]" allUniqueName="[Table_1].[Ship Date].[All]" dimensionUniqueName="[Table_1]" displayFolder="" count="0" memberValueDatatype="7" unbalanced="0"/>
    <cacheHierarchy uniqueName="[Table_1].[Profit]" caption="Profit" attribute="1" defaultMemberUniqueName="[Table_1].[Profit].[All]" allUniqueName="[Table_1].[Profit].[All]" dimensionUniqueName="[Table_1]" displayFolder="" count="0" memberValueDatatype="5" unbalanced="0"/>
    <cacheHierarchy uniqueName="[Table_1].[Quantity ordered new]" caption="Quantity ordered new" attribute="1" defaultMemberUniqueName="[Table_1].[Quantity ordered new].[All]" allUniqueName="[Table_1].[Quantity ordered new].[All]" dimensionUniqueName="[Table_1]" displayFolder="" count="0" memberValueDatatype="20" unbalanced="0"/>
    <cacheHierarchy uniqueName="[Table_1].[Sales]" caption="Sales" attribute="1" defaultMemberUniqueName="[Table_1].[Sales].[All]" allUniqueName="[Table_1].[Sales].[All]" dimensionUniqueName="[Table_1]" displayFolder="" count="0" memberValueDatatype="5" unbalanced="0"/>
    <cacheHierarchy uniqueName="[Table_1].[Order ID]" caption="Order ID" attribute="1" defaultMemberUniqueName="[Table_1].[Order ID].[All]" allUniqueName="[Table_1].[Order ID].[All]" dimensionUniqueName="[Table_1]" displayFolder="" count="0" memberValueDatatype="20" unbalanced="0"/>
    <cacheHierarchy uniqueName="[Table_1].[Total]" caption="Total" attribute="1" defaultMemberUniqueName="[Table_1].[Total].[All]" allUniqueName="[Table_1].[Total].[All]" dimensionUniqueName="[Table_1]" displayFolder="" count="0" memberValueDatatype="5" unbalanced="0"/>
    <cacheHierarchy uniqueName="[Table_1].[Manager]" caption="Manager" attribute="1" defaultMemberUniqueName="[Table_1].[Manager].[All]" allUniqueName="[Table_1].[Manager].[All]" dimensionUniqueName="[Table_1]" displayFolder="" count="0" memberValueDatatype="130" unbalanced="0"/>
    <cacheHierarchy uniqueName="[Table_1].[Dollar Discount]" caption="Dollar Discount" attribute="1" defaultMemberUniqueName="[Table_1].[Dollar Discount].[All]" allUniqueName="[Table_1].[Dollar Discount].[All]" dimensionUniqueName="[Table_1]" displayFolder="" count="0" memberValueDatatype="5" unbalanced="0"/>
    <cacheHierarchy uniqueName="[Table_1].[Gross Cost]" caption="Gross Cost" attribute="1" defaultMemberUniqueName="[Table_1].[Gross Cost].[All]" allUniqueName="[Table_1].[Gross Cost].[All]" dimensionUniqueName="[Table_1]" displayFolder="" count="0" memberValueDatatype="5" unbalanced="0"/>
    <cacheHierarchy uniqueName="[Table_1].[Gross Profit]" caption="Gross Profit" attribute="1" defaultMemberUniqueName="[Table_1].[Gross Profit].[All]" allUniqueName="[Table_1].[Gross Profit].[All]" dimensionUniqueName="[Table_1]" displayFolder="" count="0" memberValueDatatype="5" unbalanced="0"/>
    <cacheHierarchy uniqueName="[Table_1].[Cumulative cost]" caption="Cumulative cost" attribute="1" defaultMemberUniqueName="[Table_1].[Cumulative cost].[All]" allUniqueName="[Table_1].[Cumulative cost].[All]" dimensionUniqueName="[Table_1]" displayFolder="" count="0" memberValueDatatype="5" unbalanced="0"/>
    <cacheHierarchy uniqueName="[Table_1].[Order Date (Month)]" caption="Order Date (Month)" attribute="1" defaultMemberUniqueName="[Table_1].[Order Date (Month)].[All]" allUniqueName="[Table_1].[Order Date (Month)].[All]" dimensionUniqueName="[Table_1]" displayFolder="" count="0" memberValueDatatype="130" unbalanced="0"/>
    <cacheHierarchy uniqueName="[Table_1].[Order Date (Month Index)]" caption="Order Date (Month Index)" attribute="1" defaultMemberUniqueName="[Table_1].[Order Date (Month Index)].[All]" allUniqueName="[Table_1].[Order Date (Month Index)].[All]" dimensionUniqueName="[Table_1]" displayFolder="" count="0" memberValueDatatype="20" unbalanced="0" hidden="1"/>
    <cacheHierarchy uniqueName="[Measures].[Σ Discount]" caption="Σ Discount" measure="1" displayFolder="" measureGroup="Table_1" count="0"/>
    <cacheHierarchy uniqueName="[Measures].[Σ Profit]" caption="Σ Profit" measure="1" displayFolder="" measureGroup="Table_1" count="0"/>
    <cacheHierarchy uniqueName="[Measures].[Σ Shipping]" caption="Σ Shipping" measure="1" displayFolder="" measureGroup="Table_1" count="0"/>
    <cacheHierarchy uniqueName="[Measures].[Σ Costs]" caption="Σ Costs" measure="1" displayFolder="" measureGroup="Table_1" count="0"/>
    <cacheHierarchy uniqueName="[Measures].[__XL_Count Table_1]" caption="__XL_Count Table_1" measure="1" displayFolder="" measureGroup="Table_1" count="0" hidden="1"/>
    <cacheHierarchy uniqueName="[Measures].[__No measures defined]" caption="__No measures defined" measure="1" displayFolder="" count="0" hidden="1"/>
    <cacheHierarchy uniqueName="[Measures].[Sum of Sales]" caption="Sum of Sales" measure="1" displayFolder="" measureGroup="Table_1" count="0" oneField="1" hidden="1">
      <fieldsUsage count="1">
        <fieldUsage x="1"/>
      </fieldsUsage>
      <extLst>
        <ext xmlns:x15="http://schemas.microsoft.com/office/spreadsheetml/2010/11/main" uri="{B97F6D7D-B522-45F9-BDA1-12C45D357490}">
          <x15:cacheHierarchy aggregatedColumn="22"/>
        </ext>
      </extLst>
    </cacheHierarchy>
    <cacheHierarchy uniqueName="[Measures].[Sum of Quantity ordered new]" caption="Sum of Quantity ordered new" measure="1" displayFolder="" measureGroup="Table_1" count="0" oneField="1" hidden="1">
      <fieldsUsage count="1">
        <fieldUsage x="2"/>
      </fieldsUsage>
      <extLst>
        <ext xmlns:x15="http://schemas.microsoft.com/office/spreadsheetml/2010/11/main" uri="{B97F6D7D-B522-45F9-BDA1-12C45D357490}">
          <x15:cacheHierarchy aggregatedColumn="21"/>
        </ext>
      </extLst>
    </cacheHierarchy>
    <cacheHierarchy uniqueName="[Measures].[Sum of Profit]" caption="Sum of Profit" measure="1" displayFolder="" measureGroup="Table_1" count="0" hidden="1">
      <extLst>
        <ext xmlns:x15="http://schemas.microsoft.com/office/spreadsheetml/2010/11/main" uri="{B97F6D7D-B522-45F9-BDA1-12C45D357490}">
          <x15:cacheHierarchy aggregatedColumn="20"/>
        </ext>
      </extLst>
    </cacheHierarchy>
    <cacheHierarchy uniqueName="[Measures].[Count of Product Category]" caption="Count of Product Category" measure="1" displayFolder="" measureGroup="Table_1" count="0" hidden="1">
      <extLst>
        <ext xmlns:x15="http://schemas.microsoft.com/office/spreadsheetml/2010/11/main" uri="{B97F6D7D-B522-45F9-BDA1-12C45D357490}">
          <x15:cacheHierarchy aggregatedColumn="8"/>
        </ext>
      </extLst>
    </cacheHierarchy>
    <cacheHierarchy uniqueName="[Measures].[Sum of Discount]" caption="Sum of Discount" measure="1" displayFolder="" measureGroup="Table_1" count="0" hidden="1">
      <extLst>
        <ext xmlns:x15="http://schemas.microsoft.com/office/spreadsheetml/2010/11/main" uri="{B97F6D7D-B522-45F9-BDA1-12C45D357490}">
          <x15:cacheHierarchy aggregatedColumn="3"/>
        </ext>
      </extLst>
    </cacheHierarchy>
    <cacheHierarchy uniqueName="[Measures].[Sum of Shipping Cost]" caption="Sum of Shipping Cost" measure="1" displayFolder="" measureGroup="Table_1" count="0" hidden="1">
      <extLst>
        <ext xmlns:x15="http://schemas.microsoft.com/office/spreadsheetml/2010/11/main" uri="{B97F6D7D-B522-45F9-BDA1-12C45D357490}">
          <x15:cacheHierarchy aggregatedColumn="5"/>
        </ext>
      </extLst>
    </cacheHierarchy>
    <cacheHierarchy uniqueName="[Measures].[Sum of Dollar Discount]" caption="Sum of Dollar Discount" measure="1" displayFolder="" measureGroup="Table_1" count="0" hidden="1">
      <extLst>
        <ext xmlns:x15="http://schemas.microsoft.com/office/spreadsheetml/2010/11/main" uri="{B97F6D7D-B522-45F9-BDA1-12C45D357490}">
          <x15:cacheHierarchy aggregatedColumn="26"/>
        </ext>
      </extLst>
    </cacheHierarchy>
    <cacheHierarchy uniqueName="[Measures].[Sum of Cumulative cost]" caption="Sum of Cumulative cost" measure="1" displayFolder="" measureGroup="Table_1" count="0" hidden="1">
      <extLst>
        <ext xmlns:x15="http://schemas.microsoft.com/office/spreadsheetml/2010/11/main" uri="{B97F6D7D-B522-45F9-BDA1-12C45D357490}">
          <x15:cacheHierarchy aggregatedColumn="29"/>
        </ext>
      </extLst>
    </cacheHierarchy>
    <cacheHierarchy uniqueName="[Measures].[Sum of Postal Code]" caption="Sum of Postal Code" measure="1" displayFolder="" measureGroup="Table_1" count="0" hidden="1">
      <extLst>
        <ext xmlns:x15="http://schemas.microsoft.com/office/spreadsheetml/2010/11/main" uri="{B97F6D7D-B522-45F9-BDA1-12C45D357490}">
          <x15:cacheHierarchy aggregatedColumn="17"/>
        </ext>
      </extLst>
    </cacheHierarchy>
    <cacheHierarchy uniqueName="[Measures].[Sum of Order ID]" caption="Sum of Order ID" measure="1" displayFolder="" measureGroup="Table_1" count="0" hidden="1">
      <extLst>
        <ext xmlns:x15="http://schemas.microsoft.com/office/spreadsheetml/2010/11/main" uri="{B97F6D7D-B522-45F9-BDA1-12C45D357490}">
          <x15:cacheHierarchy aggregatedColumn="23"/>
        </ext>
      </extLst>
    </cacheHierarchy>
    <cacheHierarchy uniqueName="[Measures].[Distinct Count of Order ID]" caption="Distinct Count of Order ID" measure="1" displayFolder="" measureGroup="Table_1" count="0" hidden="1">
      <extLst>
        <ext xmlns:x15="http://schemas.microsoft.com/office/spreadsheetml/2010/11/main" uri="{B97F6D7D-B522-45F9-BDA1-12C45D357490}">
          <x15:cacheHierarchy aggregatedColumn="23"/>
        </ext>
      </extLst>
    </cacheHierarchy>
    <cacheHierarchy uniqueName="[Measures].[Count of Order Date]" caption="Count of Order Date" measure="1" displayFolder="" measureGroup="Table_1" count="0" hidden="1">
      <extLst>
        <ext xmlns:x15="http://schemas.microsoft.com/office/spreadsheetml/2010/11/main" uri="{B97F6D7D-B522-45F9-BDA1-12C45D357490}">
          <x15:cacheHierarchy aggregatedColumn="18"/>
        </ext>
      </extLst>
    </cacheHierarchy>
    <cacheHierarchy uniqueName="[Measures].[Max of Order Date]" caption="Max of Order Date" measure="1" displayFolder="" measureGroup="Table_1" count="0" hidden="1">
      <extLst>
        <ext xmlns:x15="http://schemas.microsoft.com/office/spreadsheetml/2010/11/main" uri="{B97F6D7D-B522-45F9-BDA1-12C45D357490}">
          <x15:cacheHierarchy aggregatedColumn="18"/>
        </ext>
      </extLst>
    </cacheHierarchy>
    <cacheHierarchy uniqueName="[Measures].[Count of Product Name]" caption="Count of Product Name" measure="1" displayFolder="" measureGroup="Table_1" count="0" hidden="1">
      <extLst>
        <ext xmlns:x15="http://schemas.microsoft.com/office/spreadsheetml/2010/11/main" uri="{B97F6D7D-B522-45F9-BDA1-12C45D357490}">
          <x15:cacheHierarchy aggregatedColumn="11"/>
        </ext>
      </extLst>
    </cacheHierarchy>
    <cacheHierarchy uniqueName="[Measures].[Distinct Count of Product Name]" caption="Distinct Count of Product Name" measure="1" displayFolder="" measureGroup="Table_1" count="0" hidden="1">
      <extLst>
        <ext xmlns:x15="http://schemas.microsoft.com/office/spreadsheetml/2010/11/main" uri="{B97F6D7D-B522-45F9-BDA1-12C45D357490}">
          <x15:cacheHierarchy aggregatedColumn="11"/>
        </ext>
      </extLst>
    </cacheHierarchy>
  </cacheHierarchies>
  <kpis count="0"/>
  <dimensions count="2">
    <dimension measure="1" name="Measures" uniqueName="[Measures]" caption="Measures"/>
    <dimension name="Table_1" uniqueName="[Table_1]" caption="Table_1"/>
  </dimensions>
  <measureGroups count="1">
    <measureGroup name="Table_1" caption="Table_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aurabh Lakhanpal" refreshedDate="45219.692595023145" backgroundQuery="1" createdVersion="8" refreshedVersion="8" minRefreshableVersion="3" recordCount="0" supportSubquery="1" supportAdvancedDrill="1" xr:uid="{BF622764-B714-420D-BDB4-FE7BAC4D467B}">
  <cacheSource type="external" connectionId="1"/>
  <cacheFields count="4">
    <cacheField name="[Table_1].[Product Name].[Product Name]" caption="Product Name" numFmtId="0" hierarchy="11" level="1">
      <sharedItems count="3">
        <s v="5165"/>
        <s v="Okidata Pacemark 4410N Wide Format Dot Matrix Printer"/>
        <s v="Polycom ViewStation™ ISDN Videoconferencing Unit"/>
      </sharedItems>
    </cacheField>
    <cacheField name="[Measures].[Sum of Quantity ordered new]" caption="Sum of Quantity ordered new" numFmtId="0" hierarchy="39" level="32767"/>
    <cacheField name="[Measures].[Sum of Profit]" caption="Sum of Profit" numFmtId="0" hierarchy="40" level="32767"/>
    <cacheField name="[Table_1].[Order Priority].[Order Priority]" caption="Order Priority" numFmtId="0" hierarchy="2" level="1">
      <sharedItems containsSemiMixedTypes="0" containsNonDate="0" containsString="0"/>
    </cacheField>
  </cacheFields>
  <cacheHierarchies count="53">
    <cacheHierarchy uniqueName="[Table_1].[Customer ID]" caption="Customer ID" attribute="1" defaultMemberUniqueName="[Table_1].[Customer ID].[All]" allUniqueName="[Table_1].[Customer ID].[All]" dimensionUniqueName="[Table_1]" displayFolder="" count="0" memberValueDatatype="20" unbalanced="0"/>
    <cacheHierarchy uniqueName="[Table_1].[Customer Name]" caption="Customer Name" attribute="1" defaultMemberUniqueName="[Table_1].[Customer Name].[All]" allUniqueName="[Table_1].[Customer Name].[All]" dimensionUniqueName="[Table_1]" displayFolder="" count="0" memberValueDatatype="130" unbalanced="0"/>
    <cacheHierarchy uniqueName="[Table_1].[Order Priority]" caption="Order Priority" attribute="1" defaultMemberUniqueName="[Table_1].[Order Priority].[All]" allUniqueName="[Table_1].[Order Priority].[All]" dimensionUniqueName="[Table_1]" displayFolder="" count="2" memberValueDatatype="130" unbalanced="0">
      <fieldsUsage count="2">
        <fieldUsage x="-1"/>
        <fieldUsage x="3"/>
      </fieldsUsage>
    </cacheHierarchy>
    <cacheHierarchy uniqueName="[Table_1].[Discount]" caption="Discount" attribute="1" defaultMemberUniqueName="[Table_1].[Discount].[All]" allUniqueName="[Table_1].[Discount].[All]" dimensionUniqueName="[Table_1]" displayFolder="" count="0" memberValueDatatype="5" unbalanced="0"/>
    <cacheHierarchy uniqueName="[Table_1].[Unit Price]" caption="Unit Price" attribute="1" defaultMemberUniqueName="[Table_1].[Unit Price].[All]" allUniqueName="[Table_1].[Unit Price].[All]" dimensionUniqueName="[Table_1]" displayFolder="" count="0" memberValueDatatype="5" unbalanced="0"/>
    <cacheHierarchy uniqueName="[Table_1].[Shipping Cost]" caption="Shipping Cost" attribute="1" defaultMemberUniqueName="[Table_1].[Shipping Cost].[All]" allUniqueName="[Table_1].[Shipping Cost].[All]" dimensionUniqueName="[Table_1]" displayFolder="" count="0" memberValueDatatype="5" unbalanced="0"/>
    <cacheHierarchy uniqueName="[Table_1].[Ship Mode]" caption="Ship Mode" attribute="1" defaultMemberUniqueName="[Table_1].[Ship Mode].[All]" allUniqueName="[Table_1].[Ship Mode].[All]" dimensionUniqueName="[Table_1]" displayFolder="" count="0" memberValueDatatype="130" unbalanced="0"/>
    <cacheHierarchy uniqueName="[Table_1].[Customer Segment]" caption="Customer Segment" attribute="1" defaultMemberUniqueName="[Table_1].[Customer Segment].[All]" allUniqueName="[Table_1].[Customer Segment].[All]" dimensionUniqueName="[Table_1]" displayFolder="" count="2" memberValueDatatype="130" unbalanced="0"/>
    <cacheHierarchy uniqueName="[Table_1].[Product Category]" caption="Product Category" attribute="1" defaultMemberUniqueName="[Table_1].[Product Category].[All]" allUniqueName="[Table_1].[Product Category].[All]" dimensionUniqueName="[Table_1]" displayFolder="" count="0" memberValueDatatype="130" unbalanced="0"/>
    <cacheHierarchy uniqueName="[Table_1].[Product Sub-Category]" caption="Product Sub-Category" attribute="1" defaultMemberUniqueName="[Table_1].[Product Sub-Category].[All]" allUniqueName="[Table_1].[Product Sub-Category].[All]" dimensionUniqueName="[Table_1]" displayFolder="" count="2" memberValueDatatype="130" unbalanced="0"/>
    <cacheHierarchy uniqueName="[Table_1].[Product Container]" caption="Product Container" attribute="1" defaultMemberUniqueName="[Table_1].[Product Container].[All]" allUniqueName="[Table_1].[Product Container].[All]" dimensionUniqueName="[Table_1]" displayFolder="" count="0" memberValueDatatype="130" unbalanced="0"/>
    <cacheHierarchy uniqueName="[Table_1].[Product Name]" caption="Product Name" attribute="1" defaultMemberUniqueName="[Table_1].[Product Name].[All]" allUniqueName="[Table_1].[Product Name].[All]" dimensionUniqueName="[Table_1]" displayFolder="" count="2" memberValueDatatype="130" unbalanced="0">
      <fieldsUsage count="2">
        <fieldUsage x="-1"/>
        <fieldUsage x="0"/>
      </fieldsUsage>
    </cacheHierarchy>
    <cacheHierarchy uniqueName="[Table_1].[Product Base Margin]" caption="Product Base Margin" attribute="1" defaultMemberUniqueName="[Table_1].[Product Base Margin].[All]" allUniqueName="[Table_1].[Product Base Margin].[All]" dimensionUniqueName="[Table_1]" displayFolder="" count="0" memberValueDatatype="5" unbalanced="0"/>
    <cacheHierarchy uniqueName="[Table_1].[Country]" caption="Country" attribute="1" defaultMemberUniqueName="[Table_1].[Country].[All]" allUniqueName="[Table_1].[Country].[All]" dimensionUniqueName="[Table_1]" displayFolder="" count="0" memberValueDatatype="130" unbalanced="0"/>
    <cacheHierarchy uniqueName="[Table_1].[Region]" caption="Region" attribute="1" defaultMemberUniqueName="[Table_1].[Region].[All]" allUniqueName="[Table_1].[Region].[All]" dimensionUniqueName="[Table_1]" displayFolder="" count="0" memberValueDatatype="130" unbalanced="0"/>
    <cacheHierarchy uniqueName="[Table_1].[State or Province]" caption="State or Province" attribute="1" defaultMemberUniqueName="[Table_1].[State or Province].[All]" allUniqueName="[Table_1].[State or Province].[All]" dimensionUniqueName="[Table_1]" displayFolder="" count="0" memberValueDatatype="130" unbalanced="0"/>
    <cacheHierarchy uniqueName="[Table_1].[City]" caption="City" attribute="1" defaultMemberUniqueName="[Table_1].[City].[All]" allUniqueName="[Table_1].[City].[All]" dimensionUniqueName="[Table_1]" displayFolder="" count="0" memberValueDatatype="130" unbalanced="0"/>
    <cacheHierarchy uniqueName="[Table_1].[Postal Code]" caption="Postal Code" attribute="1" defaultMemberUniqueName="[Table_1].[Postal Code].[All]" allUniqueName="[Table_1].[Postal Code].[All]" dimensionUniqueName="[Table_1]" displayFolder="" count="0" memberValueDatatype="20" unbalanced="0"/>
    <cacheHierarchy uniqueName="[Table_1].[Order Date]" caption="Order Date" attribute="1" time="1" defaultMemberUniqueName="[Table_1].[Order Date].[All]" allUniqueName="[Table_1].[Order Date].[All]" dimensionUniqueName="[Table_1]" displayFolder="" count="0" memberValueDatatype="7" unbalanced="0"/>
    <cacheHierarchy uniqueName="[Table_1].[Ship Date]" caption="Ship Date" attribute="1" time="1" defaultMemberUniqueName="[Table_1].[Ship Date].[All]" allUniqueName="[Table_1].[Ship Date].[All]" dimensionUniqueName="[Table_1]" displayFolder="" count="0" memberValueDatatype="7" unbalanced="0"/>
    <cacheHierarchy uniqueName="[Table_1].[Profit]" caption="Profit" attribute="1" defaultMemberUniqueName="[Table_1].[Profit].[All]" allUniqueName="[Table_1].[Profit].[All]" dimensionUniqueName="[Table_1]" displayFolder="" count="0" memberValueDatatype="5" unbalanced="0"/>
    <cacheHierarchy uniqueName="[Table_1].[Quantity ordered new]" caption="Quantity ordered new" attribute="1" defaultMemberUniqueName="[Table_1].[Quantity ordered new].[All]" allUniqueName="[Table_1].[Quantity ordered new].[All]" dimensionUniqueName="[Table_1]" displayFolder="" count="0" memberValueDatatype="20" unbalanced="0"/>
    <cacheHierarchy uniqueName="[Table_1].[Sales]" caption="Sales" attribute="1" defaultMemberUniqueName="[Table_1].[Sales].[All]" allUniqueName="[Table_1].[Sales].[All]" dimensionUniqueName="[Table_1]" displayFolder="" count="0" memberValueDatatype="5" unbalanced="0"/>
    <cacheHierarchy uniqueName="[Table_1].[Order ID]" caption="Order ID" attribute="1" defaultMemberUniqueName="[Table_1].[Order ID].[All]" allUniqueName="[Table_1].[Order ID].[All]" dimensionUniqueName="[Table_1]" displayFolder="" count="0" memberValueDatatype="20" unbalanced="0"/>
    <cacheHierarchy uniqueName="[Table_1].[Total]" caption="Total" attribute="1" defaultMemberUniqueName="[Table_1].[Total].[All]" allUniqueName="[Table_1].[Total].[All]" dimensionUniqueName="[Table_1]" displayFolder="" count="0" memberValueDatatype="5" unbalanced="0"/>
    <cacheHierarchy uniqueName="[Table_1].[Manager]" caption="Manager" attribute="1" defaultMemberUniqueName="[Table_1].[Manager].[All]" allUniqueName="[Table_1].[Manager].[All]" dimensionUniqueName="[Table_1]" displayFolder="" count="0" memberValueDatatype="130" unbalanced="0"/>
    <cacheHierarchy uniqueName="[Table_1].[Dollar Discount]" caption="Dollar Discount" attribute="1" defaultMemberUniqueName="[Table_1].[Dollar Discount].[All]" allUniqueName="[Table_1].[Dollar Discount].[All]" dimensionUniqueName="[Table_1]" displayFolder="" count="0" memberValueDatatype="5" unbalanced="0"/>
    <cacheHierarchy uniqueName="[Table_1].[Gross Cost]" caption="Gross Cost" attribute="1" defaultMemberUniqueName="[Table_1].[Gross Cost].[All]" allUniqueName="[Table_1].[Gross Cost].[All]" dimensionUniqueName="[Table_1]" displayFolder="" count="0" memberValueDatatype="5" unbalanced="0"/>
    <cacheHierarchy uniqueName="[Table_1].[Gross Profit]" caption="Gross Profit" attribute="1" defaultMemberUniqueName="[Table_1].[Gross Profit].[All]" allUniqueName="[Table_1].[Gross Profit].[All]" dimensionUniqueName="[Table_1]" displayFolder="" count="0" memberValueDatatype="5" unbalanced="0"/>
    <cacheHierarchy uniqueName="[Table_1].[Cumulative cost]" caption="Cumulative cost" attribute="1" defaultMemberUniqueName="[Table_1].[Cumulative cost].[All]" allUniqueName="[Table_1].[Cumulative cost].[All]" dimensionUniqueName="[Table_1]" displayFolder="" count="0" memberValueDatatype="5" unbalanced="0"/>
    <cacheHierarchy uniqueName="[Table_1].[Order Date (Month)]" caption="Order Date (Month)" attribute="1" defaultMemberUniqueName="[Table_1].[Order Date (Month)].[All]" allUniqueName="[Table_1].[Order Date (Month)].[All]" dimensionUniqueName="[Table_1]" displayFolder="" count="0" memberValueDatatype="130" unbalanced="0"/>
    <cacheHierarchy uniqueName="[Table_1].[Order Date (Month Index)]" caption="Order Date (Month Index)" attribute="1" defaultMemberUniqueName="[Table_1].[Order Date (Month Index)].[All]" allUniqueName="[Table_1].[Order Date (Month Index)].[All]" dimensionUniqueName="[Table_1]" displayFolder="" count="0" memberValueDatatype="20" unbalanced="0" hidden="1"/>
    <cacheHierarchy uniqueName="[Measures].[Σ Discount]" caption="Σ Discount" measure="1" displayFolder="" measureGroup="Table_1" count="0"/>
    <cacheHierarchy uniqueName="[Measures].[Σ Profit]" caption="Σ Profit" measure="1" displayFolder="" measureGroup="Table_1" count="0"/>
    <cacheHierarchy uniqueName="[Measures].[Σ Shipping]" caption="Σ Shipping" measure="1" displayFolder="" measureGroup="Table_1" count="0"/>
    <cacheHierarchy uniqueName="[Measures].[Σ Costs]" caption="Σ Costs" measure="1" displayFolder="" measureGroup="Table_1" count="0"/>
    <cacheHierarchy uniqueName="[Measures].[__XL_Count Table_1]" caption="__XL_Count Table_1" measure="1" displayFolder="" measureGroup="Table_1" count="0" hidden="1"/>
    <cacheHierarchy uniqueName="[Measures].[__No measures defined]" caption="__No measures defined" measure="1" displayFolder="" count="0" hidden="1"/>
    <cacheHierarchy uniqueName="[Measures].[Sum of Sales]" caption="Sum of Sales" measure="1" displayFolder="" measureGroup="Table_1" count="0" hidden="1">
      <extLst>
        <ext xmlns:x15="http://schemas.microsoft.com/office/spreadsheetml/2010/11/main" uri="{B97F6D7D-B522-45F9-BDA1-12C45D357490}">
          <x15:cacheHierarchy aggregatedColumn="22"/>
        </ext>
      </extLst>
    </cacheHierarchy>
    <cacheHierarchy uniqueName="[Measures].[Sum of Quantity ordered new]" caption="Sum of Quantity ordered new" measure="1" displayFolder="" measureGroup="Table_1" count="0" oneField="1" hidden="1">
      <fieldsUsage count="1">
        <fieldUsage x="1"/>
      </fieldsUsage>
      <extLst>
        <ext xmlns:x15="http://schemas.microsoft.com/office/spreadsheetml/2010/11/main" uri="{B97F6D7D-B522-45F9-BDA1-12C45D357490}">
          <x15:cacheHierarchy aggregatedColumn="21"/>
        </ext>
      </extLst>
    </cacheHierarchy>
    <cacheHierarchy uniqueName="[Measures].[Sum of Profit]" caption="Sum of Profit" measure="1" displayFolder="" measureGroup="Table_1" count="0" oneField="1" hidden="1">
      <fieldsUsage count="1">
        <fieldUsage x="2"/>
      </fieldsUsage>
      <extLst>
        <ext xmlns:x15="http://schemas.microsoft.com/office/spreadsheetml/2010/11/main" uri="{B97F6D7D-B522-45F9-BDA1-12C45D357490}">
          <x15:cacheHierarchy aggregatedColumn="20"/>
        </ext>
      </extLst>
    </cacheHierarchy>
    <cacheHierarchy uniqueName="[Measures].[Count of Product Category]" caption="Count of Product Category" measure="1" displayFolder="" measureGroup="Table_1" count="0" hidden="1">
      <extLst>
        <ext xmlns:x15="http://schemas.microsoft.com/office/spreadsheetml/2010/11/main" uri="{B97F6D7D-B522-45F9-BDA1-12C45D357490}">
          <x15:cacheHierarchy aggregatedColumn="8"/>
        </ext>
      </extLst>
    </cacheHierarchy>
    <cacheHierarchy uniqueName="[Measures].[Sum of Discount]" caption="Sum of Discount" measure="1" displayFolder="" measureGroup="Table_1" count="0" hidden="1">
      <extLst>
        <ext xmlns:x15="http://schemas.microsoft.com/office/spreadsheetml/2010/11/main" uri="{B97F6D7D-B522-45F9-BDA1-12C45D357490}">
          <x15:cacheHierarchy aggregatedColumn="3"/>
        </ext>
      </extLst>
    </cacheHierarchy>
    <cacheHierarchy uniqueName="[Measures].[Sum of Shipping Cost]" caption="Sum of Shipping Cost" measure="1" displayFolder="" measureGroup="Table_1" count="0" hidden="1">
      <extLst>
        <ext xmlns:x15="http://schemas.microsoft.com/office/spreadsheetml/2010/11/main" uri="{B97F6D7D-B522-45F9-BDA1-12C45D357490}">
          <x15:cacheHierarchy aggregatedColumn="5"/>
        </ext>
      </extLst>
    </cacheHierarchy>
    <cacheHierarchy uniqueName="[Measures].[Sum of Dollar Discount]" caption="Sum of Dollar Discount" measure="1" displayFolder="" measureGroup="Table_1" count="0" hidden="1">
      <extLst>
        <ext xmlns:x15="http://schemas.microsoft.com/office/spreadsheetml/2010/11/main" uri="{B97F6D7D-B522-45F9-BDA1-12C45D357490}">
          <x15:cacheHierarchy aggregatedColumn="26"/>
        </ext>
      </extLst>
    </cacheHierarchy>
    <cacheHierarchy uniqueName="[Measures].[Sum of Cumulative cost]" caption="Sum of Cumulative cost" measure="1" displayFolder="" measureGroup="Table_1" count="0" hidden="1">
      <extLst>
        <ext xmlns:x15="http://schemas.microsoft.com/office/spreadsheetml/2010/11/main" uri="{B97F6D7D-B522-45F9-BDA1-12C45D357490}">
          <x15:cacheHierarchy aggregatedColumn="29"/>
        </ext>
      </extLst>
    </cacheHierarchy>
    <cacheHierarchy uniqueName="[Measures].[Sum of Postal Code]" caption="Sum of Postal Code" measure="1" displayFolder="" measureGroup="Table_1" count="0" hidden="1">
      <extLst>
        <ext xmlns:x15="http://schemas.microsoft.com/office/spreadsheetml/2010/11/main" uri="{B97F6D7D-B522-45F9-BDA1-12C45D357490}">
          <x15:cacheHierarchy aggregatedColumn="17"/>
        </ext>
      </extLst>
    </cacheHierarchy>
    <cacheHierarchy uniqueName="[Measures].[Sum of Order ID]" caption="Sum of Order ID" measure="1" displayFolder="" measureGroup="Table_1" count="0" hidden="1">
      <extLst>
        <ext xmlns:x15="http://schemas.microsoft.com/office/spreadsheetml/2010/11/main" uri="{B97F6D7D-B522-45F9-BDA1-12C45D357490}">
          <x15:cacheHierarchy aggregatedColumn="23"/>
        </ext>
      </extLst>
    </cacheHierarchy>
    <cacheHierarchy uniqueName="[Measures].[Distinct Count of Order ID]" caption="Distinct Count of Order ID" measure="1" displayFolder="" measureGroup="Table_1" count="0" hidden="1">
      <extLst>
        <ext xmlns:x15="http://schemas.microsoft.com/office/spreadsheetml/2010/11/main" uri="{B97F6D7D-B522-45F9-BDA1-12C45D357490}">
          <x15:cacheHierarchy aggregatedColumn="23"/>
        </ext>
      </extLst>
    </cacheHierarchy>
    <cacheHierarchy uniqueName="[Measures].[Count of Order Date]" caption="Count of Order Date" measure="1" displayFolder="" measureGroup="Table_1" count="0" hidden="1">
      <extLst>
        <ext xmlns:x15="http://schemas.microsoft.com/office/spreadsheetml/2010/11/main" uri="{B97F6D7D-B522-45F9-BDA1-12C45D357490}">
          <x15:cacheHierarchy aggregatedColumn="18"/>
        </ext>
      </extLst>
    </cacheHierarchy>
    <cacheHierarchy uniqueName="[Measures].[Max of Order Date]" caption="Max of Order Date" measure="1" displayFolder="" measureGroup="Table_1" count="0" hidden="1">
      <extLst>
        <ext xmlns:x15="http://schemas.microsoft.com/office/spreadsheetml/2010/11/main" uri="{B97F6D7D-B522-45F9-BDA1-12C45D357490}">
          <x15:cacheHierarchy aggregatedColumn="18"/>
        </ext>
      </extLst>
    </cacheHierarchy>
    <cacheHierarchy uniqueName="[Measures].[Count of Product Name]" caption="Count of Product Name" measure="1" displayFolder="" measureGroup="Table_1" count="0" hidden="1">
      <extLst>
        <ext xmlns:x15="http://schemas.microsoft.com/office/spreadsheetml/2010/11/main" uri="{B97F6D7D-B522-45F9-BDA1-12C45D357490}">
          <x15:cacheHierarchy aggregatedColumn="11"/>
        </ext>
      </extLst>
    </cacheHierarchy>
    <cacheHierarchy uniqueName="[Measures].[Distinct Count of Product Name]" caption="Distinct Count of Product Name" measure="1" displayFolder="" measureGroup="Table_1" count="0" hidden="1">
      <extLst>
        <ext xmlns:x15="http://schemas.microsoft.com/office/spreadsheetml/2010/11/main" uri="{B97F6D7D-B522-45F9-BDA1-12C45D357490}">
          <x15:cacheHierarchy aggregatedColumn="11"/>
        </ext>
      </extLst>
    </cacheHierarchy>
  </cacheHierarchies>
  <kpis count="0"/>
  <dimensions count="2">
    <dimension measure="1" name="Measures" uniqueName="[Measures]" caption="Measures"/>
    <dimension name="Table_1" uniqueName="[Table_1]" caption="Table_1"/>
  </dimensions>
  <measureGroups count="1">
    <measureGroup name="Table_1" caption="Table_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aurabh Lakhanpal" refreshedDate="45219.692597106485" backgroundQuery="1" createdVersion="8" refreshedVersion="8" minRefreshableVersion="3" recordCount="0" supportSubquery="1" supportAdvancedDrill="1" xr:uid="{7A3C73FB-CE88-4830-BD0C-BC2D9D679447}">
  <cacheSource type="external" connectionId="1"/>
  <cacheFields count="4">
    <cacheField name="[Table_1].[City].[City]" caption="City" numFmtId="0" hierarchy="16" level="1">
      <sharedItems count="3">
        <s v="Los Angeles"/>
        <s v="New York City"/>
        <s v="Washington"/>
      </sharedItems>
    </cacheField>
    <cacheField name="[Measures].[Sum of Quantity ordered new]" caption="Sum of Quantity ordered new" numFmtId="0" hierarchy="39" level="32767"/>
    <cacheField name="[Measures].[Sum of Profit]" caption="Sum of Profit" numFmtId="0" hierarchy="40" level="32767"/>
    <cacheField name="[Table_1].[Order Priority].[Order Priority]" caption="Order Priority" numFmtId="0" hierarchy="2" level="1">
      <sharedItems containsSemiMixedTypes="0" containsNonDate="0" containsString="0"/>
    </cacheField>
  </cacheFields>
  <cacheHierarchies count="54">
    <cacheHierarchy uniqueName="[Table_1].[Customer ID]" caption="Customer ID" attribute="1" defaultMemberUniqueName="[Table_1].[Customer ID].[All]" allUniqueName="[Table_1].[Customer ID].[All]" dimensionUniqueName="[Table_1]" displayFolder="" count="0" memberValueDatatype="20" unbalanced="0"/>
    <cacheHierarchy uniqueName="[Table_1].[Customer Name]" caption="Customer Name" attribute="1" defaultMemberUniqueName="[Table_1].[Customer Name].[All]" allUniqueName="[Table_1].[Customer Name].[All]" dimensionUniqueName="[Table_1]" displayFolder="" count="0" memberValueDatatype="130" unbalanced="0"/>
    <cacheHierarchy uniqueName="[Table_1].[Order Priority]" caption="Order Priority" attribute="1" defaultMemberUniqueName="[Table_1].[Order Priority].[All]" allUniqueName="[Table_1].[Order Priority].[All]" dimensionUniqueName="[Table_1]" displayFolder="" count="2" memberValueDatatype="130" unbalanced="0">
      <fieldsUsage count="2">
        <fieldUsage x="-1"/>
        <fieldUsage x="3"/>
      </fieldsUsage>
    </cacheHierarchy>
    <cacheHierarchy uniqueName="[Table_1].[Discount]" caption="Discount" attribute="1" defaultMemberUniqueName="[Table_1].[Discount].[All]" allUniqueName="[Table_1].[Discount].[All]" dimensionUniqueName="[Table_1]" displayFolder="" count="0" memberValueDatatype="5" unbalanced="0"/>
    <cacheHierarchy uniqueName="[Table_1].[Unit Price]" caption="Unit Price" attribute="1" defaultMemberUniqueName="[Table_1].[Unit Price].[All]" allUniqueName="[Table_1].[Unit Price].[All]" dimensionUniqueName="[Table_1]" displayFolder="" count="0" memberValueDatatype="5" unbalanced="0"/>
    <cacheHierarchy uniqueName="[Table_1].[Shipping Cost]" caption="Shipping Cost" attribute="1" defaultMemberUniqueName="[Table_1].[Shipping Cost].[All]" allUniqueName="[Table_1].[Shipping Cost].[All]" dimensionUniqueName="[Table_1]" displayFolder="" count="0" memberValueDatatype="5" unbalanced="0"/>
    <cacheHierarchy uniqueName="[Table_1].[Ship Mode]" caption="Ship Mode" attribute="1" defaultMemberUniqueName="[Table_1].[Ship Mode].[All]" allUniqueName="[Table_1].[Ship Mode].[All]" dimensionUniqueName="[Table_1]" displayFolder="" count="0" memberValueDatatype="130" unbalanced="0"/>
    <cacheHierarchy uniqueName="[Table_1].[Customer Segment]" caption="Customer Segment" attribute="1" defaultMemberUniqueName="[Table_1].[Customer Segment].[All]" allUniqueName="[Table_1].[Customer Segment].[All]" dimensionUniqueName="[Table_1]" displayFolder="" count="2" memberValueDatatype="130" unbalanced="0"/>
    <cacheHierarchy uniqueName="[Table_1].[Product Category]" caption="Product Category" attribute="1" defaultMemberUniqueName="[Table_1].[Product Category].[All]" allUniqueName="[Table_1].[Product Category].[All]" dimensionUniqueName="[Table_1]" displayFolder="" count="0" memberValueDatatype="130" unbalanced="0"/>
    <cacheHierarchy uniqueName="[Table_1].[Product Sub-Category]" caption="Product Sub-Category" attribute="1" defaultMemberUniqueName="[Table_1].[Product Sub-Category].[All]" allUniqueName="[Table_1].[Product Sub-Category].[All]" dimensionUniqueName="[Table_1]" displayFolder="" count="2" memberValueDatatype="130" unbalanced="0"/>
    <cacheHierarchy uniqueName="[Table_1].[Product Container]" caption="Product Container" attribute="1" defaultMemberUniqueName="[Table_1].[Product Container].[All]" allUniqueName="[Table_1].[Product Container].[All]" dimensionUniqueName="[Table_1]" displayFolder="" count="0" memberValueDatatype="130" unbalanced="0"/>
    <cacheHierarchy uniqueName="[Table_1].[Product Name]" caption="Product Name" attribute="1" defaultMemberUniqueName="[Table_1].[Product Name].[All]" allUniqueName="[Table_1].[Product Name].[All]" dimensionUniqueName="[Table_1]" displayFolder="" count="0" memberValueDatatype="130" unbalanced="0"/>
    <cacheHierarchy uniqueName="[Table_1].[Product Base Margin]" caption="Product Base Margin" attribute="1" defaultMemberUniqueName="[Table_1].[Product Base Margin].[All]" allUniqueName="[Table_1].[Product Base Margin].[All]" dimensionUniqueName="[Table_1]" displayFolder="" count="0" memberValueDatatype="5" unbalanced="0"/>
    <cacheHierarchy uniqueName="[Table_1].[Country]" caption="Country" attribute="1" defaultMemberUniqueName="[Table_1].[Country].[All]" allUniqueName="[Table_1].[Country].[All]" dimensionUniqueName="[Table_1]" displayFolder="" count="0" memberValueDatatype="130" unbalanced="0"/>
    <cacheHierarchy uniqueName="[Table_1].[Region]" caption="Region" attribute="1" defaultMemberUniqueName="[Table_1].[Region].[All]" allUniqueName="[Table_1].[Region].[All]" dimensionUniqueName="[Table_1]" displayFolder="" count="0" memberValueDatatype="130" unbalanced="0"/>
    <cacheHierarchy uniqueName="[Table_1].[State or Province]" caption="State or Province" attribute="1" defaultMemberUniqueName="[Table_1].[State or Province].[All]" allUniqueName="[Table_1].[State or Province].[All]" dimensionUniqueName="[Table_1]" displayFolder="" count="0" memberValueDatatype="130" unbalanced="0"/>
    <cacheHierarchy uniqueName="[Table_1].[City]" caption="City" attribute="1" defaultMemberUniqueName="[Table_1].[City].[All]" allUniqueName="[Table_1].[City].[All]" dimensionUniqueName="[Table_1]" displayFolder="" count="2" memberValueDatatype="130" unbalanced="0">
      <fieldsUsage count="2">
        <fieldUsage x="-1"/>
        <fieldUsage x="0"/>
      </fieldsUsage>
    </cacheHierarchy>
    <cacheHierarchy uniqueName="[Table_1].[Postal Code]" caption="Postal Code" attribute="1" defaultMemberUniqueName="[Table_1].[Postal Code].[All]" allUniqueName="[Table_1].[Postal Code].[All]" dimensionUniqueName="[Table_1]" displayFolder="" count="0" memberValueDatatype="20" unbalanced="0"/>
    <cacheHierarchy uniqueName="[Table_1].[Order Date]" caption="Order Date" attribute="1" time="1" defaultMemberUniqueName="[Table_1].[Order Date].[All]" allUniqueName="[Table_1].[Order Date].[All]" dimensionUniqueName="[Table_1]" displayFolder="" count="0" memberValueDatatype="7" unbalanced="0"/>
    <cacheHierarchy uniqueName="[Table_1].[Ship Date]" caption="Ship Date" attribute="1" time="1" defaultMemberUniqueName="[Table_1].[Ship Date].[All]" allUniqueName="[Table_1].[Ship Date].[All]" dimensionUniqueName="[Table_1]" displayFolder="" count="0" memberValueDatatype="7" unbalanced="0"/>
    <cacheHierarchy uniqueName="[Table_1].[Profit]" caption="Profit" attribute="1" defaultMemberUniqueName="[Table_1].[Profit].[All]" allUniqueName="[Table_1].[Profit].[All]" dimensionUniqueName="[Table_1]" displayFolder="" count="0" memberValueDatatype="5" unbalanced="0"/>
    <cacheHierarchy uniqueName="[Table_1].[Quantity ordered new]" caption="Quantity ordered new" attribute="1" defaultMemberUniqueName="[Table_1].[Quantity ordered new].[All]" allUniqueName="[Table_1].[Quantity ordered new].[All]" dimensionUniqueName="[Table_1]" displayFolder="" count="0" memberValueDatatype="20" unbalanced="0"/>
    <cacheHierarchy uniqueName="[Table_1].[Sales]" caption="Sales" attribute="1" defaultMemberUniqueName="[Table_1].[Sales].[All]" allUniqueName="[Table_1].[Sales].[All]" dimensionUniqueName="[Table_1]" displayFolder="" count="0" memberValueDatatype="5" unbalanced="0"/>
    <cacheHierarchy uniqueName="[Table_1].[Order ID]" caption="Order ID" attribute="1" defaultMemberUniqueName="[Table_1].[Order ID].[All]" allUniqueName="[Table_1].[Order ID].[All]" dimensionUniqueName="[Table_1]" displayFolder="" count="0" memberValueDatatype="20" unbalanced="0"/>
    <cacheHierarchy uniqueName="[Table_1].[Total]" caption="Total" attribute="1" defaultMemberUniqueName="[Table_1].[Total].[All]" allUniqueName="[Table_1].[Total].[All]" dimensionUniqueName="[Table_1]" displayFolder="" count="0" memberValueDatatype="5" unbalanced="0"/>
    <cacheHierarchy uniqueName="[Table_1].[Manager]" caption="Manager" attribute="1" defaultMemberUniqueName="[Table_1].[Manager].[All]" allUniqueName="[Table_1].[Manager].[All]" dimensionUniqueName="[Table_1]" displayFolder="" count="0" memberValueDatatype="130" unbalanced="0"/>
    <cacheHierarchy uniqueName="[Table_1].[Dollar Discount]" caption="Dollar Discount" attribute="1" defaultMemberUniqueName="[Table_1].[Dollar Discount].[All]" allUniqueName="[Table_1].[Dollar Discount].[All]" dimensionUniqueName="[Table_1]" displayFolder="" count="0" memberValueDatatype="5" unbalanced="0"/>
    <cacheHierarchy uniqueName="[Table_1].[Gross Cost]" caption="Gross Cost" attribute="1" defaultMemberUniqueName="[Table_1].[Gross Cost].[All]" allUniqueName="[Table_1].[Gross Cost].[All]" dimensionUniqueName="[Table_1]" displayFolder="" count="0" memberValueDatatype="5" unbalanced="0"/>
    <cacheHierarchy uniqueName="[Table_1].[Gross Profit]" caption="Gross Profit" attribute="1" defaultMemberUniqueName="[Table_1].[Gross Profit].[All]" allUniqueName="[Table_1].[Gross Profit].[All]" dimensionUniqueName="[Table_1]" displayFolder="" count="0" memberValueDatatype="5" unbalanced="0"/>
    <cacheHierarchy uniqueName="[Table_1].[Cumulative cost]" caption="Cumulative cost" attribute="1" defaultMemberUniqueName="[Table_1].[Cumulative cost].[All]" allUniqueName="[Table_1].[Cumulative cost].[All]" dimensionUniqueName="[Table_1]" displayFolder="" count="0" memberValueDatatype="5" unbalanced="0"/>
    <cacheHierarchy uniqueName="[Table_1].[Order Date (Month)]" caption="Order Date (Month)" attribute="1" defaultMemberUniqueName="[Table_1].[Order Date (Month)].[All]" allUniqueName="[Table_1].[Order Date (Month)].[All]" dimensionUniqueName="[Table_1]" displayFolder="" count="0" memberValueDatatype="130" unbalanced="0"/>
    <cacheHierarchy uniqueName="[Table_1].[Order Date (Month Index)]" caption="Order Date (Month Index)" attribute="1" defaultMemberUniqueName="[Table_1].[Order Date (Month Index)].[All]" allUniqueName="[Table_1].[Order Date (Month Index)].[All]" dimensionUniqueName="[Table_1]" displayFolder="" count="0" memberValueDatatype="20" unbalanced="0" hidden="1"/>
    <cacheHierarchy uniqueName="[Measures].[Σ Discount]" caption="Σ Discount" measure="1" displayFolder="" measureGroup="Table_1" count="0"/>
    <cacheHierarchy uniqueName="[Measures].[Σ Profit]" caption="Σ Profit" measure="1" displayFolder="" measureGroup="Table_1" count="0"/>
    <cacheHierarchy uniqueName="[Measures].[Σ Shipping]" caption="Σ Shipping" measure="1" displayFolder="" measureGroup="Table_1" count="0"/>
    <cacheHierarchy uniqueName="[Measures].[Σ Costs]" caption="Σ Costs" measure="1" displayFolder="" measureGroup="Table_1" count="0"/>
    <cacheHierarchy uniqueName="[Measures].[__XL_Count Table_1]" caption="__XL_Count Table_1" measure="1" displayFolder="" measureGroup="Table_1" count="0" hidden="1"/>
    <cacheHierarchy uniqueName="[Measures].[__No measures defined]" caption="__No measures defined" measure="1" displayFolder="" count="0" hidden="1"/>
    <cacheHierarchy uniqueName="[Measures].[Sum of Sales]" caption="Sum of Sales" measure="1" displayFolder="" measureGroup="Table_1" count="0" hidden="1">
      <extLst>
        <ext xmlns:x15="http://schemas.microsoft.com/office/spreadsheetml/2010/11/main" uri="{B97F6D7D-B522-45F9-BDA1-12C45D357490}">
          <x15:cacheHierarchy aggregatedColumn="22"/>
        </ext>
      </extLst>
    </cacheHierarchy>
    <cacheHierarchy uniqueName="[Measures].[Sum of Quantity ordered new]" caption="Sum of Quantity ordered new" measure="1" displayFolder="" measureGroup="Table_1" count="0" oneField="1" hidden="1">
      <fieldsUsage count="1">
        <fieldUsage x="1"/>
      </fieldsUsage>
      <extLst>
        <ext xmlns:x15="http://schemas.microsoft.com/office/spreadsheetml/2010/11/main" uri="{B97F6D7D-B522-45F9-BDA1-12C45D357490}">
          <x15:cacheHierarchy aggregatedColumn="21"/>
        </ext>
      </extLst>
    </cacheHierarchy>
    <cacheHierarchy uniqueName="[Measures].[Sum of Profit]" caption="Sum of Profit" measure="1" displayFolder="" measureGroup="Table_1" count="0" oneField="1" hidden="1">
      <fieldsUsage count="1">
        <fieldUsage x="2"/>
      </fieldsUsage>
      <extLst>
        <ext xmlns:x15="http://schemas.microsoft.com/office/spreadsheetml/2010/11/main" uri="{B97F6D7D-B522-45F9-BDA1-12C45D357490}">
          <x15:cacheHierarchy aggregatedColumn="20"/>
        </ext>
      </extLst>
    </cacheHierarchy>
    <cacheHierarchy uniqueName="[Measures].[Count of Product Category]" caption="Count of Product Category" measure="1" displayFolder="" measureGroup="Table_1" count="0" hidden="1">
      <extLst>
        <ext xmlns:x15="http://schemas.microsoft.com/office/spreadsheetml/2010/11/main" uri="{B97F6D7D-B522-45F9-BDA1-12C45D357490}">
          <x15:cacheHierarchy aggregatedColumn="8"/>
        </ext>
      </extLst>
    </cacheHierarchy>
    <cacheHierarchy uniqueName="[Measures].[Sum of Discount]" caption="Sum of Discount" measure="1" displayFolder="" measureGroup="Table_1" count="0" hidden="1">
      <extLst>
        <ext xmlns:x15="http://schemas.microsoft.com/office/spreadsheetml/2010/11/main" uri="{B97F6D7D-B522-45F9-BDA1-12C45D357490}">
          <x15:cacheHierarchy aggregatedColumn="3"/>
        </ext>
      </extLst>
    </cacheHierarchy>
    <cacheHierarchy uniqueName="[Measures].[Sum of Shipping Cost]" caption="Sum of Shipping Cost" measure="1" displayFolder="" measureGroup="Table_1" count="0" hidden="1">
      <extLst>
        <ext xmlns:x15="http://schemas.microsoft.com/office/spreadsheetml/2010/11/main" uri="{B97F6D7D-B522-45F9-BDA1-12C45D357490}">
          <x15:cacheHierarchy aggregatedColumn="5"/>
        </ext>
      </extLst>
    </cacheHierarchy>
    <cacheHierarchy uniqueName="[Measures].[Sum of Dollar Discount]" caption="Sum of Dollar Discount" measure="1" displayFolder="" measureGroup="Table_1" count="0" hidden="1">
      <extLst>
        <ext xmlns:x15="http://schemas.microsoft.com/office/spreadsheetml/2010/11/main" uri="{B97F6D7D-B522-45F9-BDA1-12C45D357490}">
          <x15:cacheHierarchy aggregatedColumn="26"/>
        </ext>
      </extLst>
    </cacheHierarchy>
    <cacheHierarchy uniqueName="[Measures].[Sum of Cumulative cost]" caption="Sum of Cumulative cost" measure="1" displayFolder="" measureGroup="Table_1" count="0" hidden="1">
      <extLst>
        <ext xmlns:x15="http://schemas.microsoft.com/office/spreadsheetml/2010/11/main" uri="{B97F6D7D-B522-45F9-BDA1-12C45D357490}">
          <x15:cacheHierarchy aggregatedColumn="29"/>
        </ext>
      </extLst>
    </cacheHierarchy>
    <cacheHierarchy uniqueName="[Measures].[Sum of Postal Code]" caption="Sum of Postal Code" measure="1" displayFolder="" measureGroup="Table_1" count="0" hidden="1">
      <extLst>
        <ext xmlns:x15="http://schemas.microsoft.com/office/spreadsheetml/2010/11/main" uri="{B97F6D7D-B522-45F9-BDA1-12C45D357490}">
          <x15:cacheHierarchy aggregatedColumn="17"/>
        </ext>
      </extLst>
    </cacheHierarchy>
    <cacheHierarchy uniqueName="[Measures].[Sum of Order ID]" caption="Sum of Order ID" measure="1" displayFolder="" measureGroup="Table_1" count="0" hidden="1">
      <extLst>
        <ext xmlns:x15="http://schemas.microsoft.com/office/spreadsheetml/2010/11/main" uri="{B97F6D7D-B522-45F9-BDA1-12C45D357490}">
          <x15:cacheHierarchy aggregatedColumn="23"/>
        </ext>
      </extLst>
    </cacheHierarchy>
    <cacheHierarchy uniqueName="[Measures].[Distinct Count of Order ID]" caption="Distinct Count of Order ID" measure="1" displayFolder="" measureGroup="Table_1" count="0" hidden="1">
      <extLst>
        <ext xmlns:x15="http://schemas.microsoft.com/office/spreadsheetml/2010/11/main" uri="{B97F6D7D-B522-45F9-BDA1-12C45D357490}">
          <x15:cacheHierarchy aggregatedColumn="23"/>
        </ext>
      </extLst>
    </cacheHierarchy>
    <cacheHierarchy uniqueName="[Measures].[Count of Order Date]" caption="Count of Order Date" measure="1" displayFolder="" measureGroup="Table_1" count="0" hidden="1">
      <extLst>
        <ext xmlns:x15="http://schemas.microsoft.com/office/spreadsheetml/2010/11/main" uri="{B97F6D7D-B522-45F9-BDA1-12C45D357490}">
          <x15:cacheHierarchy aggregatedColumn="18"/>
        </ext>
      </extLst>
    </cacheHierarchy>
    <cacheHierarchy uniqueName="[Measures].[Max of Order Date]" caption="Max of Order Date" measure="1" displayFolder="" measureGroup="Table_1" count="0" hidden="1">
      <extLst>
        <ext xmlns:x15="http://schemas.microsoft.com/office/spreadsheetml/2010/11/main" uri="{B97F6D7D-B522-45F9-BDA1-12C45D357490}">
          <x15:cacheHierarchy aggregatedColumn="18"/>
        </ext>
      </extLst>
    </cacheHierarchy>
    <cacheHierarchy uniqueName="[Measures].[Count of Product Name]" caption="Count of Product Name" measure="1" displayFolder="" measureGroup="Table_1" count="0" hidden="1">
      <extLst>
        <ext xmlns:x15="http://schemas.microsoft.com/office/spreadsheetml/2010/11/main" uri="{B97F6D7D-B522-45F9-BDA1-12C45D357490}">
          <x15:cacheHierarchy aggregatedColumn="11"/>
        </ext>
      </extLst>
    </cacheHierarchy>
    <cacheHierarchy uniqueName="[Measures].[Distinct Count of Product Name]" caption="Distinct Count of Product Name" measure="1" displayFolder="" measureGroup="Table_1" count="0" hidden="1">
      <extLst>
        <ext xmlns:x15="http://schemas.microsoft.com/office/spreadsheetml/2010/11/main" uri="{B97F6D7D-B522-45F9-BDA1-12C45D357490}">
          <x15:cacheHierarchy aggregatedColumn="11"/>
        </ext>
      </extLst>
    </cacheHierarchy>
    <cacheHierarchy uniqueName="[Measures].[Count of Sales]" caption="Count of Sales" measure="1" displayFolder="" measureGroup="Table_1" count="0" hidden="1">
      <extLst>
        <ext xmlns:x15="http://schemas.microsoft.com/office/spreadsheetml/2010/11/main" uri="{B97F6D7D-B522-45F9-BDA1-12C45D357490}">
          <x15:cacheHierarchy aggregatedColumn="22"/>
        </ext>
      </extLst>
    </cacheHierarchy>
  </cacheHierarchies>
  <kpis count="0"/>
  <dimensions count="2">
    <dimension measure="1" name="Measures" uniqueName="[Measures]" caption="Measures"/>
    <dimension name="Table_1" uniqueName="[Table_1]" caption="Table_1"/>
  </dimensions>
  <measureGroups count="1">
    <measureGroup name="Table_1" caption="Table_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aurabh Lakhanpal" refreshedDate="45219.692599189817" backgroundQuery="1" createdVersion="8" refreshedVersion="8" minRefreshableVersion="3" recordCount="0" supportSubquery="1" supportAdvancedDrill="1" xr:uid="{93539609-FC7F-4D0D-AEB1-E05312B64A9C}">
  <cacheSource type="external" connectionId="1"/>
  <cacheFields count="4">
    <cacheField name="[Table_1].[Product Name].[Product Name]" caption="Product Name" numFmtId="0" hierarchy="11" level="1">
      <sharedItems count="3">
        <s v="Fellowes PB500 Electric Punch Plastic Comb Binding Machine with Manual Bind"/>
        <s v="Global Troy™ Executive Leather Low-Back Tilter"/>
        <s v="Lexmark 4227 Plus Dot Matrix Printer"/>
      </sharedItems>
    </cacheField>
    <cacheField name="[Measures].[Sum of Quantity ordered new]" caption="Sum of Quantity ordered new" numFmtId="0" hierarchy="39" level="32767"/>
    <cacheField name="[Measures].[Sum of Profit]" caption="Sum of Profit" numFmtId="0" hierarchy="40" level="32767"/>
    <cacheField name="[Table_1].[Order Priority].[Order Priority]" caption="Order Priority" numFmtId="0" hierarchy="2" level="1">
      <sharedItems containsSemiMixedTypes="0" containsNonDate="0" containsString="0"/>
    </cacheField>
  </cacheFields>
  <cacheHierarchies count="53">
    <cacheHierarchy uniqueName="[Table_1].[Customer ID]" caption="Customer ID" attribute="1" defaultMemberUniqueName="[Table_1].[Customer ID].[All]" allUniqueName="[Table_1].[Customer ID].[All]" dimensionUniqueName="[Table_1]" displayFolder="" count="0" memberValueDatatype="20" unbalanced="0"/>
    <cacheHierarchy uniqueName="[Table_1].[Customer Name]" caption="Customer Name" attribute="1" defaultMemberUniqueName="[Table_1].[Customer Name].[All]" allUniqueName="[Table_1].[Customer Name].[All]" dimensionUniqueName="[Table_1]" displayFolder="" count="0" memberValueDatatype="130" unbalanced="0"/>
    <cacheHierarchy uniqueName="[Table_1].[Order Priority]" caption="Order Priority" attribute="1" defaultMemberUniqueName="[Table_1].[Order Priority].[All]" allUniqueName="[Table_1].[Order Priority].[All]" dimensionUniqueName="[Table_1]" displayFolder="" count="2" memberValueDatatype="130" unbalanced="0">
      <fieldsUsage count="2">
        <fieldUsage x="-1"/>
        <fieldUsage x="3"/>
      </fieldsUsage>
    </cacheHierarchy>
    <cacheHierarchy uniqueName="[Table_1].[Discount]" caption="Discount" attribute="1" defaultMemberUniqueName="[Table_1].[Discount].[All]" allUniqueName="[Table_1].[Discount].[All]" dimensionUniqueName="[Table_1]" displayFolder="" count="0" memberValueDatatype="5" unbalanced="0"/>
    <cacheHierarchy uniqueName="[Table_1].[Unit Price]" caption="Unit Price" attribute="1" defaultMemberUniqueName="[Table_1].[Unit Price].[All]" allUniqueName="[Table_1].[Unit Price].[All]" dimensionUniqueName="[Table_1]" displayFolder="" count="0" memberValueDatatype="5" unbalanced="0"/>
    <cacheHierarchy uniqueName="[Table_1].[Shipping Cost]" caption="Shipping Cost" attribute="1" defaultMemberUniqueName="[Table_1].[Shipping Cost].[All]" allUniqueName="[Table_1].[Shipping Cost].[All]" dimensionUniqueName="[Table_1]" displayFolder="" count="0" memberValueDatatype="5" unbalanced="0"/>
    <cacheHierarchy uniqueName="[Table_1].[Ship Mode]" caption="Ship Mode" attribute="1" defaultMemberUniqueName="[Table_1].[Ship Mode].[All]" allUniqueName="[Table_1].[Ship Mode].[All]" dimensionUniqueName="[Table_1]" displayFolder="" count="0" memberValueDatatype="130" unbalanced="0"/>
    <cacheHierarchy uniqueName="[Table_1].[Customer Segment]" caption="Customer Segment" attribute="1" defaultMemberUniqueName="[Table_1].[Customer Segment].[All]" allUniqueName="[Table_1].[Customer Segment].[All]" dimensionUniqueName="[Table_1]" displayFolder="" count="2" memberValueDatatype="130" unbalanced="0"/>
    <cacheHierarchy uniqueName="[Table_1].[Product Category]" caption="Product Category" attribute="1" defaultMemberUniqueName="[Table_1].[Product Category].[All]" allUniqueName="[Table_1].[Product Category].[All]" dimensionUniqueName="[Table_1]" displayFolder="" count="0" memberValueDatatype="130" unbalanced="0"/>
    <cacheHierarchy uniqueName="[Table_1].[Product Sub-Category]" caption="Product Sub-Category" attribute="1" defaultMemberUniqueName="[Table_1].[Product Sub-Category].[All]" allUniqueName="[Table_1].[Product Sub-Category].[All]" dimensionUniqueName="[Table_1]" displayFolder="" count="2" memberValueDatatype="130" unbalanced="0"/>
    <cacheHierarchy uniqueName="[Table_1].[Product Container]" caption="Product Container" attribute="1" defaultMemberUniqueName="[Table_1].[Product Container].[All]" allUniqueName="[Table_1].[Product Container].[All]" dimensionUniqueName="[Table_1]" displayFolder="" count="0" memberValueDatatype="130" unbalanced="0"/>
    <cacheHierarchy uniqueName="[Table_1].[Product Name]" caption="Product Name" attribute="1" defaultMemberUniqueName="[Table_1].[Product Name].[All]" allUniqueName="[Table_1].[Product Name].[All]" dimensionUniqueName="[Table_1]" displayFolder="" count="2" memberValueDatatype="130" unbalanced="0">
      <fieldsUsage count="2">
        <fieldUsage x="-1"/>
        <fieldUsage x="0"/>
      </fieldsUsage>
    </cacheHierarchy>
    <cacheHierarchy uniqueName="[Table_1].[Product Base Margin]" caption="Product Base Margin" attribute="1" defaultMemberUniqueName="[Table_1].[Product Base Margin].[All]" allUniqueName="[Table_1].[Product Base Margin].[All]" dimensionUniqueName="[Table_1]" displayFolder="" count="0" memberValueDatatype="5" unbalanced="0"/>
    <cacheHierarchy uniqueName="[Table_1].[Country]" caption="Country" attribute="1" defaultMemberUniqueName="[Table_1].[Country].[All]" allUniqueName="[Table_1].[Country].[All]" dimensionUniqueName="[Table_1]" displayFolder="" count="0" memberValueDatatype="130" unbalanced="0"/>
    <cacheHierarchy uniqueName="[Table_1].[Region]" caption="Region" attribute="1" defaultMemberUniqueName="[Table_1].[Region].[All]" allUniqueName="[Table_1].[Region].[All]" dimensionUniqueName="[Table_1]" displayFolder="" count="0" memberValueDatatype="130" unbalanced="0"/>
    <cacheHierarchy uniqueName="[Table_1].[State or Province]" caption="State or Province" attribute="1" defaultMemberUniqueName="[Table_1].[State or Province].[All]" allUniqueName="[Table_1].[State or Province].[All]" dimensionUniqueName="[Table_1]" displayFolder="" count="0" memberValueDatatype="130" unbalanced="0"/>
    <cacheHierarchy uniqueName="[Table_1].[City]" caption="City" attribute="1" defaultMemberUniqueName="[Table_1].[City].[All]" allUniqueName="[Table_1].[City].[All]" dimensionUniqueName="[Table_1]" displayFolder="" count="0" memberValueDatatype="130" unbalanced="0"/>
    <cacheHierarchy uniqueName="[Table_1].[Postal Code]" caption="Postal Code" attribute="1" defaultMemberUniqueName="[Table_1].[Postal Code].[All]" allUniqueName="[Table_1].[Postal Code].[All]" dimensionUniqueName="[Table_1]" displayFolder="" count="0" memberValueDatatype="20" unbalanced="0"/>
    <cacheHierarchy uniqueName="[Table_1].[Order Date]" caption="Order Date" attribute="1" time="1" defaultMemberUniqueName="[Table_1].[Order Date].[All]" allUniqueName="[Table_1].[Order Date].[All]" dimensionUniqueName="[Table_1]" displayFolder="" count="0" memberValueDatatype="7" unbalanced="0"/>
    <cacheHierarchy uniqueName="[Table_1].[Ship Date]" caption="Ship Date" attribute="1" time="1" defaultMemberUniqueName="[Table_1].[Ship Date].[All]" allUniqueName="[Table_1].[Ship Date].[All]" dimensionUniqueName="[Table_1]" displayFolder="" count="0" memberValueDatatype="7" unbalanced="0"/>
    <cacheHierarchy uniqueName="[Table_1].[Profit]" caption="Profit" attribute="1" defaultMemberUniqueName="[Table_1].[Profit].[All]" allUniqueName="[Table_1].[Profit].[All]" dimensionUniqueName="[Table_1]" displayFolder="" count="0" memberValueDatatype="5" unbalanced="0"/>
    <cacheHierarchy uniqueName="[Table_1].[Quantity ordered new]" caption="Quantity ordered new" attribute="1" defaultMemberUniqueName="[Table_1].[Quantity ordered new].[All]" allUniqueName="[Table_1].[Quantity ordered new].[All]" dimensionUniqueName="[Table_1]" displayFolder="" count="0" memberValueDatatype="20" unbalanced="0"/>
    <cacheHierarchy uniqueName="[Table_1].[Sales]" caption="Sales" attribute="1" defaultMemberUniqueName="[Table_1].[Sales].[All]" allUniqueName="[Table_1].[Sales].[All]" dimensionUniqueName="[Table_1]" displayFolder="" count="0" memberValueDatatype="5" unbalanced="0"/>
    <cacheHierarchy uniqueName="[Table_1].[Order ID]" caption="Order ID" attribute="1" defaultMemberUniqueName="[Table_1].[Order ID].[All]" allUniqueName="[Table_1].[Order ID].[All]" dimensionUniqueName="[Table_1]" displayFolder="" count="0" memberValueDatatype="20" unbalanced="0"/>
    <cacheHierarchy uniqueName="[Table_1].[Total]" caption="Total" attribute="1" defaultMemberUniqueName="[Table_1].[Total].[All]" allUniqueName="[Table_1].[Total].[All]" dimensionUniqueName="[Table_1]" displayFolder="" count="0" memberValueDatatype="5" unbalanced="0"/>
    <cacheHierarchy uniqueName="[Table_1].[Manager]" caption="Manager" attribute="1" defaultMemberUniqueName="[Table_1].[Manager].[All]" allUniqueName="[Table_1].[Manager].[All]" dimensionUniqueName="[Table_1]" displayFolder="" count="0" memberValueDatatype="130" unbalanced="0"/>
    <cacheHierarchy uniqueName="[Table_1].[Dollar Discount]" caption="Dollar Discount" attribute="1" defaultMemberUniqueName="[Table_1].[Dollar Discount].[All]" allUniqueName="[Table_1].[Dollar Discount].[All]" dimensionUniqueName="[Table_1]" displayFolder="" count="0" memberValueDatatype="5" unbalanced="0"/>
    <cacheHierarchy uniqueName="[Table_1].[Gross Cost]" caption="Gross Cost" attribute="1" defaultMemberUniqueName="[Table_1].[Gross Cost].[All]" allUniqueName="[Table_1].[Gross Cost].[All]" dimensionUniqueName="[Table_1]" displayFolder="" count="0" memberValueDatatype="5" unbalanced="0"/>
    <cacheHierarchy uniqueName="[Table_1].[Gross Profit]" caption="Gross Profit" attribute="1" defaultMemberUniqueName="[Table_1].[Gross Profit].[All]" allUniqueName="[Table_1].[Gross Profit].[All]" dimensionUniqueName="[Table_1]" displayFolder="" count="0" memberValueDatatype="5" unbalanced="0"/>
    <cacheHierarchy uniqueName="[Table_1].[Cumulative cost]" caption="Cumulative cost" attribute="1" defaultMemberUniqueName="[Table_1].[Cumulative cost].[All]" allUniqueName="[Table_1].[Cumulative cost].[All]" dimensionUniqueName="[Table_1]" displayFolder="" count="0" memberValueDatatype="5" unbalanced="0"/>
    <cacheHierarchy uniqueName="[Table_1].[Order Date (Month)]" caption="Order Date (Month)" attribute="1" defaultMemberUniqueName="[Table_1].[Order Date (Month)].[All]" allUniqueName="[Table_1].[Order Date (Month)].[All]" dimensionUniqueName="[Table_1]" displayFolder="" count="0" memberValueDatatype="130" unbalanced="0"/>
    <cacheHierarchy uniqueName="[Table_1].[Order Date (Month Index)]" caption="Order Date (Month Index)" attribute="1" defaultMemberUniqueName="[Table_1].[Order Date (Month Index)].[All]" allUniqueName="[Table_1].[Order Date (Month Index)].[All]" dimensionUniqueName="[Table_1]" displayFolder="" count="0" memberValueDatatype="20" unbalanced="0" hidden="1"/>
    <cacheHierarchy uniqueName="[Measures].[Σ Discount]" caption="Σ Discount" measure="1" displayFolder="" measureGroup="Table_1" count="0"/>
    <cacheHierarchy uniqueName="[Measures].[Σ Profit]" caption="Σ Profit" measure="1" displayFolder="" measureGroup="Table_1" count="0"/>
    <cacheHierarchy uniqueName="[Measures].[Σ Shipping]" caption="Σ Shipping" measure="1" displayFolder="" measureGroup="Table_1" count="0"/>
    <cacheHierarchy uniqueName="[Measures].[Σ Costs]" caption="Σ Costs" measure="1" displayFolder="" measureGroup="Table_1" count="0"/>
    <cacheHierarchy uniqueName="[Measures].[__XL_Count Table_1]" caption="__XL_Count Table_1" measure="1" displayFolder="" measureGroup="Table_1" count="0" hidden="1"/>
    <cacheHierarchy uniqueName="[Measures].[__No measures defined]" caption="__No measures defined" measure="1" displayFolder="" count="0" hidden="1"/>
    <cacheHierarchy uniqueName="[Measures].[Sum of Sales]" caption="Sum of Sales" measure="1" displayFolder="" measureGroup="Table_1" count="0" hidden="1">
      <extLst>
        <ext xmlns:x15="http://schemas.microsoft.com/office/spreadsheetml/2010/11/main" uri="{B97F6D7D-B522-45F9-BDA1-12C45D357490}">
          <x15:cacheHierarchy aggregatedColumn="22"/>
        </ext>
      </extLst>
    </cacheHierarchy>
    <cacheHierarchy uniqueName="[Measures].[Sum of Quantity ordered new]" caption="Sum of Quantity ordered new" measure="1" displayFolder="" measureGroup="Table_1" count="0" oneField="1" hidden="1">
      <fieldsUsage count="1">
        <fieldUsage x="1"/>
      </fieldsUsage>
      <extLst>
        <ext xmlns:x15="http://schemas.microsoft.com/office/spreadsheetml/2010/11/main" uri="{B97F6D7D-B522-45F9-BDA1-12C45D357490}">
          <x15:cacheHierarchy aggregatedColumn="21"/>
        </ext>
      </extLst>
    </cacheHierarchy>
    <cacheHierarchy uniqueName="[Measures].[Sum of Profit]" caption="Sum of Profit" measure="1" displayFolder="" measureGroup="Table_1" count="0" oneField="1" hidden="1">
      <fieldsUsage count="1">
        <fieldUsage x="2"/>
      </fieldsUsage>
      <extLst>
        <ext xmlns:x15="http://schemas.microsoft.com/office/spreadsheetml/2010/11/main" uri="{B97F6D7D-B522-45F9-BDA1-12C45D357490}">
          <x15:cacheHierarchy aggregatedColumn="20"/>
        </ext>
      </extLst>
    </cacheHierarchy>
    <cacheHierarchy uniqueName="[Measures].[Count of Product Category]" caption="Count of Product Category" measure="1" displayFolder="" measureGroup="Table_1" count="0" hidden="1">
      <extLst>
        <ext xmlns:x15="http://schemas.microsoft.com/office/spreadsheetml/2010/11/main" uri="{B97F6D7D-B522-45F9-BDA1-12C45D357490}">
          <x15:cacheHierarchy aggregatedColumn="8"/>
        </ext>
      </extLst>
    </cacheHierarchy>
    <cacheHierarchy uniqueName="[Measures].[Sum of Discount]" caption="Sum of Discount" measure="1" displayFolder="" measureGroup="Table_1" count="0" hidden="1">
      <extLst>
        <ext xmlns:x15="http://schemas.microsoft.com/office/spreadsheetml/2010/11/main" uri="{B97F6D7D-B522-45F9-BDA1-12C45D357490}">
          <x15:cacheHierarchy aggregatedColumn="3"/>
        </ext>
      </extLst>
    </cacheHierarchy>
    <cacheHierarchy uniqueName="[Measures].[Sum of Shipping Cost]" caption="Sum of Shipping Cost" measure="1" displayFolder="" measureGroup="Table_1" count="0" hidden="1">
      <extLst>
        <ext xmlns:x15="http://schemas.microsoft.com/office/spreadsheetml/2010/11/main" uri="{B97F6D7D-B522-45F9-BDA1-12C45D357490}">
          <x15:cacheHierarchy aggregatedColumn="5"/>
        </ext>
      </extLst>
    </cacheHierarchy>
    <cacheHierarchy uniqueName="[Measures].[Sum of Dollar Discount]" caption="Sum of Dollar Discount" measure="1" displayFolder="" measureGroup="Table_1" count="0" hidden="1">
      <extLst>
        <ext xmlns:x15="http://schemas.microsoft.com/office/spreadsheetml/2010/11/main" uri="{B97F6D7D-B522-45F9-BDA1-12C45D357490}">
          <x15:cacheHierarchy aggregatedColumn="26"/>
        </ext>
      </extLst>
    </cacheHierarchy>
    <cacheHierarchy uniqueName="[Measures].[Sum of Cumulative cost]" caption="Sum of Cumulative cost" measure="1" displayFolder="" measureGroup="Table_1" count="0" hidden="1">
      <extLst>
        <ext xmlns:x15="http://schemas.microsoft.com/office/spreadsheetml/2010/11/main" uri="{B97F6D7D-B522-45F9-BDA1-12C45D357490}">
          <x15:cacheHierarchy aggregatedColumn="29"/>
        </ext>
      </extLst>
    </cacheHierarchy>
    <cacheHierarchy uniqueName="[Measures].[Sum of Postal Code]" caption="Sum of Postal Code" measure="1" displayFolder="" measureGroup="Table_1" count="0" hidden="1">
      <extLst>
        <ext xmlns:x15="http://schemas.microsoft.com/office/spreadsheetml/2010/11/main" uri="{B97F6D7D-B522-45F9-BDA1-12C45D357490}">
          <x15:cacheHierarchy aggregatedColumn="17"/>
        </ext>
      </extLst>
    </cacheHierarchy>
    <cacheHierarchy uniqueName="[Measures].[Sum of Order ID]" caption="Sum of Order ID" measure="1" displayFolder="" measureGroup="Table_1" count="0" hidden="1">
      <extLst>
        <ext xmlns:x15="http://schemas.microsoft.com/office/spreadsheetml/2010/11/main" uri="{B97F6D7D-B522-45F9-BDA1-12C45D357490}">
          <x15:cacheHierarchy aggregatedColumn="23"/>
        </ext>
      </extLst>
    </cacheHierarchy>
    <cacheHierarchy uniqueName="[Measures].[Distinct Count of Order ID]" caption="Distinct Count of Order ID" measure="1" displayFolder="" measureGroup="Table_1" count="0" hidden="1">
      <extLst>
        <ext xmlns:x15="http://schemas.microsoft.com/office/spreadsheetml/2010/11/main" uri="{B97F6D7D-B522-45F9-BDA1-12C45D357490}">
          <x15:cacheHierarchy aggregatedColumn="23"/>
        </ext>
      </extLst>
    </cacheHierarchy>
    <cacheHierarchy uniqueName="[Measures].[Count of Order Date]" caption="Count of Order Date" measure="1" displayFolder="" measureGroup="Table_1" count="0" hidden="1">
      <extLst>
        <ext xmlns:x15="http://schemas.microsoft.com/office/spreadsheetml/2010/11/main" uri="{B97F6D7D-B522-45F9-BDA1-12C45D357490}">
          <x15:cacheHierarchy aggregatedColumn="18"/>
        </ext>
      </extLst>
    </cacheHierarchy>
    <cacheHierarchy uniqueName="[Measures].[Max of Order Date]" caption="Max of Order Date" measure="1" displayFolder="" measureGroup="Table_1" count="0" hidden="1">
      <extLst>
        <ext xmlns:x15="http://schemas.microsoft.com/office/spreadsheetml/2010/11/main" uri="{B97F6D7D-B522-45F9-BDA1-12C45D357490}">
          <x15:cacheHierarchy aggregatedColumn="18"/>
        </ext>
      </extLst>
    </cacheHierarchy>
    <cacheHierarchy uniqueName="[Measures].[Count of Product Name]" caption="Count of Product Name" measure="1" displayFolder="" measureGroup="Table_1" count="0" hidden="1">
      <extLst>
        <ext xmlns:x15="http://schemas.microsoft.com/office/spreadsheetml/2010/11/main" uri="{B97F6D7D-B522-45F9-BDA1-12C45D357490}">
          <x15:cacheHierarchy aggregatedColumn="11"/>
        </ext>
      </extLst>
    </cacheHierarchy>
    <cacheHierarchy uniqueName="[Measures].[Distinct Count of Product Name]" caption="Distinct Count of Product Name" measure="1" displayFolder="" measureGroup="Table_1" count="0" hidden="1">
      <extLst>
        <ext xmlns:x15="http://schemas.microsoft.com/office/spreadsheetml/2010/11/main" uri="{B97F6D7D-B522-45F9-BDA1-12C45D357490}">
          <x15:cacheHierarchy aggregatedColumn="11"/>
        </ext>
      </extLst>
    </cacheHierarchy>
  </cacheHierarchies>
  <kpis count="0"/>
  <dimensions count="2">
    <dimension measure="1" name="Measures" uniqueName="[Measures]" caption="Measures"/>
    <dimension name="Table_1" uniqueName="[Table_1]" caption="Table_1"/>
  </dimensions>
  <measureGroups count="1">
    <measureGroup name="Table_1" caption="Table_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aurabh Lakhanpal" refreshedDate="45219.692601041665" backgroundQuery="1" createdVersion="8" refreshedVersion="8" minRefreshableVersion="3" recordCount="0" supportSubquery="1" supportAdvancedDrill="1" xr:uid="{A51B00C0-8C4F-49A8-9D95-44F54F6CE43E}">
  <cacheSource type="external" connectionId="1"/>
  <cacheFields count="4">
    <cacheField name="[Table_1].[City].[City]" caption="City" numFmtId="0" hierarchy="16" level="1">
      <sharedItems count="3">
        <s v="Los Angeles"/>
        <s v="New York City"/>
        <s v="Washington"/>
      </sharedItems>
    </cacheField>
    <cacheField name="[Measures].[Sum of Sales]" caption="Sum of Sales" numFmtId="0" hierarchy="38" level="32767"/>
    <cacheField name="[Measures].[Sum of Quantity ordered new]" caption="Sum of Quantity ordered new" numFmtId="0" hierarchy="39" level="32767"/>
    <cacheField name="[Table_1].[Order Priority].[Order Priority]" caption="Order Priority" numFmtId="0" hierarchy="2" level="1">
      <sharedItems containsSemiMixedTypes="0" containsNonDate="0" containsString="0"/>
    </cacheField>
  </cacheFields>
  <cacheHierarchies count="54">
    <cacheHierarchy uniqueName="[Table_1].[Customer ID]" caption="Customer ID" attribute="1" defaultMemberUniqueName="[Table_1].[Customer ID].[All]" allUniqueName="[Table_1].[Customer ID].[All]" dimensionUniqueName="[Table_1]" displayFolder="" count="0" memberValueDatatype="20" unbalanced="0"/>
    <cacheHierarchy uniqueName="[Table_1].[Customer Name]" caption="Customer Name" attribute="1" defaultMemberUniqueName="[Table_1].[Customer Name].[All]" allUniqueName="[Table_1].[Customer Name].[All]" dimensionUniqueName="[Table_1]" displayFolder="" count="0" memberValueDatatype="130" unbalanced="0"/>
    <cacheHierarchy uniqueName="[Table_1].[Order Priority]" caption="Order Priority" attribute="1" defaultMemberUniqueName="[Table_1].[Order Priority].[All]" allUniqueName="[Table_1].[Order Priority].[All]" dimensionUniqueName="[Table_1]" displayFolder="" count="2" memberValueDatatype="130" unbalanced="0">
      <fieldsUsage count="2">
        <fieldUsage x="-1"/>
        <fieldUsage x="3"/>
      </fieldsUsage>
    </cacheHierarchy>
    <cacheHierarchy uniqueName="[Table_1].[Discount]" caption="Discount" attribute="1" defaultMemberUniqueName="[Table_1].[Discount].[All]" allUniqueName="[Table_1].[Discount].[All]" dimensionUniqueName="[Table_1]" displayFolder="" count="0" memberValueDatatype="5" unbalanced="0"/>
    <cacheHierarchy uniqueName="[Table_1].[Unit Price]" caption="Unit Price" attribute="1" defaultMemberUniqueName="[Table_1].[Unit Price].[All]" allUniqueName="[Table_1].[Unit Price].[All]" dimensionUniqueName="[Table_1]" displayFolder="" count="0" memberValueDatatype="5" unbalanced="0"/>
    <cacheHierarchy uniqueName="[Table_1].[Shipping Cost]" caption="Shipping Cost" attribute="1" defaultMemberUniqueName="[Table_1].[Shipping Cost].[All]" allUniqueName="[Table_1].[Shipping Cost].[All]" dimensionUniqueName="[Table_1]" displayFolder="" count="0" memberValueDatatype="5" unbalanced="0"/>
    <cacheHierarchy uniqueName="[Table_1].[Ship Mode]" caption="Ship Mode" attribute="1" defaultMemberUniqueName="[Table_1].[Ship Mode].[All]" allUniqueName="[Table_1].[Ship Mode].[All]" dimensionUniqueName="[Table_1]" displayFolder="" count="0" memberValueDatatype="130" unbalanced="0"/>
    <cacheHierarchy uniqueName="[Table_1].[Customer Segment]" caption="Customer Segment" attribute="1" defaultMemberUniqueName="[Table_1].[Customer Segment].[All]" allUniqueName="[Table_1].[Customer Segment].[All]" dimensionUniqueName="[Table_1]" displayFolder="" count="2" memberValueDatatype="130" unbalanced="0"/>
    <cacheHierarchy uniqueName="[Table_1].[Product Category]" caption="Product Category" attribute="1" defaultMemberUniqueName="[Table_1].[Product Category].[All]" allUniqueName="[Table_1].[Product Category].[All]" dimensionUniqueName="[Table_1]" displayFolder="" count="0" memberValueDatatype="130" unbalanced="0"/>
    <cacheHierarchy uniqueName="[Table_1].[Product Sub-Category]" caption="Product Sub-Category" attribute="1" defaultMemberUniqueName="[Table_1].[Product Sub-Category].[All]" allUniqueName="[Table_1].[Product Sub-Category].[All]" dimensionUniqueName="[Table_1]" displayFolder="" count="2" memberValueDatatype="130" unbalanced="0"/>
    <cacheHierarchy uniqueName="[Table_1].[Product Container]" caption="Product Container" attribute="1" defaultMemberUniqueName="[Table_1].[Product Container].[All]" allUniqueName="[Table_1].[Product Container].[All]" dimensionUniqueName="[Table_1]" displayFolder="" count="0" memberValueDatatype="130" unbalanced="0"/>
    <cacheHierarchy uniqueName="[Table_1].[Product Name]" caption="Product Name" attribute="1" defaultMemberUniqueName="[Table_1].[Product Name].[All]" allUniqueName="[Table_1].[Product Name].[All]" dimensionUniqueName="[Table_1]" displayFolder="" count="0" memberValueDatatype="130" unbalanced="0"/>
    <cacheHierarchy uniqueName="[Table_1].[Product Base Margin]" caption="Product Base Margin" attribute="1" defaultMemberUniqueName="[Table_1].[Product Base Margin].[All]" allUniqueName="[Table_1].[Product Base Margin].[All]" dimensionUniqueName="[Table_1]" displayFolder="" count="0" memberValueDatatype="5" unbalanced="0"/>
    <cacheHierarchy uniqueName="[Table_1].[Country]" caption="Country" attribute="1" defaultMemberUniqueName="[Table_1].[Country].[All]" allUniqueName="[Table_1].[Country].[All]" dimensionUniqueName="[Table_1]" displayFolder="" count="0" memberValueDatatype="130" unbalanced="0"/>
    <cacheHierarchy uniqueName="[Table_1].[Region]" caption="Region" attribute="1" defaultMemberUniqueName="[Table_1].[Region].[All]" allUniqueName="[Table_1].[Region].[All]" dimensionUniqueName="[Table_1]" displayFolder="" count="0" memberValueDatatype="130" unbalanced="0"/>
    <cacheHierarchy uniqueName="[Table_1].[State or Province]" caption="State or Province" attribute="1" defaultMemberUniqueName="[Table_1].[State or Province].[All]" allUniqueName="[Table_1].[State or Province].[All]" dimensionUniqueName="[Table_1]" displayFolder="" count="0" memberValueDatatype="130" unbalanced="0"/>
    <cacheHierarchy uniqueName="[Table_1].[City]" caption="City" attribute="1" defaultMemberUniqueName="[Table_1].[City].[All]" allUniqueName="[Table_1].[City].[All]" dimensionUniqueName="[Table_1]" displayFolder="" count="2" memberValueDatatype="130" unbalanced="0">
      <fieldsUsage count="2">
        <fieldUsage x="-1"/>
        <fieldUsage x="0"/>
      </fieldsUsage>
    </cacheHierarchy>
    <cacheHierarchy uniqueName="[Table_1].[Postal Code]" caption="Postal Code" attribute="1" defaultMemberUniqueName="[Table_1].[Postal Code].[All]" allUniqueName="[Table_1].[Postal Code].[All]" dimensionUniqueName="[Table_1]" displayFolder="" count="0" memberValueDatatype="20" unbalanced="0"/>
    <cacheHierarchy uniqueName="[Table_1].[Order Date]" caption="Order Date" attribute="1" time="1" defaultMemberUniqueName="[Table_1].[Order Date].[All]" allUniqueName="[Table_1].[Order Date].[All]" dimensionUniqueName="[Table_1]" displayFolder="" count="0" memberValueDatatype="7" unbalanced="0"/>
    <cacheHierarchy uniqueName="[Table_1].[Ship Date]" caption="Ship Date" attribute="1" time="1" defaultMemberUniqueName="[Table_1].[Ship Date].[All]" allUniqueName="[Table_1].[Ship Date].[All]" dimensionUniqueName="[Table_1]" displayFolder="" count="0" memberValueDatatype="7" unbalanced="0"/>
    <cacheHierarchy uniqueName="[Table_1].[Profit]" caption="Profit" attribute="1" defaultMemberUniqueName="[Table_1].[Profit].[All]" allUniqueName="[Table_1].[Profit].[All]" dimensionUniqueName="[Table_1]" displayFolder="" count="0" memberValueDatatype="5" unbalanced="0"/>
    <cacheHierarchy uniqueName="[Table_1].[Quantity ordered new]" caption="Quantity ordered new" attribute="1" defaultMemberUniqueName="[Table_1].[Quantity ordered new].[All]" allUniqueName="[Table_1].[Quantity ordered new].[All]" dimensionUniqueName="[Table_1]" displayFolder="" count="0" memberValueDatatype="20" unbalanced="0"/>
    <cacheHierarchy uniqueName="[Table_1].[Sales]" caption="Sales" attribute="1" defaultMemberUniqueName="[Table_1].[Sales].[All]" allUniqueName="[Table_1].[Sales].[All]" dimensionUniqueName="[Table_1]" displayFolder="" count="0" memberValueDatatype="5" unbalanced="0"/>
    <cacheHierarchy uniqueName="[Table_1].[Order ID]" caption="Order ID" attribute="1" defaultMemberUniqueName="[Table_1].[Order ID].[All]" allUniqueName="[Table_1].[Order ID].[All]" dimensionUniqueName="[Table_1]" displayFolder="" count="0" memberValueDatatype="20" unbalanced="0"/>
    <cacheHierarchy uniqueName="[Table_1].[Total]" caption="Total" attribute="1" defaultMemberUniqueName="[Table_1].[Total].[All]" allUniqueName="[Table_1].[Total].[All]" dimensionUniqueName="[Table_1]" displayFolder="" count="0" memberValueDatatype="5" unbalanced="0"/>
    <cacheHierarchy uniqueName="[Table_1].[Manager]" caption="Manager" attribute="1" defaultMemberUniqueName="[Table_1].[Manager].[All]" allUniqueName="[Table_1].[Manager].[All]" dimensionUniqueName="[Table_1]" displayFolder="" count="0" memberValueDatatype="130" unbalanced="0"/>
    <cacheHierarchy uniqueName="[Table_1].[Dollar Discount]" caption="Dollar Discount" attribute="1" defaultMemberUniqueName="[Table_1].[Dollar Discount].[All]" allUniqueName="[Table_1].[Dollar Discount].[All]" dimensionUniqueName="[Table_1]" displayFolder="" count="0" memberValueDatatype="5" unbalanced="0"/>
    <cacheHierarchy uniqueName="[Table_1].[Gross Cost]" caption="Gross Cost" attribute="1" defaultMemberUniqueName="[Table_1].[Gross Cost].[All]" allUniqueName="[Table_1].[Gross Cost].[All]" dimensionUniqueName="[Table_1]" displayFolder="" count="0" memberValueDatatype="5" unbalanced="0"/>
    <cacheHierarchy uniqueName="[Table_1].[Gross Profit]" caption="Gross Profit" attribute="1" defaultMemberUniqueName="[Table_1].[Gross Profit].[All]" allUniqueName="[Table_1].[Gross Profit].[All]" dimensionUniqueName="[Table_1]" displayFolder="" count="0" memberValueDatatype="5" unbalanced="0"/>
    <cacheHierarchy uniqueName="[Table_1].[Cumulative cost]" caption="Cumulative cost" attribute="1" defaultMemberUniqueName="[Table_1].[Cumulative cost].[All]" allUniqueName="[Table_1].[Cumulative cost].[All]" dimensionUniqueName="[Table_1]" displayFolder="" count="0" memberValueDatatype="5" unbalanced="0"/>
    <cacheHierarchy uniqueName="[Table_1].[Order Date (Month)]" caption="Order Date (Month)" attribute="1" defaultMemberUniqueName="[Table_1].[Order Date (Month)].[All]" allUniqueName="[Table_1].[Order Date (Month)].[All]" dimensionUniqueName="[Table_1]" displayFolder="" count="0" memberValueDatatype="130" unbalanced="0"/>
    <cacheHierarchy uniqueName="[Table_1].[Order Date (Month Index)]" caption="Order Date (Month Index)" attribute="1" defaultMemberUniqueName="[Table_1].[Order Date (Month Index)].[All]" allUniqueName="[Table_1].[Order Date (Month Index)].[All]" dimensionUniqueName="[Table_1]" displayFolder="" count="0" memberValueDatatype="20" unbalanced="0" hidden="1"/>
    <cacheHierarchy uniqueName="[Measures].[Σ Discount]" caption="Σ Discount" measure="1" displayFolder="" measureGroup="Table_1" count="0"/>
    <cacheHierarchy uniqueName="[Measures].[Σ Profit]" caption="Σ Profit" measure="1" displayFolder="" measureGroup="Table_1" count="0"/>
    <cacheHierarchy uniqueName="[Measures].[Σ Shipping]" caption="Σ Shipping" measure="1" displayFolder="" measureGroup="Table_1" count="0"/>
    <cacheHierarchy uniqueName="[Measures].[Σ Costs]" caption="Σ Costs" measure="1" displayFolder="" measureGroup="Table_1" count="0"/>
    <cacheHierarchy uniqueName="[Measures].[__XL_Count Table_1]" caption="__XL_Count Table_1" measure="1" displayFolder="" measureGroup="Table_1" count="0" hidden="1"/>
    <cacheHierarchy uniqueName="[Measures].[__No measures defined]" caption="__No measures defined" measure="1" displayFolder="" count="0" hidden="1"/>
    <cacheHierarchy uniqueName="[Measures].[Sum of Sales]" caption="Sum of Sales" measure="1" displayFolder="" measureGroup="Table_1" count="0" oneField="1" hidden="1">
      <fieldsUsage count="1">
        <fieldUsage x="1"/>
      </fieldsUsage>
      <extLst>
        <ext xmlns:x15="http://schemas.microsoft.com/office/spreadsheetml/2010/11/main" uri="{B97F6D7D-B522-45F9-BDA1-12C45D357490}">
          <x15:cacheHierarchy aggregatedColumn="22"/>
        </ext>
      </extLst>
    </cacheHierarchy>
    <cacheHierarchy uniqueName="[Measures].[Sum of Quantity ordered new]" caption="Sum of Quantity ordered new" measure="1" displayFolder="" measureGroup="Table_1" count="0" oneField="1" hidden="1">
      <fieldsUsage count="1">
        <fieldUsage x="2"/>
      </fieldsUsage>
      <extLst>
        <ext xmlns:x15="http://schemas.microsoft.com/office/spreadsheetml/2010/11/main" uri="{B97F6D7D-B522-45F9-BDA1-12C45D357490}">
          <x15:cacheHierarchy aggregatedColumn="21"/>
        </ext>
      </extLst>
    </cacheHierarchy>
    <cacheHierarchy uniqueName="[Measures].[Sum of Profit]" caption="Sum of Profit" measure="1" displayFolder="" measureGroup="Table_1" count="0" hidden="1">
      <extLst>
        <ext xmlns:x15="http://schemas.microsoft.com/office/spreadsheetml/2010/11/main" uri="{B97F6D7D-B522-45F9-BDA1-12C45D357490}">
          <x15:cacheHierarchy aggregatedColumn="20"/>
        </ext>
      </extLst>
    </cacheHierarchy>
    <cacheHierarchy uniqueName="[Measures].[Count of Product Category]" caption="Count of Product Category" measure="1" displayFolder="" measureGroup="Table_1" count="0" hidden="1">
      <extLst>
        <ext xmlns:x15="http://schemas.microsoft.com/office/spreadsheetml/2010/11/main" uri="{B97F6D7D-B522-45F9-BDA1-12C45D357490}">
          <x15:cacheHierarchy aggregatedColumn="8"/>
        </ext>
      </extLst>
    </cacheHierarchy>
    <cacheHierarchy uniqueName="[Measures].[Sum of Discount]" caption="Sum of Discount" measure="1" displayFolder="" measureGroup="Table_1" count="0" hidden="1">
      <extLst>
        <ext xmlns:x15="http://schemas.microsoft.com/office/spreadsheetml/2010/11/main" uri="{B97F6D7D-B522-45F9-BDA1-12C45D357490}">
          <x15:cacheHierarchy aggregatedColumn="3"/>
        </ext>
      </extLst>
    </cacheHierarchy>
    <cacheHierarchy uniqueName="[Measures].[Sum of Shipping Cost]" caption="Sum of Shipping Cost" measure="1" displayFolder="" measureGroup="Table_1" count="0" hidden="1">
      <extLst>
        <ext xmlns:x15="http://schemas.microsoft.com/office/spreadsheetml/2010/11/main" uri="{B97F6D7D-B522-45F9-BDA1-12C45D357490}">
          <x15:cacheHierarchy aggregatedColumn="5"/>
        </ext>
      </extLst>
    </cacheHierarchy>
    <cacheHierarchy uniqueName="[Measures].[Sum of Dollar Discount]" caption="Sum of Dollar Discount" measure="1" displayFolder="" measureGroup="Table_1" count="0" hidden="1">
      <extLst>
        <ext xmlns:x15="http://schemas.microsoft.com/office/spreadsheetml/2010/11/main" uri="{B97F6D7D-B522-45F9-BDA1-12C45D357490}">
          <x15:cacheHierarchy aggregatedColumn="26"/>
        </ext>
      </extLst>
    </cacheHierarchy>
    <cacheHierarchy uniqueName="[Measures].[Sum of Cumulative cost]" caption="Sum of Cumulative cost" measure="1" displayFolder="" measureGroup="Table_1" count="0" hidden="1">
      <extLst>
        <ext xmlns:x15="http://schemas.microsoft.com/office/spreadsheetml/2010/11/main" uri="{B97F6D7D-B522-45F9-BDA1-12C45D357490}">
          <x15:cacheHierarchy aggregatedColumn="29"/>
        </ext>
      </extLst>
    </cacheHierarchy>
    <cacheHierarchy uniqueName="[Measures].[Sum of Postal Code]" caption="Sum of Postal Code" measure="1" displayFolder="" measureGroup="Table_1" count="0" hidden="1">
      <extLst>
        <ext xmlns:x15="http://schemas.microsoft.com/office/spreadsheetml/2010/11/main" uri="{B97F6D7D-B522-45F9-BDA1-12C45D357490}">
          <x15:cacheHierarchy aggregatedColumn="17"/>
        </ext>
      </extLst>
    </cacheHierarchy>
    <cacheHierarchy uniqueName="[Measures].[Sum of Order ID]" caption="Sum of Order ID" measure="1" displayFolder="" measureGroup="Table_1" count="0" hidden="1">
      <extLst>
        <ext xmlns:x15="http://schemas.microsoft.com/office/spreadsheetml/2010/11/main" uri="{B97F6D7D-B522-45F9-BDA1-12C45D357490}">
          <x15:cacheHierarchy aggregatedColumn="23"/>
        </ext>
      </extLst>
    </cacheHierarchy>
    <cacheHierarchy uniqueName="[Measures].[Distinct Count of Order ID]" caption="Distinct Count of Order ID" measure="1" displayFolder="" measureGroup="Table_1" count="0" hidden="1">
      <extLst>
        <ext xmlns:x15="http://schemas.microsoft.com/office/spreadsheetml/2010/11/main" uri="{B97F6D7D-B522-45F9-BDA1-12C45D357490}">
          <x15:cacheHierarchy aggregatedColumn="23"/>
        </ext>
      </extLst>
    </cacheHierarchy>
    <cacheHierarchy uniqueName="[Measures].[Count of Order Date]" caption="Count of Order Date" measure="1" displayFolder="" measureGroup="Table_1" count="0" hidden="1">
      <extLst>
        <ext xmlns:x15="http://schemas.microsoft.com/office/spreadsheetml/2010/11/main" uri="{B97F6D7D-B522-45F9-BDA1-12C45D357490}">
          <x15:cacheHierarchy aggregatedColumn="18"/>
        </ext>
      </extLst>
    </cacheHierarchy>
    <cacheHierarchy uniqueName="[Measures].[Max of Order Date]" caption="Max of Order Date" measure="1" displayFolder="" measureGroup="Table_1" count="0" hidden="1">
      <extLst>
        <ext xmlns:x15="http://schemas.microsoft.com/office/spreadsheetml/2010/11/main" uri="{B97F6D7D-B522-45F9-BDA1-12C45D357490}">
          <x15:cacheHierarchy aggregatedColumn="18"/>
        </ext>
      </extLst>
    </cacheHierarchy>
    <cacheHierarchy uniqueName="[Measures].[Count of Product Name]" caption="Count of Product Name" measure="1" displayFolder="" measureGroup="Table_1" count="0" hidden="1">
      <extLst>
        <ext xmlns:x15="http://schemas.microsoft.com/office/spreadsheetml/2010/11/main" uri="{B97F6D7D-B522-45F9-BDA1-12C45D357490}">
          <x15:cacheHierarchy aggregatedColumn="11"/>
        </ext>
      </extLst>
    </cacheHierarchy>
    <cacheHierarchy uniqueName="[Measures].[Distinct Count of Product Name]" caption="Distinct Count of Product Name" measure="1" displayFolder="" measureGroup="Table_1" count="0" hidden="1">
      <extLst>
        <ext xmlns:x15="http://schemas.microsoft.com/office/spreadsheetml/2010/11/main" uri="{B97F6D7D-B522-45F9-BDA1-12C45D357490}">
          <x15:cacheHierarchy aggregatedColumn="11"/>
        </ext>
      </extLst>
    </cacheHierarchy>
    <cacheHierarchy uniqueName="[Measures].[Count of Sales]" caption="Count of Sales" measure="1" displayFolder="" measureGroup="Table_1" count="0" hidden="1">
      <extLst>
        <ext xmlns:x15="http://schemas.microsoft.com/office/spreadsheetml/2010/11/main" uri="{B97F6D7D-B522-45F9-BDA1-12C45D357490}">
          <x15:cacheHierarchy aggregatedColumn="22"/>
        </ext>
      </extLst>
    </cacheHierarchy>
  </cacheHierarchies>
  <kpis count="0"/>
  <dimensions count="2">
    <dimension measure="1" name="Measures" uniqueName="[Measures]" caption="Measures"/>
    <dimension name="Table_1" uniqueName="[Table_1]" caption="Table_1"/>
  </dimensions>
  <measureGroups count="1">
    <measureGroup name="Table_1" caption="Table_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aurabh Lakhanpal" refreshedDate="45219.692603124997" backgroundQuery="1" createdVersion="8" refreshedVersion="8" minRefreshableVersion="3" recordCount="0" supportSubquery="1" supportAdvancedDrill="1" xr:uid="{ED1035D6-2414-47B8-97A7-EDD299087649}">
  <cacheSource type="external" connectionId="1"/>
  <cacheFields count="4">
    <cacheField name="[Table_1].[Product Name].[Product Name]" caption="Product Name" numFmtId="0" hierarchy="11" level="1">
      <sharedItems count="3">
        <s v="Fellowes PB500 Electric Punch Plastic Comb Binding Machine with Manual Bind"/>
        <s v="Global Troy™ Executive Leather Low-Back Tilter"/>
        <s v="Lexmark 4227 Plus Dot Matrix Printer"/>
      </sharedItems>
    </cacheField>
    <cacheField name="[Measures].[Sum of Sales]" caption="Sum of Sales" numFmtId="0" hierarchy="38" level="32767"/>
    <cacheField name="[Measures].[Sum of Quantity ordered new]" caption="Sum of Quantity ordered new" numFmtId="0" hierarchy="39" level="32767"/>
    <cacheField name="[Table_1].[Order Priority].[Order Priority]" caption="Order Priority" numFmtId="0" hierarchy="2" level="1">
      <sharedItems containsSemiMixedTypes="0" containsNonDate="0" containsString="0"/>
    </cacheField>
  </cacheFields>
  <cacheHierarchies count="53">
    <cacheHierarchy uniqueName="[Table_1].[Customer ID]" caption="Customer ID" attribute="1" defaultMemberUniqueName="[Table_1].[Customer ID].[All]" allUniqueName="[Table_1].[Customer ID].[All]" dimensionUniqueName="[Table_1]" displayFolder="" count="0" memberValueDatatype="20" unbalanced="0"/>
    <cacheHierarchy uniqueName="[Table_1].[Customer Name]" caption="Customer Name" attribute="1" defaultMemberUniqueName="[Table_1].[Customer Name].[All]" allUniqueName="[Table_1].[Customer Name].[All]" dimensionUniqueName="[Table_1]" displayFolder="" count="0" memberValueDatatype="130" unbalanced="0"/>
    <cacheHierarchy uniqueName="[Table_1].[Order Priority]" caption="Order Priority" attribute="1" defaultMemberUniqueName="[Table_1].[Order Priority].[All]" allUniqueName="[Table_1].[Order Priority].[All]" dimensionUniqueName="[Table_1]" displayFolder="" count="2" memberValueDatatype="130" unbalanced="0">
      <fieldsUsage count="2">
        <fieldUsage x="-1"/>
        <fieldUsage x="3"/>
      </fieldsUsage>
    </cacheHierarchy>
    <cacheHierarchy uniqueName="[Table_1].[Discount]" caption="Discount" attribute="1" defaultMemberUniqueName="[Table_1].[Discount].[All]" allUniqueName="[Table_1].[Discount].[All]" dimensionUniqueName="[Table_1]" displayFolder="" count="0" memberValueDatatype="5" unbalanced="0"/>
    <cacheHierarchy uniqueName="[Table_1].[Unit Price]" caption="Unit Price" attribute="1" defaultMemberUniqueName="[Table_1].[Unit Price].[All]" allUniqueName="[Table_1].[Unit Price].[All]" dimensionUniqueName="[Table_1]" displayFolder="" count="0" memberValueDatatype="5" unbalanced="0"/>
    <cacheHierarchy uniqueName="[Table_1].[Shipping Cost]" caption="Shipping Cost" attribute="1" defaultMemberUniqueName="[Table_1].[Shipping Cost].[All]" allUniqueName="[Table_1].[Shipping Cost].[All]" dimensionUniqueName="[Table_1]" displayFolder="" count="0" memberValueDatatype="5" unbalanced="0"/>
    <cacheHierarchy uniqueName="[Table_1].[Ship Mode]" caption="Ship Mode" attribute="1" defaultMemberUniqueName="[Table_1].[Ship Mode].[All]" allUniqueName="[Table_1].[Ship Mode].[All]" dimensionUniqueName="[Table_1]" displayFolder="" count="0" memberValueDatatype="130" unbalanced="0"/>
    <cacheHierarchy uniqueName="[Table_1].[Customer Segment]" caption="Customer Segment" attribute="1" defaultMemberUniqueName="[Table_1].[Customer Segment].[All]" allUniqueName="[Table_1].[Customer Segment].[All]" dimensionUniqueName="[Table_1]" displayFolder="" count="2" memberValueDatatype="130" unbalanced="0"/>
    <cacheHierarchy uniqueName="[Table_1].[Product Category]" caption="Product Category" attribute="1" defaultMemberUniqueName="[Table_1].[Product Category].[All]" allUniqueName="[Table_1].[Product Category].[All]" dimensionUniqueName="[Table_1]" displayFolder="" count="0" memberValueDatatype="130" unbalanced="0"/>
    <cacheHierarchy uniqueName="[Table_1].[Product Sub-Category]" caption="Product Sub-Category" attribute="1" defaultMemberUniqueName="[Table_1].[Product Sub-Category].[All]" allUniqueName="[Table_1].[Product Sub-Category].[All]" dimensionUniqueName="[Table_1]" displayFolder="" count="2" memberValueDatatype="130" unbalanced="0"/>
    <cacheHierarchy uniqueName="[Table_1].[Product Container]" caption="Product Container" attribute="1" defaultMemberUniqueName="[Table_1].[Product Container].[All]" allUniqueName="[Table_1].[Product Container].[All]" dimensionUniqueName="[Table_1]" displayFolder="" count="0" memberValueDatatype="130" unbalanced="0"/>
    <cacheHierarchy uniqueName="[Table_1].[Product Name]" caption="Product Name" attribute="1" defaultMemberUniqueName="[Table_1].[Product Name].[All]" allUniqueName="[Table_1].[Product Name].[All]" dimensionUniqueName="[Table_1]" displayFolder="" count="2" memberValueDatatype="130" unbalanced="0">
      <fieldsUsage count="2">
        <fieldUsage x="-1"/>
        <fieldUsage x="0"/>
      </fieldsUsage>
    </cacheHierarchy>
    <cacheHierarchy uniqueName="[Table_1].[Product Base Margin]" caption="Product Base Margin" attribute="1" defaultMemberUniqueName="[Table_1].[Product Base Margin].[All]" allUniqueName="[Table_1].[Product Base Margin].[All]" dimensionUniqueName="[Table_1]" displayFolder="" count="0" memberValueDatatype="5" unbalanced="0"/>
    <cacheHierarchy uniqueName="[Table_1].[Country]" caption="Country" attribute="1" defaultMemberUniqueName="[Table_1].[Country].[All]" allUniqueName="[Table_1].[Country].[All]" dimensionUniqueName="[Table_1]" displayFolder="" count="0" memberValueDatatype="130" unbalanced="0"/>
    <cacheHierarchy uniqueName="[Table_1].[Region]" caption="Region" attribute="1" defaultMemberUniqueName="[Table_1].[Region].[All]" allUniqueName="[Table_1].[Region].[All]" dimensionUniqueName="[Table_1]" displayFolder="" count="0" memberValueDatatype="130" unbalanced="0"/>
    <cacheHierarchy uniqueName="[Table_1].[State or Province]" caption="State or Province" attribute="1" defaultMemberUniqueName="[Table_1].[State or Province].[All]" allUniqueName="[Table_1].[State or Province].[All]" dimensionUniqueName="[Table_1]" displayFolder="" count="0" memberValueDatatype="130" unbalanced="0"/>
    <cacheHierarchy uniqueName="[Table_1].[City]" caption="City" attribute="1" defaultMemberUniqueName="[Table_1].[City].[All]" allUniqueName="[Table_1].[City].[All]" dimensionUniqueName="[Table_1]" displayFolder="" count="0" memberValueDatatype="130" unbalanced="0"/>
    <cacheHierarchy uniqueName="[Table_1].[Postal Code]" caption="Postal Code" attribute="1" defaultMemberUniqueName="[Table_1].[Postal Code].[All]" allUniqueName="[Table_1].[Postal Code].[All]" dimensionUniqueName="[Table_1]" displayFolder="" count="0" memberValueDatatype="20" unbalanced="0"/>
    <cacheHierarchy uniqueName="[Table_1].[Order Date]" caption="Order Date" attribute="1" time="1" defaultMemberUniqueName="[Table_1].[Order Date].[All]" allUniqueName="[Table_1].[Order Date].[All]" dimensionUniqueName="[Table_1]" displayFolder="" count="0" memberValueDatatype="7" unbalanced="0"/>
    <cacheHierarchy uniqueName="[Table_1].[Ship Date]" caption="Ship Date" attribute="1" time="1" defaultMemberUniqueName="[Table_1].[Ship Date].[All]" allUniqueName="[Table_1].[Ship Date].[All]" dimensionUniqueName="[Table_1]" displayFolder="" count="0" memberValueDatatype="7" unbalanced="0"/>
    <cacheHierarchy uniqueName="[Table_1].[Profit]" caption="Profit" attribute="1" defaultMemberUniqueName="[Table_1].[Profit].[All]" allUniqueName="[Table_1].[Profit].[All]" dimensionUniqueName="[Table_1]" displayFolder="" count="0" memberValueDatatype="5" unbalanced="0"/>
    <cacheHierarchy uniqueName="[Table_1].[Quantity ordered new]" caption="Quantity ordered new" attribute="1" defaultMemberUniqueName="[Table_1].[Quantity ordered new].[All]" allUniqueName="[Table_1].[Quantity ordered new].[All]" dimensionUniqueName="[Table_1]" displayFolder="" count="0" memberValueDatatype="20" unbalanced="0"/>
    <cacheHierarchy uniqueName="[Table_1].[Sales]" caption="Sales" attribute="1" defaultMemberUniqueName="[Table_1].[Sales].[All]" allUniqueName="[Table_1].[Sales].[All]" dimensionUniqueName="[Table_1]" displayFolder="" count="0" memberValueDatatype="5" unbalanced="0"/>
    <cacheHierarchy uniqueName="[Table_1].[Order ID]" caption="Order ID" attribute="1" defaultMemberUniqueName="[Table_1].[Order ID].[All]" allUniqueName="[Table_1].[Order ID].[All]" dimensionUniqueName="[Table_1]" displayFolder="" count="0" memberValueDatatype="20" unbalanced="0"/>
    <cacheHierarchy uniqueName="[Table_1].[Total]" caption="Total" attribute="1" defaultMemberUniqueName="[Table_1].[Total].[All]" allUniqueName="[Table_1].[Total].[All]" dimensionUniqueName="[Table_1]" displayFolder="" count="0" memberValueDatatype="5" unbalanced="0"/>
    <cacheHierarchy uniqueName="[Table_1].[Manager]" caption="Manager" attribute="1" defaultMemberUniqueName="[Table_1].[Manager].[All]" allUniqueName="[Table_1].[Manager].[All]" dimensionUniqueName="[Table_1]" displayFolder="" count="0" memberValueDatatype="130" unbalanced="0"/>
    <cacheHierarchy uniqueName="[Table_1].[Dollar Discount]" caption="Dollar Discount" attribute="1" defaultMemberUniqueName="[Table_1].[Dollar Discount].[All]" allUniqueName="[Table_1].[Dollar Discount].[All]" dimensionUniqueName="[Table_1]" displayFolder="" count="0" memberValueDatatype="5" unbalanced="0"/>
    <cacheHierarchy uniqueName="[Table_1].[Gross Cost]" caption="Gross Cost" attribute="1" defaultMemberUniqueName="[Table_1].[Gross Cost].[All]" allUniqueName="[Table_1].[Gross Cost].[All]" dimensionUniqueName="[Table_1]" displayFolder="" count="0" memberValueDatatype="5" unbalanced="0"/>
    <cacheHierarchy uniqueName="[Table_1].[Gross Profit]" caption="Gross Profit" attribute="1" defaultMemberUniqueName="[Table_1].[Gross Profit].[All]" allUniqueName="[Table_1].[Gross Profit].[All]" dimensionUniqueName="[Table_1]" displayFolder="" count="0" memberValueDatatype="5" unbalanced="0"/>
    <cacheHierarchy uniqueName="[Table_1].[Cumulative cost]" caption="Cumulative cost" attribute="1" defaultMemberUniqueName="[Table_1].[Cumulative cost].[All]" allUniqueName="[Table_1].[Cumulative cost].[All]" dimensionUniqueName="[Table_1]" displayFolder="" count="0" memberValueDatatype="5" unbalanced="0"/>
    <cacheHierarchy uniqueName="[Table_1].[Order Date (Month)]" caption="Order Date (Month)" attribute="1" defaultMemberUniqueName="[Table_1].[Order Date (Month)].[All]" allUniqueName="[Table_1].[Order Date (Month)].[All]" dimensionUniqueName="[Table_1]" displayFolder="" count="0" memberValueDatatype="130" unbalanced="0"/>
    <cacheHierarchy uniqueName="[Table_1].[Order Date (Month Index)]" caption="Order Date (Month Index)" attribute="1" defaultMemberUniqueName="[Table_1].[Order Date (Month Index)].[All]" allUniqueName="[Table_1].[Order Date (Month Index)].[All]" dimensionUniqueName="[Table_1]" displayFolder="" count="0" memberValueDatatype="20" unbalanced="0" hidden="1"/>
    <cacheHierarchy uniqueName="[Measures].[Σ Discount]" caption="Σ Discount" measure="1" displayFolder="" measureGroup="Table_1" count="0"/>
    <cacheHierarchy uniqueName="[Measures].[Σ Profit]" caption="Σ Profit" measure="1" displayFolder="" measureGroup="Table_1" count="0"/>
    <cacheHierarchy uniqueName="[Measures].[Σ Shipping]" caption="Σ Shipping" measure="1" displayFolder="" measureGroup="Table_1" count="0"/>
    <cacheHierarchy uniqueName="[Measures].[Σ Costs]" caption="Σ Costs" measure="1" displayFolder="" measureGroup="Table_1" count="0"/>
    <cacheHierarchy uniqueName="[Measures].[__XL_Count Table_1]" caption="__XL_Count Table_1" measure="1" displayFolder="" measureGroup="Table_1" count="0" hidden="1"/>
    <cacheHierarchy uniqueName="[Measures].[__No measures defined]" caption="__No measures defined" measure="1" displayFolder="" count="0" hidden="1"/>
    <cacheHierarchy uniqueName="[Measures].[Sum of Sales]" caption="Sum of Sales" measure="1" displayFolder="" measureGroup="Table_1" count="0" oneField="1" hidden="1">
      <fieldsUsage count="1">
        <fieldUsage x="1"/>
      </fieldsUsage>
      <extLst>
        <ext xmlns:x15="http://schemas.microsoft.com/office/spreadsheetml/2010/11/main" uri="{B97F6D7D-B522-45F9-BDA1-12C45D357490}">
          <x15:cacheHierarchy aggregatedColumn="22"/>
        </ext>
      </extLst>
    </cacheHierarchy>
    <cacheHierarchy uniqueName="[Measures].[Sum of Quantity ordered new]" caption="Sum of Quantity ordered new" measure="1" displayFolder="" measureGroup="Table_1" count="0" oneField="1" hidden="1">
      <fieldsUsage count="1">
        <fieldUsage x="2"/>
      </fieldsUsage>
      <extLst>
        <ext xmlns:x15="http://schemas.microsoft.com/office/spreadsheetml/2010/11/main" uri="{B97F6D7D-B522-45F9-BDA1-12C45D357490}">
          <x15:cacheHierarchy aggregatedColumn="21"/>
        </ext>
      </extLst>
    </cacheHierarchy>
    <cacheHierarchy uniqueName="[Measures].[Sum of Profit]" caption="Sum of Profit" measure="1" displayFolder="" measureGroup="Table_1" count="0" hidden="1">
      <extLst>
        <ext xmlns:x15="http://schemas.microsoft.com/office/spreadsheetml/2010/11/main" uri="{B97F6D7D-B522-45F9-BDA1-12C45D357490}">
          <x15:cacheHierarchy aggregatedColumn="20"/>
        </ext>
      </extLst>
    </cacheHierarchy>
    <cacheHierarchy uniqueName="[Measures].[Count of Product Category]" caption="Count of Product Category" measure="1" displayFolder="" measureGroup="Table_1" count="0" hidden="1">
      <extLst>
        <ext xmlns:x15="http://schemas.microsoft.com/office/spreadsheetml/2010/11/main" uri="{B97F6D7D-B522-45F9-BDA1-12C45D357490}">
          <x15:cacheHierarchy aggregatedColumn="8"/>
        </ext>
      </extLst>
    </cacheHierarchy>
    <cacheHierarchy uniqueName="[Measures].[Sum of Discount]" caption="Sum of Discount" measure="1" displayFolder="" measureGroup="Table_1" count="0" hidden="1">
      <extLst>
        <ext xmlns:x15="http://schemas.microsoft.com/office/spreadsheetml/2010/11/main" uri="{B97F6D7D-B522-45F9-BDA1-12C45D357490}">
          <x15:cacheHierarchy aggregatedColumn="3"/>
        </ext>
      </extLst>
    </cacheHierarchy>
    <cacheHierarchy uniqueName="[Measures].[Sum of Shipping Cost]" caption="Sum of Shipping Cost" measure="1" displayFolder="" measureGroup="Table_1" count="0" hidden="1">
      <extLst>
        <ext xmlns:x15="http://schemas.microsoft.com/office/spreadsheetml/2010/11/main" uri="{B97F6D7D-B522-45F9-BDA1-12C45D357490}">
          <x15:cacheHierarchy aggregatedColumn="5"/>
        </ext>
      </extLst>
    </cacheHierarchy>
    <cacheHierarchy uniqueName="[Measures].[Sum of Dollar Discount]" caption="Sum of Dollar Discount" measure="1" displayFolder="" measureGroup="Table_1" count="0" hidden="1">
      <extLst>
        <ext xmlns:x15="http://schemas.microsoft.com/office/spreadsheetml/2010/11/main" uri="{B97F6D7D-B522-45F9-BDA1-12C45D357490}">
          <x15:cacheHierarchy aggregatedColumn="26"/>
        </ext>
      </extLst>
    </cacheHierarchy>
    <cacheHierarchy uniqueName="[Measures].[Sum of Cumulative cost]" caption="Sum of Cumulative cost" measure="1" displayFolder="" measureGroup="Table_1" count="0" hidden="1">
      <extLst>
        <ext xmlns:x15="http://schemas.microsoft.com/office/spreadsheetml/2010/11/main" uri="{B97F6D7D-B522-45F9-BDA1-12C45D357490}">
          <x15:cacheHierarchy aggregatedColumn="29"/>
        </ext>
      </extLst>
    </cacheHierarchy>
    <cacheHierarchy uniqueName="[Measures].[Sum of Postal Code]" caption="Sum of Postal Code" measure="1" displayFolder="" measureGroup="Table_1" count="0" hidden="1">
      <extLst>
        <ext xmlns:x15="http://schemas.microsoft.com/office/spreadsheetml/2010/11/main" uri="{B97F6D7D-B522-45F9-BDA1-12C45D357490}">
          <x15:cacheHierarchy aggregatedColumn="17"/>
        </ext>
      </extLst>
    </cacheHierarchy>
    <cacheHierarchy uniqueName="[Measures].[Sum of Order ID]" caption="Sum of Order ID" measure="1" displayFolder="" measureGroup="Table_1" count="0" hidden="1">
      <extLst>
        <ext xmlns:x15="http://schemas.microsoft.com/office/spreadsheetml/2010/11/main" uri="{B97F6D7D-B522-45F9-BDA1-12C45D357490}">
          <x15:cacheHierarchy aggregatedColumn="23"/>
        </ext>
      </extLst>
    </cacheHierarchy>
    <cacheHierarchy uniqueName="[Measures].[Distinct Count of Order ID]" caption="Distinct Count of Order ID" measure="1" displayFolder="" measureGroup="Table_1" count="0" hidden="1">
      <extLst>
        <ext xmlns:x15="http://schemas.microsoft.com/office/spreadsheetml/2010/11/main" uri="{B97F6D7D-B522-45F9-BDA1-12C45D357490}">
          <x15:cacheHierarchy aggregatedColumn="23"/>
        </ext>
      </extLst>
    </cacheHierarchy>
    <cacheHierarchy uniqueName="[Measures].[Count of Order Date]" caption="Count of Order Date" measure="1" displayFolder="" measureGroup="Table_1" count="0" hidden="1">
      <extLst>
        <ext xmlns:x15="http://schemas.microsoft.com/office/spreadsheetml/2010/11/main" uri="{B97F6D7D-B522-45F9-BDA1-12C45D357490}">
          <x15:cacheHierarchy aggregatedColumn="18"/>
        </ext>
      </extLst>
    </cacheHierarchy>
    <cacheHierarchy uniqueName="[Measures].[Max of Order Date]" caption="Max of Order Date" measure="1" displayFolder="" measureGroup="Table_1" count="0" hidden="1">
      <extLst>
        <ext xmlns:x15="http://schemas.microsoft.com/office/spreadsheetml/2010/11/main" uri="{B97F6D7D-B522-45F9-BDA1-12C45D357490}">
          <x15:cacheHierarchy aggregatedColumn="18"/>
        </ext>
      </extLst>
    </cacheHierarchy>
    <cacheHierarchy uniqueName="[Measures].[Count of Product Name]" caption="Count of Product Name" measure="1" displayFolder="" measureGroup="Table_1" count="0" hidden="1">
      <extLst>
        <ext xmlns:x15="http://schemas.microsoft.com/office/spreadsheetml/2010/11/main" uri="{B97F6D7D-B522-45F9-BDA1-12C45D357490}">
          <x15:cacheHierarchy aggregatedColumn="11"/>
        </ext>
      </extLst>
    </cacheHierarchy>
    <cacheHierarchy uniqueName="[Measures].[Distinct Count of Product Name]" caption="Distinct Count of Product Name" measure="1" displayFolder="" measureGroup="Table_1" count="0" hidden="1">
      <extLst>
        <ext xmlns:x15="http://schemas.microsoft.com/office/spreadsheetml/2010/11/main" uri="{B97F6D7D-B522-45F9-BDA1-12C45D357490}">
          <x15:cacheHierarchy aggregatedColumn="11"/>
        </ext>
      </extLst>
    </cacheHierarchy>
  </cacheHierarchies>
  <kpis count="0"/>
  <dimensions count="2">
    <dimension measure="1" name="Measures" uniqueName="[Measures]" caption="Measures"/>
    <dimension name="Table_1" uniqueName="[Table_1]" caption="Table_1"/>
  </dimensions>
  <measureGroups count="1">
    <measureGroup name="Table_1" caption="Table_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aurabh Lakhanpal" refreshedDate="45219.694764467589" backgroundQuery="1" createdVersion="8" refreshedVersion="8" minRefreshableVersion="3" recordCount="0" supportSubquery="1" supportAdvancedDrill="1" xr:uid="{44FAA082-A0B3-4AE3-8E0E-311B32186386}">
  <cacheSource type="external" connectionId="1"/>
  <cacheFields count="6">
    <cacheField name="[Table_1].[State or Province].[State or Province]" caption="State or Province" numFmtId="0" hierarchy="15" level="1">
      <sharedItems count="49">
        <s v="Alabama"/>
        <s v="Arizona"/>
        <s v="Arkansas"/>
        <s v="California"/>
        <s v="Colorado"/>
        <s v="Connecticut"/>
        <s v="Delaware"/>
        <s v="District of Columbia"/>
        <s v="Florida"/>
        <s v="Georgia"/>
        <s v="Idaho"/>
        <s v="Illinois"/>
        <s v="Indiana"/>
        <s v="Iowa"/>
        <s v="Kansas"/>
        <s v="Kentucky"/>
        <s v="Louisiana"/>
        <s v="Maine"/>
        <s v="Maryland"/>
        <s v="Massachusetts"/>
        <s v="Michigan"/>
        <s v="Minnesota"/>
        <s v="Mississippi"/>
        <s v="Missouri"/>
        <s v="Montana"/>
        <s v="Nebraska"/>
        <s v="Nevada"/>
        <s v="New Hampshire"/>
        <s v="New Jersey"/>
        <s v="New Mexico"/>
        <s v="New York"/>
        <s v="North Carolina"/>
        <s v="North Dakota"/>
        <s v="Ohio"/>
        <s v="Oklahoma"/>
        <s v="Oregon"/>
        <s v="Pennsylvania"/>
        <s v="Rhode Island"/>
        <s v="South Carolina"/>
        <s v="South Dakota"/>
        <s v="Tennessee"/>
        <s v="Texas"/>
        <s v="Utah"/>
        <s v="Vermont"/>
        <s v="Virginia"/>
        <s v="Washington"/>
        <s v="West Virginia"/>
        <s v="Wisconsin"/>
        <s v="Wyoming"/>
      </sharedItems>
    </cacheField>
    <cacheField name="[Measures].[Sum of Sales]" caption="Sum of Sales" numFmtId="0" hierarchy="38" level="32767"/>
    <cacheField name="[Measures].[Sum of Cumulative cost]" caption="Sum of Cumulative cost" numFmtId="0" hierarchy="45" level="32767"/>
    <cacheField name="[Measures].[Sum of Shipping Cost]" caption="Sum of Shipping Cost" numFmtId="0" hierarchy="43" level="32767"/>
    <cacheField name="[Measures].[Sum of Profit]" caption="Sum of Profit" numFmtId="0" hierarchy="40" level="32767"/>
    <cacheField name="[Table_1].[Product Category].[Product Category]" caption="Product Category" numFmtId="0" hierarchy="8" level="1">
      <sharedItems containsSemiMixedTypes="0" containsNonDate="0" containsString="0"/>
    </cacheField>
  </cacheFields>
  <cacheHierarchies count="53">
    <cacheHierarchy uniqueName="[Table_1].[Customer ID]" caption="Customer ID" attribute="1" defaultMemberUniqueName="[Table_1].[Customer ID].[All]" allUniqueName="[Table_1].[Customer ID].[All]" dimensionUniqueName="[Table_1]" displayFolder="" count="0" memberValueDatatype="20" unbalanced="0"/>
    <cacheHierarchy uniqueName="[Table_1].[Customer Name]" caption="Customer Name" attribute="1" defaultMemberUniqueName="[Table_1].[Customer Name].[All]" allUniqueName="[Table_1].[Customer Name].[All]" dimensionUniqueName="[Table_1]" displayFolder="" count="0" memberValueDatatype="130" unbalanced="0"/>
    <cacheHierarchy uniqueName="[Table_1].[Order Priority]" caption="Order Priority" attribute="1" defaultMemberUniqueName="[Table_1].[Order Priority].[All]" allUniqueName="[Table_1].[Order Priority].[All]" dimensionUniqueName="[Table_1]" displayFolder="" count="0" memberValueDatatype="130" unbalanced="0"/>
    <cacheHierarchy uniqueName="[Table_1].[Discount]" caption="Discount" attribute="1" defaultMemberUniqueName="[Table_1].[Discount].[All]" allUniqueName="[Table_1].[Discount].[All]" dimensionUniqueName="[Table_1]" displayFolder="" count="0" memberValueDatatype="5" unbalanced="0"/>
    <cacheHierarchy uniqueName="[Table_1].[Unit Price]" caption="Unit Price" attribute="1" defaultMemberUniqueName="[Table_1].[Unit Price].[All]" allUniqueName="[Table_1].[Unit Price].[All]" dimensionUniqueName="[Table_1]" displayFolder="" count="0" memberValueDatatype="5" unbalanced="0"/>
    <cacheHierarchy uniqueName="[Table_1].[Shipping Cost]" caption="Shipping Cost" attribute="1" defaultMemberUniqueName="[Table_1].[Shipping Cost].[All]" allUniqueName="[Table_1].[Shipping Cost].[All]" dimensionUniqueName="[Table_1]" displayFolder="" count="0" memberValueDatatype="5" unbalanced="0"/>
    <cacheHierarchy uniqueName="[Table_1].[Ship Mode]" caption="Ship Mode" attribute="1" defaultMemberUniqueName="[Table_1].[Ship Mode].[All]" allUniqueName="[Table_1].[Ship Mode].[All]" dimensionUniqueName="[Table_1]" displayFolder="" count="0" memberValueDatatype="130" unbalanced="0"/>
    <cacheHierarchy uniqueName="[Table_1].[Customer Segment]" caption="Customer Segment" attribute="1" defaultMemberUniqueName="[Table_1].[Customer Segment].[All]" allUniqueName="[Table_1].[Customer Segment].[All]" dimensionUniqueName="[Table_1]" displayFolder="" count="0" memberValueDatatype="130" unbalanced="0"/>
    <cacheHierarchy uniqueName="[Table_1].[Product Category]" caption="Product Category" attribute="1" defaultMemberUniqueName="[Table_1].[Product Category].[All]" allUniqueName="[Table_1].[Product Category].[All]" dimensionUniqueName="[Table_1]" displayFolder="" count="2" memberValueDatatype="130" unbalanced="0">
      <fieldsUsage count="2">
        <fieldUsage x="-1"/>
        <fieldUsage x="5"/>
      </fieldsUsage>
    </cacheHierarchy>
    <cacheHierarchy uniqueName="[Table_1].[Product Sub-Category]" caption="Product Sub-Category" attribute="1" defaultMemberUniqueName="[Table_1].[Product Sub-Category].[All]" allUniqueName="[Table_1].[Product Sub-Category].[All]" dimensionUniqueName="[Table_1]" displayFolder="" count="0" memberValueDatatype="130" unbalanced="0"/>
    <cacheHierarchy uniqueName="[Table_1].[Product Container]" caption="Product Container" attribute="1" defaultMemberUniqueName="[Table_1].[Product Container].[All]" allUniqueName="[Table_1].[Product Container].[All]" dimensionUniqueName="[Table_1]" displayFolder="" count="0" memberValueDatatype="130" unbalanced="0"/>
    <cacheHierarchy uniqueName="[Table_1].[Product Name]" caption="Product Name" attribute="1" defaultMemberUniqueName="[Table_1].[Product Name].[All]" allUniqueName="[Table_1].[Product Name].[All]" dimensionUniqueName="[Table_1]" displayFolder="" count="0" memberValueDatatype="130" unbalanced="0"/>
    <cacheHierarchy uniqueName="[Table_1].[Product Base Margin]" caption="Product Base Margin" attribute="1" defaultMemberUniqueName="[Table_1].[Product Base Margin].[All]" allUniqueName="[Table_1].[Product Base Margin].[All]" dimensionUniqueName="[Table_1]" displayFolder="" count="0" memberValueDatatype="5" unbalanced="0"/>
    <cacheHierarchy uniqueName="[Table_1].[Country]" caption="Country" attribute="1" defaultMemberUniqueName="[Table_1].[Country].[All]" allUniqueName="[Table_1].[Country].[All]" dimensionUniqueName="[Table_1]" displayFolder="" count="0" memberValueDatatype="130" unbalanced="0"/>
    <cacheHierarchy uniqueName="[Table_1].[Region]" caption="Region" attribute="1" defaultMemberUniqueName="[Table_1].[Region].[All]" allUniqueName="[Table_1].[Region].[All]" dimensionUniqueName="[Table_1]" displayFolder="" count="0" memberValueDatatype="130" unbalanced="0"/>
    <cacheHierarchy uniqueName="[Table_1].[State or Province]" caption="State or Province" attribute="1" defaultMemberUniqueName="[Table_1].[State or Province].[All]" allUniqueName="[Table_1].[State or Province].[All]" dimensionUniqueName="[Table_1]" displayFolder="" count="2" memberValueDatatype="130" unbalanced="0">
      <fieldsUsage count="2">
        <fieldUsage x="-1"/>
        <fieldUsage x="0"/>
      </fieldsUsage>
    </cacheHierarchy>
    <cacheHierarchy uniqueName="[Table_1].[City]" caption="City" attribute="1" defaultMemberUniqueName="[Table_1].[City].[All]" allUniqueName="[Table_1].[City].[All]" dimensionUniqueName="[Table_1]" displayFolder="" count="0" memberValueDatatype="130" unbalanced="0"/>
    <cacheHierarchy uniqueName="[Table_1].[Postal Code]" caption="Postal Code" attribute="1" defaultMemberUniqueName="[Table_1].[Postal Code].[All]" allUniqueName="[Table_1].[Postal Code].[All]" dimensionUniqueName="[Table_1]" displayFolder="" count="0" memberValueDatatype="20" unbalanced="0"/>
    <cacheHierarchy uniqueName="[Table_1].[Order Date]" caption="Order Date" attribute="1" time="1" defaultMemberUniqueName="[Table_1].[Order Date].[All]" allUniqueName="[Table_1].[Order Date].[All]" dimensionUniqueName="[Table_1]" displayFolder="" count="0" memberValueDatatype="7" unbalanced="0"/>
    <cacheHierarchy uniqueName="[Table_1].[Ship Date]" caption="Ship Date" attribute="1" time="1" defaultMemberUniqueName="[Table_1].[Ship Date].[All]" allUniqueName="[Table_1].[Ship Date].[All]" dimensionUniqueName="[Table_1]" displayFolder="" count="0" memberValueDatatype="7" unbalanced="0"/>
    <cacheHierarchy uniqueName="[Table_1].[Profit]" caption="Profit" attribute="1" defaultMemberUniqueName="[Table_1].[Profit].[All]" allUniqueName="[Table_1].[Profit].[All]" dimensionUniqueName="[Table_1]" displayFolder="" count="0" memberValueDatatype="5" unbalanced="0"/>
    <cacheHierarchy uniqueName="[Table_1].[Quantity ordered new]" caption="Quantity ordered new" attribute="1" defaultMemberUniqueName="[Table_1].[Quantity ordered new].[All]" allUniqueName="[Table_1].[Quantity ordered new].[All]" dimensionUniqueName="[Table_1]" displayFolder="" count="0" memberValueDatatype="20" unbalanced="0"/>
    <cacheHierarchy uniqueName="[Table_1].[Sales]" caption="Sales" attribute="1" defaultMemberUniqueName="[Table_1].[Sales].[All]" allUniqueName="[Table_1].[Sales].[All]" dimensionUniqueName="[Table_1]" displayFolder="" count="0" memberValueDatatype="5" unbalanced="0"/>
    <cacheHierarchy uniqueName="[Table_1].[Order ID]" caption="Order ID" attribute="1" defaultMemberUniqueName="[Table_1].[Order ID].[All]" allUniqueName="[Table_1].[Order ID].[All]" dimensionUniqueName="[Table_1]" displayFolder="" count="0" memberValueDatatype="20" unbalanced="0"/>
    <cacheHierarchy uniqueName="[Table_1].[Total]" caption="Total" attribute="1" defaultMemberUniqueName="[Table_1].[Total].[All]" allUniqueName="[Table_1].[Total].[All]" dimensionUniqueName="[Table_1]" displayFolder="" count="0" memberValueDatatype="5" unbalanced="0"/>
    <cacheHierarchy uniqueName="[Table_1].[Manager]" caption="Manager" attribute="1" defaultMemberUniqueName="[Table_1].[Manager].[All]" allUniqueName="[Table_1].[Manager].[All]" dimensionUniqueName="[Table_1]" displayFolder="" count="0" memberValueDatatype="130" unbalanced="0"/>
    <cacheHierarchy uniqueName="[Table_1].[Dollar Discount]" caption="Dollar Discount" attribute="1" defaultMemberUniqueName="[Table_1].[Dollar Discount].[All]" allUniqueName="[Table_1].[Dollar Discount].[All]" dimensionUniqueName="[Table_1]" displayFolder="" count="0" memberValueDatatype="5" unbalanced="0"/>
    <cacheHierarchy uniqueName="[Table_1].[Gross Cost]" caption="Gross Cost" attribute="1" defaultMemberUniqueName="[Table_1].[Gross Cost].[All]" allUniqueName="[Table_1].[Gross Cost].[All]" dimensionUniqueName="[Table_1]" displayFolder="" count="0" memberValueDatatype="5" unbalanced="0"/>
    <cacheHierarchy uniqueName="[Table_1].[Gross Profit]" caption="Gross Profit" attribute="1" defaultMemberUniqueName="[Table_1].[Gross Profit].[All]" allUniqueName="[Table_1].[Gross Profit].[All]" dimensionUniqueName="[Table_1]" displayFolder="" count="0" memberValueDatatype="5" unbalanced="0"/>
    <cacheHierarchy uniqueName="[Table_1].[Cumulative cost]" caption="Cumulative cost" attribute="1" defaultMemberUniqueName="[Table_1].[Cumulative cost].[All]" allUniqueName="[Table_1].[Cumulative cost].[All]" dimensionUniqueName="[Table_1]" displayFolder="" count="0" memberValueDatatype="5" unbalanced="0"/>
    <cacheHierarchy uniqueName="[Table_1].[Order Date (Month)]" caption="Order Date (Month)" attribute="1" defaultMemberUniqueName="[Table_1].[Order Date (Month)].[All]" allUniqueName="[Table_1].[Order Date (Month)].[All]" dimensionUniqueName="[Table_1]" displayFolder="" count="0" memberValueDatatype="130" unbalanced="0"/>
    <cacheHierarchy uniqueName="[Table_1].[Order Date (Month Index)]" caption="Order Date (Month Index)" attribute="1" defaultMemberUniqueName="[Table_1].[Order Date (Month Index)].[All]" allUniqueName="[Table_1].[Order Date (Month Index)].[All]" dimensionUniqueName="[Table_1]" displayFolder="" count="0" memberValueDatatype="20" unbalanced="0" hidden="1"/>
    <cacheHierarchy uniqueName="[Measures].[Σ Discount]" caption="Σ Discount" measure="1" displayFolder="" measureGroup="Table_1" count="0"/>
    <cacheHierarchy uniqueName="[Measures].[Σ Profit]" caption="Σ Profit" measure="1" displayFolder="" measureGroup="Table_1" count="0"/>
    <cacheHierarchy uniqueName="[Measures].[Σ Shipping]" caption="Σ Shipping" measure="1" displayFolder="" measureGroup="Table_1" count="0"/>
    <cacheHierarchy uniqueName="[Measures].[Σ Costs]" caption="Σ Costs" measure="1" displayFolder="" measureGroup="Table_1" count="0"/>
    <cacheHierarchy uniqueName="[Measures].[__XL_Count Table_1]" caption="__XL_Count Table_1" measure="1" displayFolder="" measureGroup="Table_1" count="0" hidden="1"/>
    <cacheHierarchy uniqueName="[Measures].[__No measures defined]" caption="__No measures defined" measure="1" displayFolder="" count="0" hidden="1"/>
    <cacheHierarchy uniqueName="[Measures].[Sum of Sales]" caption="Sum of Sales" measure="1" displayFolder="" measureGroup="Table_1" count="0" oneField="1" hidden="1">
      <fieldsUsage count="1">
        <fieldUsage x="1"/>
      </fieldsUsage>
      <extLst>
        <ext xmlns:x15="http://schemas.microsoft.com/office/spreadsheetml/2010/11/main" uri="{B97F6D7D-B522-45F9-BDA1-12C45D357490}">
          <x15:cacheHierarchy aggregatedColumn="22"/>
        </ext>
      </extLst>
    </cacheHierarchy>
    <cacheHierarchy uniqueName="[Measures].[Sum of Quantity ordered new]" caption="Sum of Quantity ordered new" measure="1" displayFolder="" measureGroup="Table_1" count="0" hidden="1">
      <extLst>
        <ext xmlns:x15="http://schemas.microsoft.com/office/spreadsheetml/2010/11/main" uri="{B97F6D7D-B522-45F9-BDA1-12C45D357490}">
          <x15:cacheHierarchy aggregatedColumn="21"/>
        </ext>
      </extLst>
    </cacheHierarchy>
    <cacheHierarchy uniqueName="[Measures].[Sum of Profit]" caption="Sum of Profit" measure="1" displayFolder="" measureGroup="Table_1" count="0" oneField="1" hidden="1">
      <fieldsUsage count="1">
        <fieldUsage x="4"/>
      </fieldsUsage>
      <extLst>
        <ext xmlns:x15="http://schemas.microsoft.com/office/spreadsheetml/2010/11/main" uri="{B97F6D7D-B522-45F9-BDA1-12C45D357490}">
          <x15:cacheHierarchy aggregatedColumn="20"/>
        </ext>
      </extLst>
    </cacheHierarchy>
    <cacheHierarchy uniqueName="[Measures].[Count of Product Category]" caption="Count of Product Category" measure="1" displayFolder="" measureGroup="Table_1" count="0" hidden="1">
      <extLst>
        <ext xmlns:x15="http://schemas.microsoft.com/office/spreadsheetml/2010/11/main" uri="{B97F6D7D-B522-45F9-BDA1-12C45D357490}">
          <x15:cacheHierarchy aggregatedColumn="8"/>
        </ext>
      </extLst>
    </cacheHierarchy>
    <cacheHierarchy uniqueName="[Measures].[Sum of Discount]" caption="Sum of Discount" measure="1" displayFolder="" measureGroup="Table_1" count="0" hidden="1">
      <extLst>
        <ext xmlns:x15="http://schemas.microsoft.com/office/spreadsheetml/2010/11/main" uri="{B97F6D7D-B522-45F9-BDA1-12C45D357490}">
          <x15:cacheHierarchy aggregatedColumn="3"/>
        </ext>
      </extLst>
    </cacheHierarchy>
    <cacheHierarchy uniqueName="[Measures].[Sum of Shipping Cost]" caption="Sum of Shipping Cost" measure="1" displayFolder="" measureGroup="Table_1" count="0" oneField="1" hidden="1">
      <fieldsUsage count="1">
        <fieldUsage x="3"/>
      </fieldsUsage>
      <extLst>
        <ext xmlns:x15="http://schemas.microsoft.com/office/spreadsheetml/2010/11/main" uri="{B97F6D7D-B522-45F9-BDA1-12C45D357490}">
          <x15:cacheHierarchy aggregatedColumn="5"/>
        </ext>
      </extLst>
    </cacheHierarchy>
    <cacheHierarchy uniqueName="[Measures].[Sum of Dollar Discount]" caption="Sum of Dollar Discount" measure="1" displayFolder="" measureGroup="Table_1" count="0" hidden="1">
      <extLst>
        <ext xmlns:x15="http://schemas.microsoft.com/office/spreadsheetml/2010/11/main" uri="{B97F6D7D-B522-45F9-BDA1-12C45D357490}">
          <x15:cacheHierarchy aggregatedColumn="26"/>
        </ext>
      </extLst>
    </cacheHierarchy>
    <cacheHierarchy uniqueName="[Measures].[Sum of Cumulative cost]" caption="Sum of Cumulative cost" measure="1" displayFolder="" measureGroup="Table_1" count="0" oneField="1" hidden="1">
      <fieldsUsage count="1">
        <fieldUsage x="2"/>
      </fieldsUsage>
      <extLst>
        <ext xmlns:x15="http://schemas.microsoft.com/office/spreadsheetml/2010/11/main" uri="{B97F6D7D-B522-45F9-BDA1-12C45D357490}">
          <x15:cacheHierarchy aggregatedColumn="29"/>
        </ext>
      </extLst>
    </cacheHierarchy>
    <cacheHierarchy uniqueName="[Measures].[Sum of Postal Code]" caption="Sum of Postal Code" measure="1" displayFolder="" measureGroup="Table_1" count="0" hidden="1">
      <extLst>
        <ext xmlns:x15="http://schemas.microsoft.com/office/spreadsheetml/2010/11/main" uri="{B97F6D7D-B522-45F9-BDA1-12C45D357490}">
          <x15:cacheHierarchy aggregatedColumn="17"/>
        </ext>
      </extLst>
    </cacheHierarchy>
    <cacheHierarchy uniqueName="[Measures].[Sum of Order ID]" caption="Sum of Order ID" measure="1" displayFolder="" measureGroup="Table_1" count="0" hidden="1">
      <extLst>
        <ext xmlns:x15="http://schemas.microsoft.com/office/spreadsheetml/2010/11/main" uri="{B97F6D7D-B522-45F9-BDA1-12C45D357490}">
          <x15:cacheHierarchy aggregatedColumn="23"/>
        </ext>
      </extLst>
    </cacheHierarchy>
    <cacheHierarchy uniqueName="[Measures].[Distinct Count of Order ID]" caption="Distinct Count of Order ID" measure="1" displayFolder="" measureGroup="Table_1" count="0" hidden="1">
      <extLst>
        <ext xmlns:x15="http://schemas.microsoft.com/office/spreadsheetml/2010/11/main" uri="{B97F6D7D-B522-45F9-BDA1-12C45D357490}">
          <x15:cacheHierarchy aggregatedColumn="23"/>
        </ext>
      </extLst>
    </cacheHierarchy>
    <cacheHierarchy uniqueName="[Measures].[Count of Order Date]" caption="Count of Order Date" measure="1" displayFolder="" measureGroup="Table_1" count="0" hidden="1">
      <extLst>
        <ext xmlns:x15="http://schemas.microsoft.com/office/spreadsheetml/2010/11/main" uri="{B97F6D7D-B522-45F9-BDA1-12C45D357490}">
          <x15:cacheHierarchy aggregatedColumn="18"/>
        </ext>
      </extLst>
    </cacheHierarchy>
    <cacheHierarchy uniqueName="[Measures].[Max of Order Date]" caption="Max of Order Date" measure="1" displayFolder="" measureGroup="Table_1" count="0" hidden="1">
      <extLst>
        <ext xmlns:x15="http://schemas.microsoft.com/office/spreadsheetml/2010/11/main" uri="{B97F6D7D-B522-45F9-BDA1-12C45D357490}">
          <x15:cacheHierarchy aggregatedColumn="18"/>
        </ext>
      </extLst>
    </cacheHierarchy>
    <cacheHierarchy uniqueName="[Measures].[Count of Product Name]" caption="Count of Product Name" measure="1" displayFolder="" measureGroup="Table_1" count="0" hidden="1">
      <extLst>
        <ext xmlns:x15="http://schemas.microsoft.com/office/spreadsheetml/2010/11/main" uri="{B97F6D7D-B522-45F9-BDA1-12C45D357490}">
          <x15:cacheHierarchy aggregatedColumn="11"/>
        </ext>
      </extLst>
    </cacheHierarchy>
    <cacheHierarchy uniqueName="[Measures].[Distinct Count of Product Name]" caption="Distinct Count of Product Name" measure="1" displayFolder="" measureGroup="Table_1" count="0" hidden="1">
      <extLst>
        <ext xmlns:x15="http://schemas.microsoft.com/office/spreadsheetml/2010/11/main" uri="{B97F6D7D-B522-45F9-BDA1-12C45D357490}">
          <x15:cacheHierarchy aggregatedColumn="11"/>
        </ext>
      </extLst>
    </cacheHierarchy>
  </cacheHierarchies>
  <kpis count="0"/>
  <dimensions count="2">
    <dimension measure="1" name="Measures" uniqueName="[Measures]" caption="Measures"/>
    <dimension name="Table_1" uniqueName="[Table_1]" caption="Table_1"/>
  </dimensions>
  <measureGroups count="1">
    <measureGroup name="Table_1" caption="Table_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aurabh Lakhanpal" refreshedDate="45219.694764814813" backgroundQuery="1" createdVersion="8" refreshedVersion="8" minRefreshableVersion="3" recordCount="0" supportSubquery="1" supportAdvancedDrill="1" xr:uid="{E897EDF8-9571-46EC-BA5A-BD7CC27F79D0}">
  <cacheSource type="external" connectionId="1"/>
  <cacheFields count="3">
    <cacheField name="[Measures].[Sum of Sales]" caption="Sum of Sales" numFmtId="0" hierarchy="38" level="32767"/>
    <cacheField name="[Measures].[Sum of Profit]" caption="Sum of Profit" numFmtId="0" hierarchy="40" level="32767"/>
    <cacheField name="[Table_1].[Product Category].[Product Category]" caption="Product Category" numFmtId="0" hierarchy="8" level="1">
      <sharedItems containsSemiMixedTypes="0" containsNonDate="0" containsString="0"/>
    </cacheField>
  </cacheFields>
  <cacheHierarchies count="53">
    <cacheHierarchy uniqueName="[Table_1].[Customer ID]" caption="Customer ID" attribute="1" defaultMemberUniqueName="[Table_1].[Customer ID].[All]" allUniqueName="[Table_1].[Customer ID].[All]" dimensionUniqueName="[Table_1]" displayFolder="" count="0" memberValueDatatype="20" unbalanced="0"/>
    <cacheHierarchy uniqueName="[Table_1].[Customer Name]" caption="Customer Name" attribute="1" defaultMemberUniqueName="[Table_1].[Customer Name].[All]" allUniqueName="[Table_1].[Customer Name].[All]" dimensionUniqueName="[Table_1]" displayFolder="" count="0" memberValueDatatype="130" unbalanced="0"/>
    <cacheHierarchy uniqueName="[Table_1].[Order Priority]" caption="Order Priority" attribute="1" defaultMemberUniqueName="[Table_1].[Order Priority].[All]" allUniqueName="[Table_1].[Order Priority].[All]" dimensionUniqueName="[Table_1]" displayFolder="" count="0" memberValueDatatype="130" unbalanced="0"/>
    <cacheHierarchy uniqueName="[Table_1].[Discount]" caption="Discount" attribute="1" defaultMemberUniqueName="[Table_1].[Discount].[All]" allUniqueName="[Table_1].[Discount].[All]" dimensionUniqueName="[Table_1]" displayFolder="" count="0" memberValueDatatype="5" unbalanced="0"/>
    <cacheHierarchy uniqueName="[Table_1].[Unit Price]" caption="Unit Price" attribute="1" defaultMemberUniqueName="[Table_1].[Unit Price].[All]" allUniqueName="[Table_1].[Unit Price].[All]" dimensionUniqueName="[Table_1]" displayFolder="" count="0" memberValueDatatype="5" unbalanced="0"/>
    <cacheHierarchy uniqueName="[Table_1].[Shipping Cost]" caption="Shipping Cost" attribute="1" defaultMemberUniqueName="[Table_1].[Shipping Cost].[All]" allUniqueName="[Table_1].[Shipping Cost].[All]" dimensionUniqueName="[Table_1]" displayFolder="" count="0" memberValueDatatype="5" unbalanced="0"/>
    <cacheHierarchy uniqueName="[Table_1].[Ship Mode]" caption="Ship Mode" attribute="1" defaultMemberUniqueName="[Table_1].[Ship Mode].[All]" allUniqueName="[Table_1].[Ship Mode].[All]" dimensionUniqueName="[Table_1]" displayFolder="" count="0" memberValueDatatype="130" unbalanced="0"/>
    <cacheHierarchy uniqueName="[Table_1].[Customer Segment]" caption="Customer Segment" attribute="1" defaultMemberUniqueName="[Table_1].[Customer Segment].[All]" allUniqueName="[Table_1].[Customer Segment].[All]" dimensionUniqueName="[Table_1]" displayFolder="" count="0" memberValueDatatype="130" unbalanced="0"/>
    <cacheHierarchy uniqueName="[Table_1].[Product Category]" caption="Product Category" attribute="1" defaultMemberUniqueName="[Table_1].[Product Category].[All]" allUniqueName="[Table_1].[Product Category].[All]" dimensionUniqueName="[Table_1]" displayFolder="" count="2" memberValueDatatype="130" unbalanced="0">
      <fieldsUsage count="2">
        <fieldUsage x="-1"/>
        <fieldUsage x="2"/>
      </fieldsUsage>
    </cacheHierarchy>
    <cacheHierarchy uniqueName="[Table_1].[Product Sub-Category]" caption="Product Sub-Category" attribute="1" defaultMemberUniqueName="[Table_1].[Product Sub-Category].[All]" allUniqueName="[Table_1].[Product Sub-Category].[All]" dimensionUniqueName="[Table_1]" displayFolder="" count="0" memberValueDatatype="130" unbalanced="0"/>
    <cacheHierarchy uniqueName="[Table_1].[Product Container]" caption="Product Container" attribute="1" defaultMemberUniqueName="[Table_1].[Product Container].[All]" allUniqueName="[Table_1].[Product Container].[All]" dimensionUniqueName="[Table_1]" displayFolder="" count="0" memberValueDatatype="130" unbalanced="0"/>
    <cacheHierarchy uniqueName="[Table_1].[Product Name]" caption="Product Name" attribute="1" defaultMemberUniqueName="[Table_1].[Product Name].[All]" allUniqueName="[Table_1].[Product Name].[All]" dimensionUniqueName="[Table_1]" displayFolder="" count="0" memberValueDatatype="130" unbalanced="0"/>
    <cacheHierarchy uniqueName="[Table_1].[Product Base Margin]" caption="Product Base Margin" attribute="1" defaultMemberUniqueName="[Table_1].[Product Base Margin].[All]" allUniqueName="[Table_1].[Product Base Margin].[All]" dimensionUniqueName="[Table_1]" displayFolder="" count="0" memberValueDatatype="5" unbalanced="0"/>
    <cacheHierarchy uniqueName="[Table_1].[Country]" caption="Country" attribute="1" defaultMemberUniqueName="[Table_1].[Country].[All]" allUniqueName="[Table_1].[Country].[All]" dimensionUniqueName="[Table_1]" displayFolder="" count="0" memberValueDatatype="130" unbalanced="0"/>
    <cacheHierarchy uniqueName="[Table_1].[Region]" caption="Region" attribute="1" defaultMemberUniqueName="[Table_1].[Region].[All]" allUniqueName="[Table_1].[Region].[All]" dimensionUniqueName="[Table_1]" displayFolder="" count="0" memberValueDatatype="130" unbalanced="0"/>
    <cacheHierarchy uniqueName="[Table_1].[State or Province]" caption="State or Province" attribute="1" defaultMemberUniqueName="[Table_1].[State or Province].[All]" allUniqueName="[Table_1].[State or Province].[All]" dimensionUniqueName="[Table_1]" displayFolder="" count="0" memberValueDatatype="130" unbalanced="0"/>
    <cacheHierarchy uniqueName="[Table_1].[City]" caption="City" attribute="1" defaultMemberUniqueName="[Table_1].[City].[All]" allUniqueName="[Table_1].[City].[All]" dimensionUniqueName="[Table_1]" displayFolder="" count="0" memberValueDatatype="130" unbalanced="0"/>
    <cacheHierarchy uniqueName="[Table_1].[Postal Code]" caption="Postal Code" attribute="1" defaultMemberUniqueName="[Table_1].[Postal Code].[All]" allUniqueName="[Table_1].[Postal Code].[All]" dimensionUniqueName="[Table_1]" displayFolder="" count="0" memberValueDatatype="20" unbalanced="0"/>
    <cacheHierarchy uniqueName="[Table_1].[Order Date]" caption="Order Date" attribute="1" time="1" defaultMemberUniqueName="[Table_1].[Order Date].[All]" allUniqueName="[Table_1].[Order Date].[All]" dimensionUniqueName="[Table_1]" displayFolder="" count="0" memberValueDatatype="7" unbalanced="0"/>
    <cacheHierarchy uniqueName="[Table_1].[Ship Date]" caption="Ship Date" attribute="1" time="1" defaultMemberUniqueName="[Table_1].[Ship Date].[All]" allUniqueName="[Table_1].[Ship Date].[All]" dimensionUniqueName="[Table_1]" displayFolder="" count="0" memberValueDatatype="7" unbalanced="0"/>
    <cacheHierarchy uniqueName="[Table_1].[Profit]" caption="Profit" attribute="1" defaultMemberUniqueName="[Table_1].[Profit].[All]" allUniqueName="[Table_1].[Profit].[All]" dimensionUniqueName="[Table_1]" displayFolder="" count="0" memberValueDatatype="5" unbalanced="0"/>
    <cacheHierarchy uniqueName="[Table_1].[Quantity ordered new]" caption="Quantity ordered new" attribute="1" defaultMemberUniqueName="[Table_1].[Quantity ordered new].[All]" allUniqueName="[Table_1].[Quantity ordered new].[All]" dimensionUniqueName="[Table_1]" displayFolder="" count="0" memberValueDatatype="20" unbalanced="0"/>
    <cacheHierarchy uniqueName="[Table_1].[Sales]" caption="Sales" attribute="1" defaultMemberUniqueName="[Table_1].[Sales].[All]" allUniqueName="[Table_1].[Sales].[All]" dimensionUniqueName="[Table_1]" displayFolder="" count="0" memberValueDatatype="5" unbalanced="0"/>
    <cacheHierarchy uniqueName="[Table_1].[Order ID]" caption="Order ID" attribute="1" defaultMemberUniqueName="[Table_1].[Order ID].[All]" allUniqueName="[Table_1].[Order ID].[All]" dimensionUniqueName="[Table_1]" displayFolder="" count="0" memberValueDatatype="20" unbalanced="0"/>
    <cacheHierarchy uniqueName="[Table_1].[Total]" caption="Total" attribute="1" defaultMemberUniqueName="[Table_1].[Total].[All]" allUniqueName="[Table_1].[Total].[All]" dimensionUniqueName="[Table_1]" displayFolder="" count="0" memberValueDatatype="5" unbalanced="0"/>
    <cacheHierarchy uniqueName="[Table_1].[Manager]" caption="Manager" attribute="1" defaultMemberUniqueName="[Table_1].[Manager].[All]" allUniqueName="[Table_1].[Manager].[All]" dimensionUniqueName="[Table_1]" displayFolder="" count="0" memberValueDatatype="130" unbalanced="0"/>
    <cacheHierarchy uniqueName="[Table_1].[Dollar Discount]" caption="Dollar Discount" attribute="1" defaultMemberUniqueName="[Table_1].[Dollar Discount].[All]" allUniqueName="[Table_1].[Dollar Discount].[All]" dimensionUniqueName="[Table_1]" displayFolder="" count="0" memberValueDatatype="5" unbalanced="0"/>
    <cacheHierarchy uniqueName="[Table_1].[Gross Cost]" caption="Gross Cost" attribute="1" defaultMemberUniqueName="[Table_1].[Gross Cost].[All]" allUniqueName="[Table_1].[Gross Cost].[All]" dimensionUniqueName="[Table_1]" displayFolder="" count="0" memberValueDatatype="5" unbalanced="0"/>
    <cacheHierarchy uniqueName="[Table_1].[Gross Profit]" caption="Gross Profit" attribute="1" defaultMemberUniqueName="[Table_1].[Gross Profit].[All]" allUniqueName="[Table_1].[Gross Profit].[All]" dimensionUniqueName="[Table_1]" displayFolder="" count="0" memberValueDatatype="5" unbalanced="0"/>
    <cacheHierarchy uniqueName="[Table_1].[Cumulative cost]" caption="Cumulative cost" attribute="1" defaultMemberUniqueName="[Table_1].[Cumulative cost].[All]" allUniqueName="[Table_1].[Cumulative cost].[All]" dimensionUniqueName="[Table_1]" displayFolder="" count="0" memberValueDatatype="5" unbalanced="0"/>
    <cacheHierarchy uniqueName="[Table_1].[Order Date (Month)]" caption="Order Date (Month)" attribute="1" defaultMemberUniqueName="[Table_1].[Order Date (Month)].[All]" allUniqueName="[Table_1].[Order Date (Month)].[All]" dimensionUniqueName="[Table_1]" displayFolder="" count="2" memberValueDatatype="130" unbalanced="0"/>
    <cacheHierarchy uniqueName="[Table_1].[Order Date (Month Index)]" caption="Order Date (Month Index)" attribute="1" defaultMemberUniqueName="[Table_1].[Order Date (Month Index)].[All]" allUniqueName="[Table_1].[Order Date (Month Index)].[All]" dimensionUniqueName="[Table_1]" displayFolder="" count="0" memberValueDatatype="20" unbalanced="0" hidden="1"/>
    <cacheHierarchy uniqueName="[Measures].[Σ Discount]" caption="Σ Discount" measure="1" displayFolder="" measureGroup="Table_1" count="0"/>
    <cacheHierarchy uniqueName="[Measures].[Σ Profit]" caption="Σ Profit" measure="1" displayFolder="" measureGroup="Table_1" count="0"/>
    <cacheHierarchy uniqueName="[Measures].[Σ Shipping]" caption="Σ Shipping" measure="1" displayFolder="" measureGroup="Table_1" count="0"/>
    <cacheHierarchy uniqueName="[Measures].[Σ Costs]" caption="Σ Costs" measure="1" displayFolder="" measureGroup="Table_1" count="0"/>
    <cacheHierarchy uniqueName="[Measures].[__XL_Count Table_1]" caption="__XL_Count Table_1" measure="1" displayFolder="" measureGroup="Table_1" count="0" hidden="1"/>
    <cacheHierarchy uniqueName="[Measures].[__No measures defined]" caption="__No measures defined" measure="1" displayFolder="" count="0" hidden="1"/>
    <cacheHierarchy uniqueName="[Measures].[Sum of Sales]" caption="Sum of Sales" measure="1" displayFolder="" measureGroup="Table_1" count="0" oneField="1" hidden="1">
      <fieldsUsage count="1">
        <fieldUsage x="0"/>
      </fieldsUsage>
      <extLst>
        <ext xmlns:x15="http://schemas.microsoft.com/office/spreadsheetml/2010/11/main" uri="{B97F6D7D-B522-45F9-BDA1-12C45D357490}">
          <x15:cacheHierarchy aggregatedColumn="22"/>
        </ext>
      </extLst>
    </cacheHierarchy>
    <cacheHierarchy uniqueName="[Measures].[Sum of Quantity ordered new]" caption="Sum of Quantity ordered new" measure="1" displayFolder="" measureGroup="Table_1" count="0" hidden="1">
      <extLst>
        <ext xmlns:x15="http://schemas.microsoft.com/office/spreadsheetml/2010/11/main" uri="{B97F6D7D-B522-45F9-BDA1-12C45D357490}">
          <x15:cacheHierarchy aggregatedColumn="21"/>
        </ext>
      </extLst>
    </cacheHierarchy>
    <cacheHierarchy uniqueName="[Measures].[Sum of Profit]" caption="Sum of Profit" measure="1" displayFolder="" measureGroup="Table_1" count="0" oneField="1" hidden="1">
      <fieldsUsage count="1">
        <fieldUsage x="1"/>
      </fieldsUsage>
      <extLst>
        <ext xmlns:x15="http://schemas.microsoft.com/office/spreadsheetml/2010/11/main" uri="{B97F6D7D-B522-45F9-BDA1-12C45D357490}">
          <x15:cacheHierarchy aggregatedColumn="20"/>
        </ext>
      </extLst>
    </cacheHierarchy>
    <cacheHierarchy uniqueName="[Measures].[Count of Product Category]" caption="Count of Product Category" measure="1" displayFolder="" measureGroup="Table_1" count="0" hidden="1">
      <extLst>
        <ext xmlns:x15="http://schemas.microsoft.com/office/spreadsheetml/2010/11/main" uri="{B97F6D7D-B522-45F9-BDA1-12C45D357490}">
          <x15:cacheHierarchy aggregatedColumn="8"/>
        </ext>
      </extLst>
    </cacheHierarchy>
    <cacheHierarchy uniqueName="[Measures].[Sum of Discount]" caption="Sum of Discount" measure="1" displayFolder="" measureGroup="Table_1" count="0" hidden="1">
      <extLst>
        <ext xmlns:x15="http://schemas.microsoft.com/office/spreadsheetml/2010/11/main" uri="{B97F6D7D-B522-45F9-BDA1-12C45D357490}">
          <x15:cacheHierarchy aggregatedColumn="3"/>
        </ext>
      </extLst>
    </cacheHierarchy>
    <cacheHierarchy uniqueName="[Measures].[Sum of Shipping Cost]" caption="Sum of Shipping Cost" measure="1" displayFolder="" measureGroup="Table_1" count="0" hidden="1">
      <extLst>
        <ext xmlns:x15="http://schemas.microsoft.com/office/spreadsheetml/2010/11/main" uri="{B97F6D7D-B522-45F9-BDA1-12C45D357490}">
          <x15:cacheHierarchy aggregatedColumn="5"/>
        </ext>
      </extLst>
    </cacheHierarchy>
    <cacheHierarchy uniqueName="[Measures].[Sum of Dollar Discount]" caption="Sum of Dollar Discount" measure="1" displayFolder="" measureGroup="Table_1" count="0" hidden="1">
      <extLst>
        <ext xmlns:x15="http://schemas.microsoft.com/office/spreadsheetml/2010/11/main" uri="{B97F6D7D-B522-45F9-BDA1-12C45D357490}">
          <x15:cacheHierarchy aggregatedColumn="26"/>
        </ext>
      </extLst>
    </cacheHierarchy>
    <cacheHierarchy uniqueName="[Measures].[Sum of Cumulative cost]" caption="Sum of Cumulative cost" measure="1" displayFolder="" measureGroup="Table_1" count="0" hidden="1">
      <extLst>
        <ext xmlns:x15="http://schemas.microsoft.com/office/spreadsheetml/2010/11/main" uri="{B97F6D7D-B522-45F9-BDA1-12C45D357490}">
          <x15:cacheHierarchy aggregatedColumn="29"/>
        </ext>
      </extLst>
    </cacheHierarchy>
    <cacheHierarchy uniqueName="[Measures].[Sum of Postal Code]" caption="Sum of Postal Code" measure="1" displayFolder="" measureGroup="Table_1" count="0" hidden="1">
      <extLst>
        <ext xmlns:x15="http://schemas.microsoft.com/office/spreadsheetml/2010/11/main" uri="{B97F6D7D-B522-45F9-BDA1-12C45D357490}">
          <x15:cacheHierarchy aggregatedColumn="17"/>
        </ext>
      </extLst>
    </cacheHierarchy>
    <cacheHierarchy uniqueName="[Measures].[Sum of Order ID]" caption="Sum of Order ID" measure="1" displayFolder="" measureGroup="Table_1" count="0" hidden="1">
      <extLst>
        <ext xmlns:x15="http://schemas.microsoft.com/office/spreadsheetml/2010/11/main" uri="{B97F6D7D-B522-45F9-BDA1-12C45D357490}">
          <x15:cacheHierarchy aggregatedColumn="23"/>
        </ext>
      </extLst>
    </cacheHierarchy>
    <cacheHierarchy uniqueName="[Measures].[Distinct Count of Order ID]" caption="Distinct Count of Order ID" measure="1" displayFolder="" measureGroup="Table_1" count="0" hidden="1">
      <extLst>
        <ext xmlns:x15="http://schemas.microsoft.com/office/spreadsheetml/2010/11/main" uri="{B97F6D7D-B522-45F9-BDA1-12C45D357490}">
          <x15:cacheHierarchy aggregatedColumn="23"/>
        </ext>
      </extLst>
    </cacheHierarchy>
    <cacheHierarchy uniqueName="[Measures].[Count of Order Date]" caption="Count of Order Date" measure="1" displayFolder="" measureGroup="Table_1" count="0" hidden="1">
      <extLst>
        <ext xmlns:x15="http://schemas.microsoft.com/office/spreadsheetml/2010/11/main" uri="{B97F6D7D-B522-45F9-BDA1-12C45D357490}">
          <x15:cacheHierarchy aggregatedColumn="18"/>
        </ext>
      </extLst>
    </cacheHierarchy>
    <cacheHierarchy uniqueName="[Measures].[Max of Order Date]" caption="Max of Order Date" measure="1" displayFolder="" measureGroup="Table_1" count="0" hidden="1">
      <extLst>
        <ext xmlns:x15="http://schemas.microsoft.com/office/spreadsheetml/2010/11/main" uri="{B97F6D7D-B522-45F9-BDA1-12C45D357490}">
          <x15:cacheHierarchy aggregatedColumn="18"/>
        </ext>
      </extLst>
    </cacheHierarchy>
    <cacheHierarchy uniqueName="[Measures].[Count of Product Name]" caption="Count of Product Name" measure="1" displayFolder="" measureGroup="Table_1" count="0" hidden="1">
      <extLst>
        <ext xmlns:x15="http://schemas.microsoft.com/office/spreadsheetml/2010/11/main" uri="{B97F6D7D-B522-45F9-BDA1-12C45D357490}">
          <x15:cacheHierarchy aggregatedColumn="11"/>
        </ext>
      </extLst>
    </cacheHierarchy>
    <cacheHierarchy uniqueName="[Measures].[Distinct Count of Product Name]" caption="Distinct Count of Product Name" measure="1" displayFolder="" measureGroup="Table_1" count="0" hidden="1">
      <extLst>
        <ext xmlns:x15="http://schemas.microsoft.com/office/spreadsheetml/2010/11/main" uri="{B97F6D7D-B522-45F9-BDA1-12C45D357490}">
          <x15:cacheHierarchy aggregatedColumn="11"/>
        </ext>
      </extLst>
    </cacheHierarchy>
  </cacheHierarchies>
  <kpis count="0"/>
  <dimensions count="2">
    <dimension measure="1" name="Measures" uniqueName="[Measures]" caption="Measures"/>
    <dimension name="Table_1" uniqueName="[Table_1]" caption="Table_1"/>
  </dimensions>
  <measureGroups count="1">
    <measureGroup name="Table_1" caption="Table_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aurabh Lakhanpal" refreshedDate="45219.694765046297" backgroundQuery="1" createdVersion="8" refreshedVersion="8" minRefreshableVersion="3" recordCount="0" supportSubquery="1" supportAdvancedDrill="1" xr:uid="{41E6DC86-5B05-4862-A350-E46814FE96B6}">
  <cacheSource type="external" connectionId="1"/>
  <cacheFields count="4">
    <cacheField name="[Measures].[Sum of Sales]" caption="Sum of Sales" numFmtId="0" hierarchy="38" level="32767"/>
    <cacheField name="[Table_1].[Order Date (Month)].[Order Date (Month)]" caption="Order Date (Month)" numFmtId="0" hierarchy="30" level="1">
      <sharedItems count="6">
        <s v="Jan"/>
        <s v="Feb"/>
        <s v="Mar"/>
        <s v="Apr"/>
        <s v="May"/>
        <s v="Jun"/>
      </sharedItems>
    </cacheField>
    <cacheField name="[Table_1].[Product Category].[Product Category]" caption="Product Category" numFmtId="0" hierarchy="8" level="1">
      <sharedItems containsSemiMixedTypes="0" containsNonDate="0" containsString="0"/>
    </cacheField>
    <cacheField name="Dummy0" numFmtId="0" hierarchy="53" level="32767">
      <extLst>
        <ext xmlns:x14="http://schemas.microsoft.com/office/spreadsheetml/2009/9/main" uri="{63CAB8AC-B538-458d-9737-405883B0398D}">
          <x14:cacheField ignore="1"/>
        </ext>
      </extLst>
    </cacheField>
  </cacheFields>
  <cacheHierarchies count="54">
    <cacheHierarchy uniqueName="[Table_1].[Customer ID]" caption="Customer ID" attribute="1" defaultMemberUniqueName="[Table_1].[Customer ID].[All]" allUniqueName="[Table_1].[Customer ID].[All]" dimensionUniqueName="[Table_1]" displayFolder="" count="0" memberValueDatatype="20" unbalanced="0"/>
    <cacheHierarchy uniqueName="[Table_1].[Customer Name]" caption="Customer Name" attribute="1" defaultMemberUniqueName="[Table_1].[Customer Name].[All]" allUniqueName="[Table_1].[Customer Name].[All]" dimensionUniqueName="[Table_1]" displayFolder="" count="0" memberValueDatatype="130" unbalanced="0"/>
    <cacheHierarchy uniqueName="[Table_1].[Order Priority]" caption="Order Priority" attribute="1" defaultMemberUniqueName="[Table_1].[Order Priority].[All]" allUniqueName="[Table_1].[Order Priority].[All]" dimensionUniqueName="[Table_1]" displayFolder="" count="0" memberValueDatatype="130" unbalanced="0"/>
    <cacheHierarchy uniqueName="[Table_1].[Discount]" caption="Discount" attribute="1" defaultMemberUniqueName="[Table_1].[Discount].[All]" allUniqueName="[Table_1].[Discount].[All]" dimensionUniqueName="[Table_1]" displayFolder="" count="0" memberValueDatatype="5" unbalanced="0"/>
    <cacheHierarchy uniqueName="[Table_1].[Unit Price]" caption="Unit Price" attribute="1" defaultMemberUniqueName="[Table_1].[Unit Price].[All]" allUniqueName="[Table_1].[Unit Price].[All]" dimensionUniqueName="[Table_1]" displayFolder="" count="0" memberValueDatatype="5" unbalanced="0"/>
    <cacheHierarchy uniqueName="[Table_1].[Shipping Cost]" caption="Shipping Cost" attribute="1" defaultMemberUniqueName="[Table_1].[Shipping Cost].[All]" allUniqueName="[Table_1].[Shipping Cost].[All]" dimensionUniqueName="[Table_1]" displayFolder="" count="0" memberValueDatatype="5" unbalanced="0"/>
    <cacheHierarchy uniqueName="[Table_1].[Ship Mode]" caption="Ship Mode" attribute="1" defaultMemberUniqueName="[Table_1].[Ship Mode].[All]" allUniqueName="[Table_1].[Ship Mode].[All]" dimensionUniqueName="[Table_1]" displayFolder="" count="0" memberValueDatatype="130" unbalanced="0"/>
    <cacheHierarchy uniqueName="[Table_1].[Customer Segment]" caption="Customer Segment" attribute="1" defaultMemberUniqueName="[Table_1].[Customer Segment].[All]" allUniqueName="[Table_1].[Customer Segment].[All]" dimensionUniqueName="[Table_1]" displayFolder="" count="0" memberValueDatatype="130" unbalanced="0"/>
    <cacheHierarchy uniqueName="[Table_1].[Product Category]" caption="Product Category" attribute="1" defaultMemberUniqueName="[Table_1].[Product Category].[All]" allUniqueName="[Table_1].[Product Category].[All]" dimensionUniqueName="[Table_1]" displayFolder="" count="2" memberValueDatatype="130" unbalanced="0">
      <fieldsUsage count="2">
        <fieldUsage x="-1"/>
        <fieldUsage x="2"/>
      </fieldsUsage>
    </cacheHierarchy>
    <cacheHierarchy uniqueName="[Table_1].[Product Sub-Category]" caption="Product Sub-Category" attribute="1" defaultMemberUniqueName="[Table_1].[Product Sub-Category].[All]" allUniqueName="[Table_1].[Product Sub-Category].[All]" dimensionUniqueName="[Table_1]" displayFolder="" count="0" memberValueDatatype="130" unbalanced="0"/>
    <cacheHierarchy uniqueName="[Table_1].[Product Container]" caption="Product Container" attribute="1" defaultMemberUniqueName="[Table_1].[Product Container].[All]" allUniqueName="[Table_1].[Product Container].[All]" dimensionUniqueName="[Table_1]" displayFolder="" count="0" memberValueDatatype="130" unbalanced="0"/>
    <cacheHierarchy uniqueName="[Table_1].[Product Name]" caption="Product Name" attribute="1" defaultMemberUniqueName="[Table_1].[Product Name].[All]" allUniqueName="[Table_1].[Product Name].[All]" dimensionUniqueName="[Table_1]" displayFolder="" count="0" memberValueDatatype="130" unbalanced="0"/>
    <cacheHierarchy uniqueName="[Table_1].[Product Base Margin]" caption="Product Base Margin" attribute="1" defaultMemberUniqueName="[Table_1].[Product Base Margin].[All]" allUniqueName="[Table_1].[Product Base Margin].[All]" dimensionUniqueName="[Table_1]" displayFolder="" count="0" memberValueDatatype="5" unbalanced="0"/>
    <cacheHierarchy uniqueName="[Table_1].[Country]" caption="Country" attribute="1" defaultMemberUniqueName="[Table_1].[Country].[All]" allUniqueName="[Table_1].[Country].[All]" dimensionUniqueName="[Table_1]" displayFolder="" count="0" memberValueDatatype="130" unbalanced="0"/>
    <cacheHierarchy uniqueName="[Table_1].[Region]" caption="Region" attribute="1" defaultMemberUniqueName="[Table_1].[Region].[All]" allUniqueName="[Table_1].[Region].[All]" dimensionUniqueName="[Table_1]" displayFolder="" count="0" memberValueDatatype="130" unbalanced="0"/>
    <cacheHierarchy uniqueName="[Table_1].[State or Province]" caption="State or Province" attribute="1" defaultMemberUniqueName="[Table_1].[State or Province].[All]" allUniqueName="[Table_1].[State or Province].[All]" dimensionUniqueName="[Table_1]" displayFolder="" count="0" memberValueDatatype="130" unbalanced="0"/>
    <cacheHierarchy uniqueName="[Table_1].[City]" caption="City" attribute="1" defaultMemberUniqueName="[Table_1].[City].[All]" allUniqueName="[Table_1].[City].[All]" dimensionUniqueName="[Table_1]" displayFolder="" count="0" memberValueDatatype="130" unbalanced="0"/>
    <cacheHierarchy uniqueName="[Table_1].[Postal Code]" caption="Postal Code" attribute="1" defaultMemberUniqueName="[Table_1].[Postal Code].[All]" allUniqueName="[Table_1].[Postal Code].[All]" dimensionUniqueName="[Table_1]" displayFolder="" count="0" memberValueDatatype="20" unbalanced="0"/>
    <cacheHierarchy uniqueName="[Table_1].[Order Date]" caption="Order Date" attribute="1" time="1" defaultMemberUniqueName="[Table_1].[Order Date].[All]" allUniqueName="[Table_1].[Order Date].[All]" dimensionUniqueName="[Table_1]" displayFolder="" count="0" memberValueDatatype="7" unbalanced="0"/>
    <cacheHierarchy uniqueName="[Table_1].[Ship Date]" caption="Ship Date" attribute="1" time="1" defaultMemberUniqueName="[Table_1].[Ship Date].[All]" allUniqueName="[Table_1].[Ship Date].[All]" dimensionUniqueName="[Table_1]" displayFolder="" count="0" memberValueDatatype="7" unbalanced="0"/>
    <cacheHierarchy uniqueName="[Table_1].[Profit]" caption="Profit" attribute="1" defaultMemberUniqueName="[Table_1].[Profit].[All]" allUniqueName="[Table_1].[Profit].[All]" dimensionUniqueName="[Table_1]" displayFolder="" count="0" memberValueDatatype="5" unbalanced="0"/>
    <cacheHierarchy uniqueName="[Table_1].[Quantity ordered new]" caption="Quantity ordered new" attribute="1" defaultMemberUniqueName="[Table_1].[Quantity ordered new].[All]" allUniqueName="[Table_1].[Quantity ordered new].[All]" dimensionUniqueName="[Table_1]" displayFolder="" count="0" memberValueDatatype="20" unbalanced="0"/>
    <cacheHierarchy uniqueName="[Table_1].[Sales]" caption="Sales" attribute="1" defaultMemberUniqueName="[Table_1].[Sales].[All]" allUniqueName="[Table_1].[Sales].[All]" dimensionUniqueName="[Table_1]" displayFolder="" count="0" memberValueDatatype="5" unbalanced="0"/>
    <cacheHierarchy uniqueName="[Table_1].[Order ID]" caption="Order ID" attribute="1" defaultMemberUniqueName="[Table_1].[Order ID].[All]" allUniqueName="[Table_1].[Order ID].[All]" dimensionUniqueName="[Table_1]" displayFolder="" count="0" memberValueDatatype="20" unbalanced="0"/>
    <cacheHierarchy uniqueName="[Table_1].[Total]" caption="Total" attribute="1" defaultMemberUniqueName="[Table_1].[Total].[All]" allUniqueName="[Table_1].[Total].[All]" dimensionUniqueName="[Table_1]" displayFolder="" count="0" memberValueDatatype="5" unbalanced="0"/>
    <cacheHierarchy uniqueName="[Table_1].[Manager]" caption="Manager" attribute="1" defaultMemberUniqueName="[Table_1].[Manager].[All]" allUniqueName="[Table_1].[Manager].[All]" dimensionUniqueName="[Table_1]" displayFolder="" count="0" memberValueDatatype="130" unbalanced="0"/>
    <cacheHierarchy uniqueName="[Table_1].[Dollar Discount]" caption="Dollar Discount" attribute="1" defaultMemberUniqueName="[Table_1].[Dollar Discount].[All]" allUniqueName="[Table_1].[Dollar Discount].[All]" dimensionUniqueName="[Table_1]" displayFolder="" count="0" memberValueDatatype="5" unbalanced="0"/>
    <cacheHierarchy uniqueName="[Table_1].[Gross Cost]" caption="Gross Cost" attribute="1" defaultMemberUniqueName="[Table_1].[Gross Cost].[All]" allUniqueName="[Table_1].[Gross Cost].[All]" dimensionUniqueName="[Table_1]" displayFolder="" count="0" memberValueDatatype="5" unbalanced="0"/>
    <cacheHierarchy uniqueName="[Table_1].[Gross Profit]" caption="Gross Profit" attribute="1" defaultMemberUniqueName="[Table_1].[Gross Profit].[All]" allUniqueName="[Table_1].[Gross Profit].[All]" dimensionUniqueName="[Table_1]" displayFolder="" count="0" memberValueDatatype="5" unbalanced="0"/>
    <cacheHierarchy uniqueName="[Table_1].[Cumulative cost]" caption="Cumulative cost" attribute="1" defaultMemberUniqueName="[Table_1].[Cumulative cost].[All]" allUniqueName="[Table_1].[Cumulative cost].[All]" dimensionUniqueName="[Table_1]" displayFolder="" count="0" memberValueDatatype="5" unbalanced="0"/>
    <cacheHierarchy uniqueName="[Table_1].[Order Date (Month)]" caption="Order Date (Month)" attribute="1" defaultMemberUniqueName="[Table_1].[Order Date (Month)].[All]" allUniqueName="[Table_1].[Order Date (Month)].[All]" dimensionUniqueName="[Table_1]" displayFolder="" count="2" memberValueDatatype="130" unbalanced="0">
      <fieldsUsage count="2">
        <fieldUsage x="-1"/>
        <fieldUsage x="1"/>
      </fieldsUsage>
    </cacheHierarchy>
    <cacheHierarchy uniqueName="[Table_1].[Order Date (Month Index)]" caption="Order Date (Month Index)" attribute="1" defaultMemberUniqueName="[Table_1].[Order Date (Month Index)].[All]" allUniqueName="[Table_1].[Order Date (Month Index)].[All]" dimensionUniqueName="[Table_1]" displayFolder="" count="0" memberValueDatatype="20" unbalanced="0" hidden="1"/>
    <cacheHierarchy uniqueName="[Measures].[Σ Discount]" caption="Σ Discount" measure="1" displayFolder="" measureGroup="Table_1" count="0"/>
    <cacheHierarchy uniqueName="[Measures].[Σ Profit]" caption="Σ Profit" measure="1" displayFolder="" measureGroup="Table_1" count="0"/>
    <cacheHierarchy uniqueName="[Measures].[Σ Shipping]" caption="Σ Shipping" measure="1" displayFolder="" measureGroup="Table_1" count="0"/>
    <cacheHierarchy uniqueName="[Measures].[Σ Costs]" caption="Σ Costs" measure="1" displayFolder="" measureGroup="Table_1" count="0"/>
    <cacheHierarchy uniqueName="[Measures].[__XL_Count Table_1]" caption="__XL_Count Table_1" measure="1" displayFolder="" measureGroup="Table_1" count="0" hidden="1"/>
    <cacheHierarchy uniqueName="[Measures].[__No measures defined]" caption="__No measures defined" measure="1" displayFolder="" count="0" hidden="1"/>
    <cacheHierarchy uniqueName="[Measures].[Sum of Sales]" caption="Sum of Sales" measure="1" displayFolder="" measureGroup="Table_1" count="0" oneField="1" hidden="1">
      <fieldsUsage count="1">
        <fieldUsage x="0"/>
      </fieldsUsage>
      <extLst>
        <ext xmlns:x15="http://schemas.microsoft.com/office/spreadsheetml/2010/11/main" uri="{B97F6D7D-B522-45F9-BDA1-12C45D357490}">
          <x15:cacheHierarchy aggregatedColumn="22"/>
        </ext>
      </extLst>
    </cacheHierarchy>
    <cacheHierarchy uniqueName="[Measures].[Sum of Quantity ordered new]" caption="Sum of Quantity ordered new" measure="1" displayFolder="" measureGroup="Table_1" count="0" hidden="1">
      <extLst>
        <ext xmlns:x15="http://schemas.microsoft.com/office/spreadsheetml/2010/11/main" uri="{B97F6D7D-B522-45F9-BDA1-12C45D357490}">
          <x15:cacheHierarchy aggregatedColumn="21"/>
        </ext>
      </extLst>
    </cacheHierarchy>
    <cacheHierarchy uniqueName="[Measures].[Sum of Profit]" caption="Sum of Profit" measure="1" displayFolder="" measureGroup="Table_1" count="0" hidden="1">
      <extLst>
        <ext xmlns:x15="http://schemas.microsoft.com/office/spreadsheetml/2010/11/main" uri="{B97F6D7D-B522-45F9-BDA1-12C45D357490}">
          <x15:cacheHierarchy aggregatedColumn="20"/>
        </ext>
      </extLst>
    </cacheHierarchy>
    <cacheHierarchy uniqueName="[Measures].[Count of Product Category]" caption="Count of Product Category" measure="1" displayFolder="" measureGroup="Table_1" count="0" hidden="1">
      <extLst>
        <ext xmlns:x15="http://schemas.microsoft.com/office/spreadsheetml/2010/11/main" uri="{B97F6D7D-B522-45F9-BDA1-12C45D357490}">
          <x15:cacheHierarchy aggregatedColumn="8"/>
        </ext>
      </extLst>
    </cacheHierarchy>
    <cacheHierarchy uniqueName="[Measures].[Sum of Discount]" caption="Sum of Discount" measure="1" displayFolder="" measureGroup="Table_1" count="0" hidden="1">
      <extLst>
        <ext xmlns:x15="http://schemas.microsoft.com/office/spreadsheetml/2010/11/main" uri="{B97F6D7D-B522-45F9-BDA1-12C45D357490}">
          <x15:cacheHierarchy aggregatedColumn="3"/>
        </ext>
      </extLst>
    </cacheHierarchy>
    <cacheHierarchy uniqueName="[Measures].[Sum of Shipping Cost]" caption="Sum of Shipping Cost" measure="1" displayFolder="" measureGroup="Table_1" count="0" hidden="1">
      <extLst>
        <ext xmlns:x15="http://schemas.microsoft.com/office/spreadsheetml/2010/11/main" uri="{B97F6D7D-B522-45F9-BDA1-12C45D357490}">
          <x15:cacheHierarchy aggregatedColumn="5"/>
        </ext>
      </extLst>
    </cacheHierarchy>
    <cacheHierarchy uniqueName="[Measures].[Sum of Dollar Discount]" caption="Sum of Dollar Discount" measure="1" displayFolder="" measureGroup="Table_1" count="0" hidden="1">
      <extLst>
        <ext xmlns:x15="http://schemas.microsoft.com/office/spreadsheetml/2010/11/main" uri="{B97F6D7D-B522-45F9-BDA1-12C45D357490}">
          <x15:cacheHierarchy aggregatedColumn="26"/>
        </ext>
      </extLst>
    </cacheHierarchy>
    <cacheHierarchy uniqueName="[Measures].[Sum of Cumulative cost]" caption="Sum of Cumulative cost" measure="1" displayFolder="" measureGroup="Table_1" count="0" hidden="1">
      <extLst>
        <ext xmlns:x15="http://schemas.microsoft.com/office/spreadsheetml/2010/11/main" uri="{B97F6D7D-B522-45F9-BDA1-12C45D357490}">
          <x15:cacheHierarchy aggregatedColumn="29"/>
        </ext>
      </extLst>
    </cacheHierarchy>
    <cacheHierarchy uniqueName="[Measures].[Sum of Postal Code]" caption="Sum of Postal Code" measure="1" displayFolder="" measureGroup="Table_1" count="0" hidden="1">
      <extLst>
        <ext xmlns:x15="http://schemas.microsoft.com/office/spreadsheetml/2010/11/main" uri="{B97F6D7D-B522-45F9-BDA1-12C45D357490}">
          <x15:cacheHierarchy aggregatedColumn="17"/>
        </ext>
      </extLst>
    </cacheHierarchy>
    <cacheHierarchy uniqueName="[Measures].[Sum of Order ID]" caption="Sum of Order ID" measure="1" displayFolder="" measureGroup="Table_1" count="0" hidden="1">
      <extLst>
        <ext xmlns:x15="http://schemas.microsoft.com/office/spreadsheetml/2010/11/main" uri="{B97F6D7D-B522-45F9-BDA1-12C45D357490}">
          <x15:cacheHierarchy aggregatedColumn="23"/>
        </ext>
      </extLst>
    </cacheHierarchy>
    <cacheHierarchy uniqueName="[Measures].[Distinct Count of Order ID]" caption="Distinct Count of Order ID" measure="1" displayFolder="" measureGroup="Table_1" count="0" hidden="1">
      <extLst>
        <ext xmlns:x15="http://schemas.microsoft.com/office/spreadsheetml/2010/11/main" uri="{B97F6D7D-B522-45F9-BDA1-12C45D357490}">
          <x15:cacheHierarchy aggregatedColumn="23"/>
        </ext>
      </extLst>
    </cacheHierarchy>
    <cacheHierarchy uniqueName="[Measures].[Count of Order Date]" caption="Count of Order Date" measure="1" displayFolder="" measureGroup="Table_1" count="0" hidden="1">
      <extLst>
        <ext xmlns:x15="http://schemas.microsoft.com/office/spreadsheetml/2010/11/main" uri="{B97F6D7D-B522-45F9-BDA1-12C45D357490}">
          <x15:cacheHierarchy aggregatedColumn="18"/>
        </ext>
      </extLst>
    </cacheHierarchy>
    <cacheHierarchy uniqueName="[Measures].[Max of Order Date]" caption="Max of Order Date" measure="1" displayFolder="" measureGroup="Table_1" count="0" hidden="1">
      <extLst>
        <ext xmlns:x15="http://schemas.microsoft.com/office/spreadsheetml/2010/11/main" uri="{B97F6D7D-B522-45F9-BDA1-12C45D357490}">
          <x15:cacheHierarchy aggregatedColumn="18"/>
        </ext>
      </extLst>
    </cacheHierarchy>
    <cacheHierarchy uniqueName="[Measures].[Count of Product Name]" caption="Count of Product Name" measure="1" displayFolder="" measureGroup="Table_1" count="0" hidden="1">
      <extLst>
        <ext xmlns:x15="http://schemas.microsoft.com/office/spreadsheetml/2010/11/main" uri="{B97F6D7D-B522-45F9-BDA1-12C45D357490}">
          <x15:cacheHierarchy aggregatedColumn="11"/>
        </ext>
      </extLst>
    </cacheHierarchy>
    <cacheHierarchy uniqueName="[Measures].[Distinct Count of Product Name]" caption="Distinct Count of Product Name" measure="1" displayFolder="" measureGroup="Table_1" count="0" hidden="1">
      <extLst>
        <ext xmlns:x15="http://schemas.microsoft.com/office/spreadsheetml/2010/11/main" uri="{B97F6D7D-B522-45F9-BDA1-12C45D357490}">
          <x15:cacheHierarchy aggregatedColumn="11"/>
        </ext>
      </extLst>
    </cacheHierarchy>
    <cacheHierarchy uniqueName="Dummy0" caption="Customer ID" measure="1" count="0">
      <extLst>
        <ext xmlns:x14="http://schemas.microsoft.com/office/spreadsheetml/2009/9/main" uri="{8CF416AD-EC4C-4aba-99F5-12A058AE0983}">
          <x14:cacheHierarchy ignore="1"/>
        </ext>
      </extLst>
    </cacheHierarchy>
  </cacheHierarchies>
  <kpis count="0"/>
  <dimensions count="2">
    <dimension measure="1" name="Measures" uniqueName="[Measures]" caption="Measures"/>
    <dimension name="Table_1" uniqueName="[Table_1]" caption="Table_1"/>
  </dimensions>
  <measureGroups count="1">
    <measureGroup name="Table_1" caption="Table_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aurabh Lakhanpal" refreshedDate="45219.69476539352" backgroundQuery="1" createdVersion="8" refreshedVersion="8" minRefreshableVersion="3" recordCount="0" supportSubquery="1" supportAdvancedDrill="1" xr:uid="{120AD106-49BB-4013-A226-DAC1E99FDB72}">
  <cacheSource type="external" connectionId="1"/>
  <cacheFields count="6">
    <cacheField name="[Measures].[Sum of Sales]" caption="Sum of Sales" numFmtId="0" hierarchy="38" level="32767"/>
    <cacheField name="[Table_1].[Product Sub-Category].[Product Sub-Category]" caption="Product Sub-Category" numFmtId="0" hierarchy="9" level="1">
      <sharedItems count="17">
        <s v="Appliances"/>
        <s v="Binders and Binder Accessories"/>
        <s v="Bookcases"/>
        <s v="Chairs &amp; Chairmats"/>
        <s v="Computer Peripherals"/>
        <s v="Copiers and Fax"/>
        <s v="Envelopes"/>
        <s v="Labels"/>
        <s v="Office Furnishings"/>
        <s v="Office Machines"/>
        <s v="Paper"/>
        <s v="Pens &amp; Art Supplies"/>
        <s v="Rubber Bands"/>
        <s v="Scissors, Rulers and Trimmers"/>
        <s v="Storage &amp; Organization"/>
        <s v="Tables"/>
        <s v="Telephones and Communication"/>
      </sharedItems>
    </cacheField>
    <cacheField name="[Measures].[Sum of Quantity ordered new]" caption="Sum of Quantity ordered new" numFmtId="0" hierarchy="39" level="32767"/>
    <cacheField name="[Table_1].[Product Category].[Product Category]" caption="Product Category" numFmtId="0" hierarchy="8" level="1">
      <sharedItems containsSemiMixedTypes="0" containsNonDate="0" containsString="0"/>
    </cacheField>
    <cacheField name="Dummy0" numFmtId="0" hierarchy="53" level="32767">
      <extLst>
        <ext xmlns:x14="http://schemas.microsoft.com/office/spreadsheetml/2009/9/main" uri="{63CAB8AC-B538-458d-9737-405883B0398D}">
          <x14:cacheField ignore="1"/>
        </ext>
      </extLst>
    </cacheField>
    <cacheField name="Dummy1" numFmtId="0" hierarchy="54" level="32767">
      <extLst>
        <ext xmlns:x14="http://schemas.microsoft.com/office/spreadsheetml/2009/9/main" uri="{63CAB8AC-B538-458d-9737-405883B0398D}">
          <x14:cacheField ignore="1"/>
        </ext>
      </extLst>
    </cacheField>
  </cacheFields>
  <cacheHierarchies count="55">
    <cacheHierarchy uniqueName="[Table_1].[Customer ID]" caption="Customer ID" attribute="1" defaultMemberUniqueName="[Table_1].[Customer ID].[All]" allUniqueName="[Table_1].[Customer ID].[All]" dimensionUniqueName="[Table_1]" displayFolder="" count="0" memberValueDatatype="20" unbalanced="0"/>
    <cacheHierarchy uniqueName="[Table_1].[Customer Name]" caption="Customer Name" attribute="1" defaultMemberUniqueName="[Table_1].[Customer Name].[All]" allUniqueName="[Table_1].[Customer Name].[All]" dimensionUniqueName="[Table_1]" displayFolder="" count="0" memberValueDatatype="130" unbalanced="0"/>
    <cacheHierarchy uniqueName="[Table_1].[Order Priority]" caption="Order Priority" attribute="1" defaultMemberUniqueName="[Table_1].[Order Priority].[All]" allUniqueName="[Table_1].[Order Priority].[All]" dimensionUniqueName="[Table_1]" displayFolder="" count="0" memberValueDatatype="130" unbalanced="0"/>
    <cacheHierarchy uniqueName="[Table_1].[Discount]" caption="Discount" attribute="1" defaultMemberUniqueName="[Table_1].[Discount].[All]" allUniqueName="[Table_1].[Discount].[All]" dimensionUniqueName="[Table_1]" displayFolder="" count="0" memberValueDatatype="5" unbalanced="0"/>
    <cacheHierarchy uniqueName="[Table_1].[Unit Price]" caption="Unit Price" attribute="1" defaultMemberUniqueName="[Table_1].[Unit Price].[All]" allUniqueName="[Table_1].[Unit Price].[All]" dimensionUniqueName="[Table_1]" displayFolder="" count="0" memberValueDatatype="5" unbalanced="0"/>
    <cacheHierarchy uniqueName="[Table_1].[Shipping Cost]" caption="Shipping Cost" attribute="1" defaultMemberUniqueName="[Table_1].[Shipping Cost].[All]" allUniqueName="[Table_1].[Shipping Cost].[All]" dimensionUniqueName="[Table_1]" displayFolder="" count="0" memberValueDatatype="5" unbalanced="0"/>
    <cacheHierarchy uniqueName="[Table_1].[Ship Mode]" caption="Ship Mode" attribute="1" defaultMemberUniqueName="[Table_1].[Ship Mode].[All]" allUniqueName="[Table_1].[Ship Mode].[All]" dimensionUniqueName="[Table_1]" displayFolder="" count="0" memberValueDatatype="130" unbalanced="0"/>
    <cacheHierarchy uniqueName="[Table_1].[Customer Segment]" caption="Customer Segment" attribute="1" defaultMemberUniqueName="[Table_1].[Customer Segment].[All]" allUniqueName="[Table_1].[Customer Segment].[All]" dimensionUniqueName="[Table_1]" displayFolder="" count="0" memberValueDatatype="130" unbalanced="0"/>
    <cacheHierarchy uniqueName="[Table_1].[Product Category]" caption="Product Category" attribute="1" defaultMemberUniqueName="[Table_1].[Product Category].[All]" allUniqueName="[Table_1].[Product Category].[All]" dimensionUniqueName="[Table_1]" displayFolder="" count="2" memberValueDatatype="130" unbalanced="0">
      <fieldsUsage count="2">
        <fieldUsage x="-1"/>
        <fieldUsage x="3"/>
      </fieldsUsage>
    </cacheHierarchy>
    <cacheHierarchy uniqueName="[Table_1].[Product Sub-Category]" caption="Product Sub-Category" attribute="1" defaultMemberUniqueName="[Table_1].[Product Sub-Category].[All]" allUniqueName="[Table_1].[Product Sub-Category].[All]" dimensionUniqueName="[Table_1]" displayFolder="" count="2" memberValueDatatype="130" unbalanced="0">
      <fieldsUsage count="2">
        <fieldUsage x="-1"/>
        <fieldUsage x="1"/>
      </fieldsUsage>
    </cacheHierarchy>
    <cacheHierarchy uniqueName="[Table_1].[Product Container]" caption="Product Container" attribute="1" defaultMemberUniqueName="[Table_1].[Product Container].[All]" allUniqueName="[Table_1].[Product Container].[All]" dimensionUniqueName="[Table_1]" displayFolder="" count="0" memberValueDatatype="130" unbalanced="0"/>
    <cacheHierarchy uniqueName="[Table_1].[Product Name]" caption="Product Name" attribute="1" defaultMemberUniqueName="[Table_1].[Product Name].[All]" allUniqueName="[Table_1].[Product Name].[All]" dimensionUniqueName="[Table_1]" displayFolder="" count="0" memberValueDatatype="130" unbalanced="0"/>
    <cacheHierarchy uniqueName="[Table_1].[Product Base Margin]" caption="Product Base Margin" attribute="1" defaultMemberUniqueName="[Table_1].[Product Base Margin].[All]" allUniqueName="[Table_1].[Product Base Margin].[All]" dimensionUniqueName="[Table_1]" displayFolder="" count="0" memberValueDatatype="5" unbalanced="0"/>
    <cacheHierarchy uniqueName="[Table_1].[Country]" caption="Country" attribute="1" defaultMemberUniqueName="[Table_1].[Country].[All]" allUniqueName="[Table_1].[Country].[All]" dimensionUniqueName="[Table_1]" displayFolder="" count="0" memberValueDatatype="130" unbalanced="0"/>
    <cacheHierarchy uniqueName="[Table_1].[Region]" caption="Region" attribute="1" defaultMemberUniqueName="[Table_1].[Region].[All]" allUniqueName="[Table_1].[Region].[All]" dimensionUniqueName="[Table_1]" displayFolder="" count="0" memberValueDatatype="130" unbalanced="0"/>
    <cacheHierarchy uniqueName="[Table_1].[State or Province]" caption="State or Province" attribute="1" defaultMemberUniqueName="[Table_1].[State or Province].[All]" allUniqueName="[Table_1].[State or Province].[All]" dimensionUniqueName="[Table_1]" displayFolder="" count="0" memberValueDatatype="130" unbalanced="0"/>
    <cacheHierarchy uniqueName="[Table_1].[City]" caption="City" attribute="1" defaultMemberUniqueName="[Table_1].[City].[All]" allUniqueName="[Table_1].[City].[All]" dimensionUniqueName="[Table_1]" displayFolder="" count="0" memberValueDatatype="130" unbalanced="0"/>
    <cacheHierarchy uniqueName="[Table_1].[Postal Code]" caption="Postal Code" attribute="1" defaultMemberUniqueName="[Table_1].[Postal Code].[All]" allUniqueName="[Table_1].[Postal Code].[All]" dimensionUniqueName="[Table_1]" displayFolder="" count="0" memberValueDatatype="20" unbalanced="0"/>
    <cacheHierarchy uniqueName="[Table_1].[Order Date]" caption="Order Date" attribute="1" time="1" defaultMemberUniqueName="[Table_1].[Order Date].[All]" allUniqueName="[Table_1].[Order Date].[All]" dimensionUniqueName="[Table_1]" displayFolder="" count="0" memberValueDatatype="7" unbalanced="0"/>
    <cacheHierarchy uniqueName="[Table_1].[Ship Date]" caption="Ship Date" attribute="1" time="1" defaultMemberUniqueName="[Table_1].[Ship Date].[All]" allUniqueName="[Table_1].[Ship Date].[All]" dimensionUniqueName="[Table_1]" displayFolder="" count="0" memberValueDatatype="7" unbalanced="0"/>
    <cacheHierarchy uniqueName="[Table_1].[Profit]" caption="Profit" attribute="1" defaultMemberUniqueName="[Table_1].[Profit].[All]" allUniqueName="[Table_1].[Profit].[All]" dimensionUniqueName="[Table_1]" displayFolder="" count="0" memberValueDatatype="5" unbalanced="0"/>
    <cacheHierarchy uniqueName="[Table_1].[Quantity ordered new]" caption="Quantity ordered new" attribute="1" defaultMemberUniqueName="[Table_1].[Quantity ordered new].[All]" allUniqueName="[Table_1].[Quantity ordered new].[All]" dimensionUniqueName="[Table_1]" displayFolder="" count="0" memberValueDatatype="20" unbalanced="0"/>
    <cacheHierarchy uniqueName="[Table_1].[Sales]" caption="Sales" attribute="1" defaultMemberUniqueName="[Table_1].[Sales].[All]" allUniqueName="[Table_1].[Sales].[All]" dimensionUniqueName="[Table_1]" displayFolder="" count="0" memberValueDatatype="5" unbalanced="0"/>
    <cacheHierarchy uniqueName="[Table_1].[Order ID]" caption="Order ID" attribute="1" defaultMemberUniqueName="[Table_1].[Order ID].[All]" allUniqueName="[Table_1].[Order ID].[All]" dimensionUniqueName="[Table_1]" displayFolder="" count="0" memberValueDatatype="20" unbalanced="0"/>
    <cacheHierarchy uniqueName="[Table_1].[Total]" caption="Total" attribute="1" defaultMemberUniqueName="[Table_1].[Total].[All]" allUniqueName="[Table_1].[Total].[All]" dimensionUniqueName="[Table_1]" displayFolder="" count="0" memberValueDatatype="5" unbalanced="0"/>
    <cacheHierarchy uniqueName="[Table_1].[Manager]" caption="Manager" attribute="1" defaultMemberUniqueName="[Table_1].[Manager].[All]" allUniqueName="[Table_1].[Manager].[All]" dimensionUniqueName="[Table_1]" displayFolder="" count="0" memberValueDatatype="130" unbalanced="0"/>
    <cacheHierarchy uniqueName="[Table_1].[Dollar Discount]" caption="Dollar Discount" attribute="1" defaultMemberUniqueName="[Table_1].[Dollar Discount].[All]" allUniqueName="[Table_1].[Dollar Discount].[All]" dimensionUniqueName="[Table_1]" displayFolder="" count="0" memberValueDatatype="5" unbalanced="0"/>
    <cacheHierarchy uniqueName="[Table_1].[Gross Cost]" caption="Gross Cost" attribute="1" defaultMemberUniqueName="[Table_1].[Gross Cost].[All]" allUniqueName="[Table_1].[Gross Cost].[All]" dimensionUniqueName="[Table_1]" displayFolder="" count="0" memberValueDatatype="5" unbalanced="0"/>
    <cacheHierarchy uniqueName="[Table_1].[Gross Profit]" caption="Gross Profit" attribute="1" defaultMemberUniqueName="[Table_1].[Gross Profit].[All]" allUniqueName="[Table_1].[Gross Profit].[All]" dimensionUniqueName="[Table_1]" displayFolder="" count="0" memberValueDatatype="5" unbalanced="0"/>
    <cacheHierarchy uniqueName="[Table_1].[Cumulative cost]" caption="Cumulative cost" attribute="1" defaultMemberUniqueName="[Table_1].[Cumulative cost].[All]" allUniqueName="[Table_1].[Cumulative cost].[All]" dimensionUniqueName="[Table_1]" displayFolder="" count="0" memberValueDatatype="5" unbalanced="0"/>
    <cacheHierarchy uniqueName="[Table_1].[Order Date (Month)]" caption="Order Date (Month)" attribute="1" defaultMemberUniqueName="[Table_1].[Order Date (Month)].[All]" allUniqueName="[Table_1].[Order Date (Month)].[All]" dimensionUniqueName="[Table_1]" displayFolder="" count="2" memberValueDatatype="130" unbalanced="0"/>
    <cacheHierarchy uniqueName="[Table_1].[Order Date (Month Index)]" caption="Order Date (Month Index)" attribute="1" defaultMemberUniqueName="[Table_1].[Order Date (Month Index)].[All]" allUniqueName="[Table_1].[Order Date (Month Index)].[All]" dimensionUniqueName="[Table_1]" displayFolder="" count="0" memberValueDatatype="20" unbalanced="0" hidden="1"/>
    <cacheHierarchy uniqueName="[Measures].[Σ Discount]" caption="Σ Discount" measure="1" displayFolder="" measureGroup="Table_1" count="0"/>
    <cacheHierarchy uniqueName="[Measures].[Σ Profit]" caption="Σ Profit" measure="1" displayFolder="" measureGroup="Table_1" count="0"/>
    <cacheHierarchy uniqueName="[Measures].[Σ Shipping]" caption="Σ Shipping" measure="1" displayFolder="" measureGroup="Table_1" count="0"/>
    <cacheHierarchy uniqueName="[Measures].[Σ Costs]" caption="Σ Costs" measure="1" displayFolder="" measureGroup="Table_1" count="0"/>
    <cacheHierarchy uniqueName="[Measures].[__XL_Count Table_1]" caption="__XL_Count Table_1" measure="1" displayFolder="" measureGroup="Table_1" count="0" hidden="1"/>
    <cacheHierarchy uniqueName="[Measures].[__No measures defined]" caption="__No measures defined" measure="1" displayFolder="" count="0" hidden="1"/>
    <cacheHierarchy uniqueName="[Measures].[Sum of Sales]" caption="Sum of Sales" measure="1" displayFolder="" measureGroup="Table_1" count="0" oneField="1" hidden="1">
      <fieldsUsage count="1">
        <fieldUsage x="0"/>
      </fieldsUsage>
      <extLst>
        <ext xmlns:x15="http://schemas.microsoft.com/office/spreadsheetml/2010/11/main" uri="{B97F6D7D-B522-45F9-BDA1-12C45D357490}">
          <x15:cacheHierarchy aggregatedColumn="22"/>
        </ext>
      </extLst>
    </cacheHierarchy>
    <cacheHierarchy uniqueName="[Measures].[Sum of Quantity ordered new]" caption="Sum of Quantity ordered new" measure="1" displayFolder="" measureGroup="Table_1" count="0" oneField="1" hidden="1">
      <fieldsUsage count="1">
        <fieldUsage x="2"/>
      </fieldsUsage>
      <extLst>
        <ext xmlns:x15="http://schemas.microsoft.com/office/spreadsheetml/2010/11/main" uri="{B97F6D7D-B522-45F9-BDA1-12C45D357490}">
          <x15:cacheHierarchy aggregatedColumn="21"/>
        </ext>
      </extLst>
    </cacheHierarchy>
    <cacheHierarchy uniqueName="[Measures].[Sum of Profit]" caption="Sum of Profit" measure="1" displayFolder="" measureGroup="Table_1" count="0" hidden="1">
      <extLst>
        <ext xmlns:x15="http://schemas.microsoft.com/office/spreadsheetml/2010/11/main" uri="{B97F6D7D-B522-45F9-BDA1-12C45D357490}">
          <x15:cacheHierarchy aggregatedColumn="20"/>
        </ext>
      </extLst>
    </cacheHierarchy>
    <cacheHierarchy uniqueName="[Measures].[Count of Product Category]" caption="Count of Product Category" measure="1" displayFolder="" measureGroup="Table_1" count="0" hidden="1">
      <extLst>
        <ext xmlns:x15="http://schemas.microsoft.com/office/spreadsheetml/2010/11/main" uri="{B97F6D7D-B522-45F9-BDA1-12C45D357490}">
          <x15:cacheHierarchy aggregatedColumn="8"/>
        </ext>
      </extLst>
    </cacheHierarchy>
    <cacheHierarchy uniqueName="[Measures].[Sum of Discount]" caption="Sum of Discount" measure="1" displayFolder="" measureGroup="Table_1" count="0" hidden="1">
      <extLst>
        <ext xmlns:x15="http://schemas.microsoft.com/office/spreadsheetml/2010/11/main" uri="{B97F6D7D-B522-45F9-BDA1-12C45D357490}">
          <x15:cacheHierarchy aggregatedColumn="3"/>
        </ext>
      </extLst>
    </cacheHierarchy>
    <cacheHierarchy uniqueName="[Measures].[Sum of Shipping Cost]" caption="Sum of Shipping Cost" measure="1" displayFolder="" measureGroup="Table_1" count="0" hidden="1">
      <extLst>
        <ext xmlns:x15="http://schemas.microsoft.com/office/spreadsheetml/2010/11/main" uri="{B97F6D7D-B522-45F9-BDA1-12C45D357490}">
          <x15:cacheHierarchy aggregatedColumn="5"/>
        </ext>
      </extLst>
    </cacheHierarchy>
    <cacheHierarchy uniqueName="[Measures].[Sum of Dollar Discount]" caption="Sum of Dollar Discount" measure="1" displayFolder="" measureGroup="Table_1" count="0" hidden="1">
      <extLst>
        <ext xmlns:x15="http://schemas.microsoft.com/office/spreadsheetml/2010/11/main" uri="{B97F6D7D-B522-45F9-BDA1-12C45D357490}">
          <x15:cacheHierarchy aggregatedColumn="26"/>
        </ext>
      </extLst>
    </cacheHierarchy>
    <cacheHierarchy uniqueName="[Measures].[Sum of Cumulative cost]" caption="Sum of Cumulative cost" measure="1" displayFolder="" measureGroup="Table_1" count="0" hidden="1">
      <extLst>
        <ext xmlns:x15="http://schemas.microsoft.com/office/spreadsheetml/2010/11/main" uri="{B97F6D7D-B522-45F9-BDA1-12C45D357490}">
          <x15:cacheHierarchy aggregatedColumn="29"/>
        </ext>
      </extLst>
    </cacheHierarchy>
    <cacheHierarchy uniqueName="[Measures].[Sum of Postal Code]" caption="Sum of Postal Code" measure="1" displayFolder="" measureGroup="Table_1" count="0" hidden="1">
      <extLst>
        <ext xmlns:x15="http://schemas.microsoft.com/office/spreadsheetml/2010/11/main" uri="{B97F6D7D-B522-45F9-BDA1-12C45D357490}">
          <x15:cacheHierarchy aggregatedColumn="17"/>
        </ext>
      </extLst>
    </cacheHierarchy>
    <cacheHierarchy uniqueName="[Measures].[Sum of Order ID]" caption="Sum of Order ID" measure="1" displayFolder="" measureGroup="Table_1" count="0" hidden="1">
      <extLst>
        <ext xmlns:x15="http://schemas.microsoft.com/office/spreadsheetml/2010/11/main" uri="{B97F6D7D-B522-45F9-BDA1-12C45D357490}">
          <x15:cacheHierarchy aggregatedColumn="23"/>
        </ext>
      </extLst>
    </cacheHierarchy>
    <cacheHierarchy uniqueName="[Measures].[Distinct Count of Order ID]" caption="Distinct Count of Order ID" measure="1" displayFolder="" measureGroup="Table_1" count="0" hidden="1">
      <extLst>
        <ext xmlns:x15="http://schemas.microsoft.com/office/spreadsheetml/2010/11/main" uri="{B97F6D7D-B522-45F9-BDA1-12C45D357490}">
          <x15:cacheHierarchy aggregatedColumn="23"/>
        </ext>
      </extLst>
    </cacheHierarchy>
    <cacheHierarchy uniqueName="[Measures].[Count of Order Date]" caption="Count of Order Date" measure="1" displayFolder="" measureGroup="Table_1" count="0" hidden="1">
      <extLst>
        <ext xmlns:x15="http://schemas.microsoft.com/office/spreadsheetml/2010/11/main" uri="{B97F6D7D-B522-45F9-BDA1-12C45D357490}">
          <x15:cacheHierarchy aggregatedColumn="18"/>
        </ext>
      </extLst>
    </cacheHierarchy>
    <cacheHierarchy uniqueName="[Measures].[Max of Order Date]" caption="Max of Order Date" measure="1" displayFolder="" measureGroup="Table_1" count="0" hidden="1">
      <extLst>
        <ext xmlns:x15="http://schemas.microsoft.com/office/spreadsheetml/2010/11/main" uri="{B97F6D7D-B522-45F9-BDA1-12C45D357490}">
          <x15:cacheHierarchy aggregatedColumn="18"/>
        </ext>
      </extLst>
    </cacheHierarchy>
    <cacheHierarchy uniqueName="[Measures].[Count of Product Name]" caption="Count of Product Name" measure="1" displayFolder="" measureGroup="Table_1" count="0" hidden="1">
      <extLst>
        <ext xmlns:x15="http://schemas.microsoft.com/office/spreadsheetml/2010/11/main" uri="{B97F6D7D-B522-45F9-BDA1-12C45D357490}">
          <x15:cacheHierarchy aggregatedColumn="11"/>
        </ext>
      </extLst>
    </cacheHierarchy>
    <cacheHierarchy uniqueName="[Measures].[Distinct Count of Product Name]" caption="Distinct Count of Product Name" measure="1" displayFolder="" measureGroup="Table_1" count="0" hidden="1">
      <extLst>
        <ext xmlns:x15="http://schemas.microsoft.com/office/spreadsheetml/2010/11/main" uri="{B97F6D7D-B522-45F9-BDA1-12C45D357490}">
          <x15:cacheHierarchy aggregatedColumn="11"/>
        </ext>
      </extLst>
    </cacheHierarchy>
    <cacheHierarchy uniqueName="Dummy0" caption="Customer ID" measure="1" count="0">
      <extLst>
        <ext xmlns:x14="http://schemas.microsoft.com/office/spreadsheetml/2009/9/main" uri="{8CF416AD-EC4C-4aba-99F5-12A058AE0983}">
          <x14:cacheHierarchy ignore="1"/>
        </ext>
      </extLst>
    </cacheHierarchy>
    <cacheHierarchy uniqueName="Dummy1" caption="Customer ID" measure="1" count="0">
      <extLst>
        <ext xmlns:x14="http://schemas.microsoft.com/office/spreadsheetml/2009/9/main" uri="{8CF416AD-EC4C-4aba-99F5-12A058AE0983}">
          <x14:cacheHierarchy ignore="1"/>
        </ext>
      </extLst>
    </cacheHierarchy>
  </cacheHierarchies>
  <kpis count="0"/>
  <dimensions count="2">
    <dimension measure="1" name="Measures" uniqueName="[Measures]" caption="Measures"/>
    <dimension name="Table_1" uniqueName="[Table_1]" caption="Table_1"/>
  </dimensions>
  <measureGroups count="1">
    <measureGroup name="Table_1" caption="Table_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aurabh Lakhanpal" refreshedDate="45219.694765624998" backgroundQuery="1" createdVersion="8" refreshedVersion="8" minRefreshableVersion="3" recordCount="0" supportSubquery="1" supportAdvancedDrill="1" xr:uid="{262F750F-AAED-4B26-8F78-789B59509A5E}">
  <cacheSource type="external" connectionId="1"/>
  <cacheFields count="3">
    <cacheField name="[Table_1].[Order Date (Month)].[Order Date (Month)]" caption="Order Date (Month)" numFmtId="0" hierarchy="30" level="1">
      <sharedItems count="6">
        <s v="Jan"/>
        <s v="Feb"/>
        <s v="Mar"/>
        <s v="Apr"/>
        <s v="May"/>
        <s v="Jun"/>
      </sharedItems>
    </cacheField>
    <cacheField name="[Measures].[Sum of Profit]" caption="Sum of Profit" numFmtId="0" hierarchy="40" level="32767"/>
    <cacheField name="[Table_1].[Product Category].[Product Category]" caption="Product Category" numFmtId="0" hierarchy="8" level="1">
      <sharedItems containsSemiMixedTypes="0" containsNonDate="0" containsString="0"/>
    </cacheField>
  </cacheFields>
  <cacheHierarchies count="53">
    <cacheHierarchy uniqueName="[Table_1].[Customer ID]" caption="Customer ID" attribute="1" defaultMemberUniqueName="[Table_1].[Customer ID].[All]" allUniqueName="[Table_1].[Customer ID].[All]" dimensionUniqueName="[Table_1]" displayFolder="" count="0" memberValueDatatype="20" unbalanced="0"/>
    <cacheHierarchy uniqueName="[Table_1].[Customer Name]" caption="Customer Name" attribute="1" defaultMemberUniqueName="[Table_1].[Customer Name].[All]" allUniqueName="[Table_1].[Customer Name].[All]" dimensionUniqueName="[Table_1]" displayFolder="" count="0" memberValueDatatype="130" unbalanced="0"/>
    <cacheHierarchy uniqueName="[Table_1].[Order Priority]" caption="Order Priority" attribute="1" defaultMemberUniqueName="[Table_1].[Order Priority].[All]" allUniqueName="[Table_1].[Order Priority].[All]" dimensionUniqueName="[Table_1]" displayFolder="" count="0" memberValueDatatype="130" unbalanced="0"/>
    <cacheHierarchy uniqueName="[Table_1].[Discount]" caption="Discount" attribute="1" defaultMemberUniqueName="[Table_1].[Discount].[All]" allUniqueName="[Table_1].[Discount].[All]" dimensionUniqueName="[Table_1]" displayFolder="" count="0" memberValueDatatype="5" unbalanced="0"/>
    <cacheHierarchy uniqueName="[Table_1].[Unit Price]" caption="Unit Price" attribute="1" defaultMemberUniqueName="[Table_1].[Unit Price].[All]" allUniqueName="[Table_1].[Unit Price].[All]" dimensionUniqueName="[Table_1]" displayFolder="" count="0" memberValueDatatype="5" unbalanced="0"/>
    <cacheHierarchy uniqueName="[Table_1].[Shipping Cost]" caption="Shipping Cost" attribute="1" defaultMemberUniqueName="[Table_1].[Shipping Cost].[All]" allUniqueName="[Table_1].[Shipping Cost].[All]" dimensionUniqueName="[Table_1]" displayFolder="" count="0" memberValueDatatype="5" unbalanced="0"/>
    <cacheHierarchy uniqueName="[Table_1].[Ship Mode]" caption="Ship Mode" attribute="1" defaultMemberUniqueName="[Table_1].[Ship Mode].[All]" allUniqueName="[Table_1].[Ship Mode].[All]" dimensionUniqueName="[Table_1]" displayFolder="" count="0" memberValueDatatype="130" unbalanced="0"/>
    <cacheHierarchy uniqueName="[Table_1].[Customer Segment]" caption="Customer Segment" attribute="1" defaultMemberUniqueName="[Table_1].[Customer Segment].[All]" allUniqueName="[Table_1].[Customer Segment].[All]" dimensionUniqueName="[Table_1]" displayFolder="" count="0" memberValueDatatype="130" unbalanced="0"/>
    <cacheHierarchy uniqueName="[Table_1].[Product Category]" caption="Product Category" attribute="1" defaultMemberUniqueName="[Table_1].[Product Category].[All]" allUniqueName="[Table_1].[Product Category].[All]" dimensionUniqueName="[Table_1]" displayFolder="" count="2" memberValueDatatype="130" unbalanced="0">
      <fieldsUsage count="2">
        <fieldUsage x="-1"/>
        <fieldUsage x="2"/>
      </fieldsUsage>
    </cacheHierarchy>
    <cacheHierarchy uniqueName="[Table_1].[Product Sub-Category]" caption="Product Sub-Category" attribute="1" defaultMemberUniqueName="[Table_1].[Product Sub-Category].[All]" allUniqueName="[Table_1].[Product Sub-Category].[All]" dimensionUniqueName="[Table_1]" displayFolder="" count="0" memberValueDatatype="130" unbalanced="0"/>
    <cacheHierarchy uniqueName="[Table_1].[Product Container]" caption="Product Container" attribute="1" defaultMemberUniqueName="[Table_1].[Product Container].[All]" allUniqueName="[Table_1].[Product Container].[All]" dimensionUniqueName="[Table_1]" displayFolder="" count="0" memberValueDatatype="130" unbalanced="0"/>
    <cacheHierarchy uniqueName="[Table_1].[Product Name]" caption="Product Name" attribute="1" defaultMemberUniqueName="[Table_1].[Product Name].[All]" allUniqueName="[Table_1].[Product Name].[All]" dimensionUniqueName="[Table_1]" displayFolder="" count="0" memberValueDatatype="130" unbalanced="0"/>
    <cacheHierarchy uniqueName="[Table_1].[Product Base Margin]" caption="Product Base Margin" attribute="1" defaultMemberUniqueName="[Table_1].[Product Base Margin].[All]" allUniqueName="[Table_1].[Product Base Margin].[All]" dimensionUniqueName="[Table_1]" displayFolder="" count="0" memberValueDatatype="5" unbalanced="0"/>
    <cacheHierarchy uniqueName="[Table_1].[Country]" caption="Country" attribute="1" defaultMemberUniqueName="[Table_1].[Country].[All]" allUniqueName="[Table_1].[Country].[All]" dimensionUniqueName="[Table_1]" displayFolder="" count="0" memberValueDatatype="130" unbalanced="0"/>
    <cacheHierarchy uniqueName="[Table_1].[Region]" caption="Region" attribute="1" defaultMemberUniqueName="[Table_1].[Region].[All]" allUniqueName="[Table_1].[Region].[All]" dimensionUniqueName="[Table_1]" displayFolder="" count="0" memberValueDatatype="130" unbalanced="0"/>
    <cacheHierarchy uniqueName="[Table_1].[State or Province]" caption="State or Province" attribute="1" defaultMemberUniqueName="[Table_1].[State or Province].[All]" allUniqueName="[Table_1].[State or Province].[All]" dimensionUniqueName="[Table_1]" displayFolder="" count="0" memberValueDatatype="130" unbalanced="0"/>
    <cacheHierarchy uniqueName="[Table_1].[City]" caption="City" attribute="1" defaultMemberUniqueName="[Table_1].[City].[All]" allUniqueName="[Table_1].[City].[All]" dimensionUniqueName="[Table_1]" displayFolder="" count="0" memberValueDatatype="130" unbalanced="0"/>
    <cacheHierarchy uniqueName="[Table_1].[Postal Code]" caption="Postal Code" attribute="1" defaultMemberUniqueName="[Table_1].[Postal Code].[All]" allUniqueName="[Table_1].[Postal Code].[All]" dimensionUniqueName="[Table_1]" displayFolder="" count="0" memberValueDatatype="20" unbalanced="0"/>
    <cacheHierarchy uniqueName="[Table_1].[Order Date]" caption="Order Date" attribute="1" time="1" defaultMemberUniqueName="[Table_1].[Order Date].[All]" allUniqueName="[Table_1].[Order Date].[All]" dimensionUniqueName="[Table_1]" displayFolder="" count="0" memberValueDatatype="7" unbalanced="0"/>
    <cacheHierarchy uniqueName="[Table_1].[Ship Date]" caption="Ship Date" attribute="1" time="1" defaultMemberUniqueName="[Table_1].[Ship Date].[All]" allUniqueName="[Table_1].[Ship Date].[All]" dimensionUniqueName="[Table_1]" displayFolder="" count="0" memberValueDatatype="7" unbalanced="0"/>
    <cacheHierarchy uniqueName="[Table_1].[Profit]" caption="Profit" attribute="1" defaultMemberUniqueName="[Table_1].[Profit].[All]" allUniqueName="[Table_1].[Profit].[All]" dimensionUniqueName="[Table_1]" displayFolder="" count="0" memberValueDatatype="5" unbalanced="0"/>
    <cacheHierarchy uniqueName="[Table_1].[Quantity ordered new]" caption="Quantity ordered new" attribute="1" defaultMemberUniqueName="[Table_1].[Quantity ordered new].[All]" allUniqueName="[Table_1].[Quantity ordered new].[All]" dimensionUniqueName="[Table_1]" displayFolder="" count="0" memberValueDatatype="20" unbalanced="0"/>
    <cacheHierarchy uniqueName="[Table_1].[Sales]" caption="Sales" attribute="1" defaultMemberUniqueName="[Table_1].[Sales].[All]" allUniqueName="[Table_1].[Sales].[All]" dimensionUniqueName="[Table_1]" displayFolder="" count="0" memberValueDatatype="5" unbalanced="0"/>
    <cacheHierarchy uniqueName="[Table_1].[Order ID]" caption="Order ID" attribute="1" defaultMemberUniqueName="[Table_1].[Order ID].[All]" allUniqueName="[Table_1].[Order ID].[All]" dimensionUniqueName="[Table_1]" displayFolder="" count="0" memberValueDatatype="20" unbalanced="0"/>
    <cacheHierarchy uniqueName="[Table_1].[Total]" caption="Total" attribute="1" defaultMemberUniqueName="[Table_1].[Total].[All]" allUniqueName="[Table_1].[Total].[All]" dimensionUniqueName="[Table_1]" displayFolder="" count="0" memberValueDatatype="5" unbalanced="0"/>
    <cacheHierarchy uniqueName="[Table_1].[Manager]" caption="Manager" attribute="1" defaultMemberUniqueName="[Table_1].[Manager].[All]" allUniqueName="[Table_1].[Manager].[All]" dimensionUniqueName="[Table_1]" displayFolder="" count="0" memberValueDatatype="130" unbalanced="0"/>
    <cacheHierarchy uniqueName="[Table_1].[Dollar Discount]" caption="Dollar Discount" attribute="1" defaultMemberUniqueName="[Table_1].[Dollar Discount].[All]" allUniqueName="[Table_1].[Dollar Discount].[All]" dimensionUniqueName="[Table_1]" displayFolder="" count="0" memberValueDatatype="5" unbalanced="0"/>
    <cacheHierarchy uniqueName="[Table_1].[Gross Cost]" caption="Gross Cost" attribute="1" defaultMemberUniqueName="[Table_1].[Gross Cost].[All]" allUniqueName="[Table_1].[Gross Cost].[All]" dimensionUniqueName="[Table_1]" displayFolder="" count="0" memberValueDatatype="5" unbalanced="0"/>
    <cacheHierarchy uniqueName="[Table_1].[Gross Profit]" caption="Gross Profit" attribute="1" defaultMemberUniqueName="[Table_1].[Gross Profit].[All]" allUniqueName="[Table_1].[Gross Profit].[All]" dimensionUniqueName="[Table_1]" displayFolder="" count="0" memberValueDatatype="5" unbalanced="0"/>
    <cacheHierarchy uniqueName="[Table_1].[Cumulative cost]" caption="Cumulative cost" attribute="1" defaultMemberUniqueName="[Table_1].[Cumulative cost].[All]" allUniqueName="[Table_1].[Cumulative cost].[All]" dimensionUniqueName="[Table_1]" displayFolder="" count="0" memberValueDatatype="5" unbalanced="0"/>
    <cacheHierarchy uniqueName="[Table_1].[Order Date (Month)]" caption="Order Date (Month)" attribute="1" defaultMemberUniqueName="[Table_1].[Order Date (Month)].[All]" allUniqueName="[Table_1].[Order Date (Month)].[All]" dimensionUniqueName="[Table_1]" displayFolder="" count="2" memberValueDatatype="130" unbalanced="0">
      <fieldsUsage count="2">
        <fieldUsage x="-1"/>
        <fieldUsage x="0"/>
      </fieldsUsage>
    </cacheHierarchy>
    <cacheHierarchy uniqueName="[Table_1].[Order Date (Month Index)]" caption="Order Date (Month Index)" attribute="1" defaultMemberUniqueName="[Table_1].[Order Date (Month Index)].[All]" allUniqueName="[Table_1].[Order Date (Month Index)].[All]" dimensionUniqueName="[Table_1]" displayFolder="" count="0" memberValueDatatype="20" unbalanced="0" hidden="1"/>
    <cacheHierarchy uniqueName="[Measures].[Σ Discount]" caption="Σ Discount" measure="1" displayFolder="" measureGroup="Table_1" count="0"/>
    <cacheHierarchy uniqueName="[Measures].[Σ Profit]" caption="Σ Profit" measure="1" displayFolder="" measureGroup="Table_1" count="0"/>
    <cacheHierarchy uniqueName="[Measures].[Σ Shipping]" caption="Σ Shipping" measure="1" displayFolder="" measureGroup="Table_1" count="0"/>
    <cacheHierarchy uniqueName="[Measures].[Σ Costs]" caption="Σ Costs" measure="1" displayFolder="" measureGroup="Table_1" count="0"/>
    <cacheHierarchy uniqueName="[Measures].[__XL_Count Table_1]" caption="__XL_Count Table_1" measure="1" displayFolder="" measureGroup="Table_1" count="0" hidden="1"/>
    <cacheHierarchy uniqueName="[Measures].[__No measures defined]" caption="__No measures defined" measure="1" displayFolder="" count="0" hidden="1"/>
    <cacheHierarchy uniqueName="[Measures].[Sum of Sales]" caption="Sum of Sales" measure="1" displayFolder="" measureGroup="Table_1" count="0" hidden="1">
      <extLst>
        <ext xmlns:x15="http://schemas.microsoft.com/office/spreadsheetml/2010/11/main" uri="{B97F6D7D-B522-45F9-BDA1-12C45D357490}">
          <x15:cacheHierarchy aggregatedColumn="22"/>
        </ext>
      </extLst>
    </cacheHierarchy>
    <cacheHierarchy uniqueName="[Measures].[Sum of Quantity ordered new]" caption="Sum of Quantity ordered new" measure="1" displayFolder="" measureGroup="Table_1" count="0" hidden="1">
      <extLst>
        <ext xmlns:x15="http://schemas.microsoft.com/office/spreadsheetml/2010/11/main" uri="{B97F6D7D-B522-45F9-BDA1-12C45D357490}">
          <x15:cacheHierarchy aggregatedColumn="21"/>
        </ext>
      </extLst>
    </cacheHierarchy>
    <cacheHierarchy uniqueName="[Measures].[Sum of Profit]" caption="Sum of Profit" measure="1" displayFolder="" measureGroup="Table_1" count="0" oneField="1" hidden="1">
      <fieldsUsage count="1">
        <fieldUsage x="1"/>
      </fieldsUsage>
      <extLst>
        <ext xmlns:x15="http://schemas.microsoft.com/office/spreadsheetml/2010/11/main" uri="{B97F6D7D-B522-45F9-BDA1-12C45D357490}">
          <x15:cacheHierarchy aggregatedColumn="20"/>
        </ext>
      </extLst>
    </cacheHierarchy>
    <cacheHierarchy uniqueName="[Measures].[Count of Product Category]" caption="Count of Product Category" measure="1" displayFolder="" measureGroup="Table_1" count="0" hidden="1">
      <extLst>
        <ext xmlns:x15="http://schemas.microsoft.com/office/spreadsheetml/2010/11/main" uri="{B97F6D7D-B522-45F9-BDA1-12C45D357490}">
          <x15:cacheHierarchy aggregatedColumn="8"/>
        </ext>
      </extLst>
    </cacheHierarchy>
    <cacheHierarchy uniqueName="[Measures].[Sum of Discount]" caption="Sum of Discount" measure="1" displayFolder="" measureGroup="Table_1" count="0" hidden="1">
      <extLst>
        <ext xmlns:x15="http://schemas.microsoft.com/office/spreadsheetml/2010/11/main" uri="{B97F6D7D-B522-45F9-BDA1-12C45D357490}">
          <x15:cacheHierarchy aggregatedColumn="3"/>
        </ext>
      </extLst>
    </cacheHierarchy>
    <cacheHierarchy uniqueName="[Measures].[Sum of Shipping Cost]" caption="Sum of Shipping Cost" measure="1" displayFolder="" measureGroup="Table_1" count="0" hidden="1">
      <extLst>
        <ext xmlns:x15="http://schemas.microsoft.com/office/spreadsheetml/2010/11/main" uri="{B97F6D7D-B522-45F9-BDA1-12C45D357490}">
          <x15:cacheHierarchy aggregatedColumn="5"/>
        </ext>
      </extLst>
    </cacheHierarchy>
    <cacheHierarchy uniqueName="[Measures].[Sum of Dollar Discount]" caption="Sum of Dollar Discount" measure="1" displayFolder="" measureGroup="Table_1" count="0" hidden="1">
      <extLst>
        <ext xmlns:x15="http://schemas.microsoft.com/office/spreadsheetml/2010/11/main" uri="{B97F6D7D-B522-45F9-BDA1-12C45D357490}">
          <x15:cacheHierarchy aggregatedColumn="26"/>
        </ext>
      </extLst>
    </cacheHierarchy>
    <cacheHierarchy uniqueName="[Measures].[Sum of Cumulative cost]" caption="Sum of Cumulative cost" measure="1" displayFolder="" measureGroup="Table_1" count="0" hidden="1">
      <extLst>
        <ext xmlns:x15="http://schemas.microsoft.com/office/spreadsheetml/2010/11/main" uri="{B97F6D7D-B522-45F9-BDA1-12C45D357490}">
          <x15:cacheHierarchy aggregatedColumn="29"/>
        </ext>
      </extLst>
    </cacheHierarchy>
    <cacheHierarchy uniqueName="[Measures].[Sum of Postal Code]" caption="Sum of Postal Code" measure="1" displayFolder="" measureGroup="Table_1" count="0" hidden="1">
      <extLst>
        <ext xmlns:x15="http://schemas.microsoft.com/office/spreadsheetml/2010/11/main" uri="{B97F6D7D-B522-45F9-BDA1-12C45D357490}">
          <x15:cacheHierarchy aggregatedColumn="17"/>
        </ext>
      </extLst>
    </cacheHierarchy>
    <cacheHierarchy uniqueName="[Measures].[Sum of Order ID]" caption="Sum of Order ID" measure="1" displayFolder="" measureGroup="Table_1" count="0" hidden="1">
      <extLst>
        <ext xmlns:x15="http://schemas.microsoft.com/office/spreadsheetml/2010/11/main" uri="{B97F6D7D-B522-45F9-BDA1-12C45D357490}">
          <x15:cacheHierarchy aggregatedColumn="23"/>
        </ext>
      </extLst>
    </cacheHierarchy>
    <cacheHierarchy uniqueName="[Measures].[Distinct Count of Order ID]" caption="Distinct Count of Order ID" measure="1" displayFolder="" measureGroup="Table_1" count="0" hidden="1">
      <extLst>
        <ext xmlns:x15="http://schemas.microsoft.com/office/spreadsheetml/2010/11/main" uri="{B97F6D7D-B522-45F9-BDA1-12C45D357490}">
          <x15:cacheHierarchy aggregatedColumn="23"/>
        </ext>
      </extLst>
    </cacheHierarchy>
    <cacheHierarchy uniqueName="[Measures].[Count of Order Date]" caption="Count of Order Date" measure="1" displayFolder="" measureGroup="Table_1" count="0" hidden="1">
      <extLst>
        <ext xmlns:x15="http://schemas.microsoft.com/office/spreadsheetml/2010/11/main" uri="{B97F6D7D-B522-45F9-BDA1-12C45D357490}">
          <x15:cacheHierarchy aggregatedColumn="18"/>
        </ext>
      </extLst>
    </cacheHierarchy>
    <cacheHierarchy uniqueName="[Measures].[Max of Order Date]" caption="Max of Order Date" measure="1" displayFolder="" measureGroup="Table_1" count="0" hidden="1">
      <extLst>
        <ext xmlns:x15="http://schemas.microsoft.com/office/spreadsheetml/2010/11/main" uri="{B97F6D7D-B522-45F9-BDA1-12C45D357490}">
          <x15:cacheHierarchy aggregatedColumn="18"/>
        </ext>
      </extLst>
    </cacheHierarchy>
    <cacheHierarchy uniqueName="[Measures].[Count of Product Name]" caption="Count of Product Name" measure="1" displayFolder="" measureGroup="Table_1" count="0" hidden="1">
      <extLst>
        <ext xmlns:x15="http://schemas.microsoft.com/office/spreadsheetml/2010/11/main" uri="{B97F6D7D-B522-45F9-BDA1-12C45D357490}">
          <x15:cacheHierarchy aggregatedColumn="11"/>
        </ext>
      </extLst>
    </cacheHierarchy>
    <cacheHierarchy uniqueName="[Measures].[Distinct Count of Product Name]" caption="Distinct Count of Product Name" measure="1" displayFolder="" measureGroup="Table_1" count="0" hidden="1">
      <extLst>
        <ext xmlns:x15="http://schemas.microsoft.com/office/spreadsheetml/2010/11/main" uri="{B97F6D7D-B522-45F9-BDA1-12C45D357490}">
          <x15:cacheHierarchy aggregatedColumn="11"/>
        </ext>
      </extLst>
    </cacheHierarchy>
  </cacheHierarchies>
  <kpis count="0"/>
  <dimensions count="2">
    <dimension measure="1" name="Measures" uniqueName="[Measures]" caption="Measures"/>
    <dimension name="Table_1" uniqueName="[Table_1]" caption="Table_1"/>
  </dimensions>
  <measureGroups count="1">
    <measureGroup name="Table_1" caption="Table_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aurabh Lakhanpal" refreshedDate="45219.694765856482" backgroundQuery="1" createdVersion="8" refreshedVersion="8" minRefreshableVersion="3" recordCount="0" supportSubquery="1" supportAdvancedDrill="1" xr:uid="{BF041D2A-B764-420F-A996-18885B5D1594}">
  <cacheSource type="external" connectionId="1"/>
  <cacheFields count="3">
    <cacheField name="[Table_1].[Region].[Region]" caption="Region" numFmtId="0" hierarchy="14" level="1">
      <sharedItems count="4">
        <s v="Central"/>
        <s v="East"/>
        <s v="South"/>
        <s v="West"/>
      </sharedItems>
    </cacheField>
    <cacheField name="[Measures].[Sum of Profit]" caption="Sum of Profit" numFmtId="0" hierarchy="40" level="32767"/>
    <cacheField name="[Table_1].[Product Category].[Product Category]" caption="Product Category" numFmtId="0" hierarchy="8" level="1">
      <sharedItems containsSemiMixedTypes="0" containsNonDate="0" containsString="0"/>
    </cacheField>
  </cacheFields>
  <cacheHierarchies count="53">
    <cacheHierarchy uniqueName="[Table_1].[Customer ID]" caption="Customer ID" attribute="1" defaultMemberUniqueName="[Table_1].[Customer ID].[All]" allUniqueName="[Table_1].[Customer ID].[All]" dimensionUniqueName="[Table_1]" displayFolder="" count="0" memberValueDatatype="20" unbalanced="0"/>
    <cacheHierarchy uniqueName="[Table_1].[Customer Name]" caption="Customer Name" attribute="1" defaultMemberUniqueName="[Table_1].[Customer Name].[All]" allUniqueName="[Table_1].[Customer Name].[All]" dimensionUniqueName="[Table_1]" displayFolder="" count="0" memberValueDatatype="130" unbalanced="0"/>
    <cacheHierarchy uniqueName="[Table_1].[Order Priority]" caption="Order Priority" attribute="1" defaultMemberUniqueName="[Table_1].[Order Priority].[All]" allUniqueName="[Table_1].[Order Priority].[All]" dimensionUniqueName="[Table_1]" displayFolder="" count="0" memberValueDatatype="130" unbalanced="0"/>
    <cacheHierarchy uniqueName="[Table_1].[Discount]" caption="Discount" attribute="1" defaultMemberUniqueName="[Table_1].[Discount].[All]" allUniqueName="[Table_1].[Discount].[All]" dimensionUniqueName="[Table_1]" displayFolder="" count="0" memberValueDatatype="5" unbalanced="0"/>
    <cacheHierarchy uniqueName="[Table_1].[Unit Price]" caption="Unit Price" attribute="1" defaultMemberUniqueName="[Table_1].[Unit Price].[All]" allUniqueName="[Table_1].[Unit Price].[All]" dimensionUniqueName="[Table_1]" displayFolder="" count="0" memberValueDatatype="5" unbalanced="0"/>
    <cacheHierarchy uniqueName="[Table_1].[Shipping Cost]" caption="Shipping Cost" attribute="1" defaultMemberUniqueName="[Table_1].[Shipping Cost].[All]" allUniqueName="[Table_1].[Shipping Cost].[All]" dimensionUniqueName="[Table_1]" displayFolder="" count="0" memberValueDatatype="5" unbalanced="0"/>
    <cacheHierarchy uniqueName="[Table_1].[Ship Mode]" caption="Ship Mode" attribute="1" defaultMemberUniqueName="[Table_1].[Ship Mode].[All]" allUniqueName="[Table_1].[Ship Mode].[All]" dimensionUniqueName="[Table_1]" displayFolder="" count="0" memberValueDatatype="130" unbalanced="0"/>
    <cacheHierarchy uniqueName="[Table_1].[Customer Segment]" caption="Customer Segment" attribute="1" defaultMemberUniqueName="[Table_1].[Customer Segment].[All]" allUniqueName="[Table_1].[Customer Segment].[All]" dimensionUniqueName="[Table_1]" displayFolder="" count="0" memberValueDatatype="130" unbalanced="0"/>
    <cacheHierarchy uniqueName="[Table_1].[Product Category]" caption="Product Category" attribute="1" defaultMemberUniqueName="[Table_1].[Product Category].[All]" allUniqueName="[Table_1].[Product Category].[All]" dimensionUniqueName="[Table_1]" displayFolder="" count="2" memberValueDatatype="130" unbalanced="0">
      <fieldsUsage count="2">
        <fieldUsage x="-1"/>
        <fieldUsage x="2"/>
      </fieldsUsage>
    </cacheHierarchy>
    <cacheHierarchy uniqueName="[Table_1].[Product Sub-Category]" caption="Product Sub-Category" attribute="1" defaultMemberUniqueName="[Table_1].[Product Sub-Category].[All]" allUniqueName="[Table_1].[Product Sub-Category].[All]" dimensionUniqueName="[Table_1]" displayFolder="" count="0" memberValueDatatype="130" unbalanced="0"/>
    <cacheHierarchy uniqueName="[Table_1].[Product Container]" caption="Product Container" attribute="1" defaultMemberUniqueName="[Table_1].[Product Container].[All]" allUniqueName="[Table_1].[Product Container].[All]" dimensionUniqueName="[Table_1]" displayFolder="" count="0" memberValueDatatype="130" unbalanced="0"/>
    <cacheHierarchy uniqueName="[Table_1].[Product Name]" caption="Product Name" attribute="1" defaultMemberUniqueName="[Table_1].[Product Name].[All]" allUniqueName="[Table_1].[Product Name].[All]" dimensionUniqueName="[Table_1]" displayFolder="" count="0" memberValueDatatype="130" unbalanced="0"/>
    <cacheHierarchy uniqueName="[Table_1].[Product Base Margin]" caption="Product Base Margin" attribute="1" defaultMemberUniqueName="[Table_1].[Product Base Margin].[All]" allUniqueName="[Table_1].[Product Base Margin].[All]" dimensionUniqueName="[Table_1]" displayFolder="" count="0" memberValueDatatype="5" unbalanced="0"/>
    <cacheHierarchy uniqueName="[Table_1].[Country]" caption="Country" attribute="1" defaultMemberUniqueName="[Table_1].[Country].[All]" allUniqueName="[Table_1].[Country].[All]" dimensionUniqueName="[Table_1]" displayFolder="" count="0" memberValueDatatype="130" unbalanced="0"/>
    <cacheHierarchy uniqueName="[Table_1].[Region]" caption="Region" attribute="1" defaultMemberUniqueName="[Table_1].[Region].[All]" allUniqueName="[Table_1].[Region].[All]" dimensionUniqueName="[Table_1]" displayFolder="" count="2" memberValueDatatype="130" unbalanced="0">
      <fieldsUsage count="2">
        <fieldUsage x="-1"/>
        <fieldUsage x="0"/>
      </fieldsUsage>
    </cacheHierarchy>
    <cacheHierarchy uniqueName="[Table_1].[State or Province]" caption="State or Province" attribute="1" defaultMemberUniqueName="[Table_1].[State or Province].[All]" allUniqueName="[Table_1].[State or Province].[All]" dimensionUniqueName="[Table_1]" displayFolder="" count="0" memberValueDatatype="130" unbalanced="0"/>
    <cacheHierarchy uniqueName="[Table_1].[City]" caption="City" attribute="1" defaultMemberUniqueName="[Table_1].[City].[All]" allUniqueName="[Table_1].[City].[All]" dimensionUniqueName="[Table_1]" displayFolder="" count="0" memberValueDatatype="130" unbalanced="0"/>
    <cacheHierarchy uniqueName="[Table_1].[Postal Code]" caption="Postal Code" attribute="1" defaultMemberUniqueName="[Table_1].[Postal Code].[All]" allUniqueName="[Table_1].[Postal Code].[All]" dimensionUniqueName="[Table_1]" displayFolder="" count="0" memberValueDatatype="20" unbalanced="0"/>
    <cacheHierarchy uniqueName="[Table_1].[Order Date]" caption="Order Date" attribute="1" time="1" defaultMemberUniqueName="[Table_1].[Order Date].[All]" allUniqueName="[Table_1].[Order Date].[All]" dimensionUniqueName="[Table_1]" displayFolder="" count="0" memberValueDatatype="7" unbalanced="0"/>
    <cacheHierarchy uniqueName="[Table_1].[Ship Date]" caption="Ship Date" attribute="1" time="1" defaultMemberUniqueName="[Table_1].[Ship Date].[All]" allUniqueName="[Table_1].[Ship Date].[All]" dimensionUniqueName="[Table_1]" displayFolder="" count="0" memberValueDatatype="7" unbalanced="0"/>
    <cacheHierarchy uniqueName="[Table_1].[Profit]" caption="Profit" attribute="1" defaultMemberUniqueName="[Table_1].[Profit].[All]" allUniqueName="[Table_1].[Profit].[All]" dimensionUniqueName="[Table_1]" displayFolder="" count="0" memberValueDatatype="5" unbalanced="0"/>
    <cacheHierarchy uniqueName="[Table_1].[Quantity ordered new]" caption="Quantity ordered new" attribute="1" defaultMemberUniqueName="[Table_1].[Quantity ordered new].[All]" allUniqueName="[Table_1].[Quantity ordered new].[All]" dimensionUniqueName="[Table_1]" displayFolder="" count="0" memberValueDatatype="20" unbalanced="0"/>
    <cacheHierarchy uniqueName="[Table_1].[Sales]" caption="Sales" attribute="1" defaultMemberUniqueName="[Table_1].[Sales].[All]" allUniqueName="[Table_1].[Sales].[All]" dimensionUniqueName="[Table_1]" displayFolder="" count="0" memberValueDatatype="5" unbalanced="0"/>
    <cacheHierarchy uniqueName="[Table_1].[Order ID]" caption="Order ID" attribute="1" defaultMemberUniqueName="[Table_1].[Order ID].[All]" allUniqueName="[Table_1].[Order ID].[All]" dimensionUniqueName="[Table_1]" displayFolder="" count="0" memberValueDatatype="20" unbalanced="0"/>
    <cacheHierarchy uniqueName="[Table_1].[Total]" caption="Total" attribute="1" defaultMemberUniqueName="[Table_1].[Total].[All]" allUniqueName="[Table_1].[Total].[All]" dimensionUniqueName="[Table_1]" displayFolder="" count="0" memberValueDatatype="5" unbalanced="0"/>
    <cacheHierarchy uniqueName="[Table_1].[Manager]" caption="Manager" attribute="1" defaultMemberUniqueName="[Table_1].[Manager].[All]" allUniqueName="[Table_1].[Manager].[All]" dimensionUniqueName="[Table_1]" displayFolder="" count="0" memberValueDatatype="130" unbalanced="0"/>
    <cacheHierarchy uniqueName="[Table_1].[Dollar Discount]" caption="Dollar Discount" attribute="1" defaultMemberUniqueName="[Table_1].[Dollar Discount].[All]" allUniqueName="[Table_1].[Dollar Discount].[All]" dimensionUniqueName="[Table_1]" displayFolder="" count="0" memberValueDatatype="5" unbalanced="0"/>
    <cacheHierarchy uniqueName="[Table_1].[Gross Cost]" caption="Gross Cost" attribute="1" defaultMemberUniqueName="[Table_1].[Gross Cost].[All]" allUniqueName="[Table_1].[Gross Cost].[All]" dimensionUniqueName="[Table_1]" displayFolder="" count="0" memberValueDatatype="5" unbalanced="0"/>
    <cacheHierarchy uniqueName="[Table_1].[Gross Profit]" caption="Gross Profit" attribute="1" defaultMemberUniqueName="[Table_1].[Gross Profit].[All]" allUniqueName="[Table_1].[Gross Profit].[All]" dimensionUniqueName="[Table_1]" displayFolder="" count="0" memberValueDatatype="5" unbalanced="0"/>
    <cacheHierarchy uniqueName="[Table_1].[Cumulative cost]" caption="Cumulative cost" attribute="1" defaultMemberUniqueName="[Table_1].[Cumulative cost].[All]" allUniqueName="[Table_1].[Cumulative cost].[All]" dimensionUniqueName="[Table_1]" displayFolder="" count="0" memberValueDatatype="5" unbalanced="0"/>
    <cacheHierarchy uniqueName="[Table_1].[Order Date (Month)]" caption="Order Date (Month)" attribute="1" defaultMemberUniqueName="[Table_1].[Order Date (Month)].[All]" allUniqueName="[Table_1].[Order Date (Month)].[All]" dimensionUniqueName="[Table_1]" displayFolder="" count="2" memberValueDatatype="130" unbalanced="0"/>
    <cacheHierarchy uniqueName="[Table_1].[Order Date (Month Index)]" caption="Order Date (Month Index)" attribute="1" defaultMemberUniqueName="[Table_1].[Order Date (Month Index)].[All]" allUniqueName="[Table_1].[Order Date (Month Index)].[All]" dimensionUniqueName="[Table_1]" displayFolder="" count="0" memberValueDatatype="20" unbalanced="0" hidden="1"/>
    <cacheHierarchy uniqueName="[Measures].[Σ Discount]" caption="Σ Discount" measure="1" displayFolder="" measureGroup="Table_1" count="0"/>
    <cacheHierarchy uniqueName="[Measures].[Σ Profit]" caption="Σ Profit" measure="1" displayFolder="" measureGroup="Table_1" count="0"/>
    <cacheHierarchy uniqueName="[Measures].[Σ Shipping]" caption="Σ Shipping" measure="1" displayFolder="" measureGroup="Table_1" count="0"/>
    <cacheHierarchy uniqueName="[Measures].[Σ Costs]" caption="Σ Costs" measure="1" displayFolder="" measureGroup="Table_1" count="0"/>
    <cacheHierarchy uniqueName="[Measures].[__XL_Count Table_1]" caption="__XL_Count Table_1" measure="1" displayFolder="" measureGroup="Table_1" count="0" hidden="1"/>
    <cacheHierarchy uniqueName="[Measures].[__No measures defined]" caption="__No measures defined" measure="1" displayFolder="" count="0" hidden="1"/>
    <cacheHierarchy uniqueName="[Measures].[Sum of Sales]" caption="Sum of Sales" measure="1" displayFolder="" measureGroup="Table_1" count="0" hidden="1">
      <extLst>
        <ext xmlns:x15="http://schemas.microsoft.com/office/spreadsheetml/2010/11/main" uri="{B97F6D7D-B522-45F9-BDA1-12C45D357490}">
          <x15:cacheHierarchy aggregatedColumn="22"/>
        </ext>
      </extLst>
    </cacheHierarchy>
    <cacheHierarchy uniqueName="[Measures].[Sum of Quantity ordered new]" caption="Sum of Quantity ordered new" measure="1" displayFolder="" measureGroup="Table_1" count="0" hidden="1">
      <extLst>
        <ext xmlns:x15="http://schemas.microsoft.com/office/spreadsheetml/2010/11/main" uri="{B97F6D7D-B522-45F9-BDA1-12C45D357490}">
          <x15:cacheHierarchy aggregatedColumn="21"/>
        </ext>
      </extLst>
    </cacheHierarchy>
    <cacheHierarchy uniqueName="[Measures].[Sum of Profit]" caption="Sum of Profit" measure="1" displayFolder="" measureGroup="Table_1" count="0" oneField="1" hidden="1">
      <fieldsUsage count="1">
        <fieldUsage x="1"/>
      </fieldsUsage>
      <extLst>
        <ext xmlns:x15="http://schemas.microsoft.com/office/spreadsheetml/2010/11/main" uri="{B97F6D7D-B522-45F9-BDA1-12C45D357490}">
          <x15:cacheHierarchy aggregatedColumn="20"/>
        </ext>
      </extLst>
    </cacheHierarchy>
    <cacheHierarchy uniqueName="[Measures].[Count of Product Category]" caption="Count of Product Category" measure="1" displayFolder="" measureGroup="Table_1" count="0" hidden="1">
      <extLst>
        <ext xmlns:x15="http://schemas.microsoft.com/office/spreadsheetml/2010/11/main" uri="{B97F6D7D-B522-45F9-BDA1-12C45D357490}">
          <x15:cacheHierarchy aggregatedColumn="8"/>
        </ext>
      </extLst>
    </cacheHierarchy>
    <cacheHierarchy uniqueName="[Measures].[Sum of Discount]" caption="Sum of Discount" measure="1" displayFolder="" measureGroup="Table_1" count="0" hidden="1">
      <extLst>
        <ext xmlns:x15="http://schemas.microsoft.com/office/spreadsheetml/2010/11/main" uri="{B97F6D7D-B522-45F9-BDA1-12C45D357490}">
          <x15:cacheHierarchy aggregatedColumn="3"/>
        </ext>
      </extLst>
    </cacheHierarchy>
    <cacheHierarchy uniqueName="[Measures].[Sum of Shipping Cost]" caption="Sum of Shipping Cost" measure="1" displayFolder="" measureGroup="Table_1" count="0" hidden="1">
      <extLst>
        <ext xmlns:x15="http://schemas.microsoft.com/office/spreadsheetml/2010/11/main" uri="{B97F6D7D-B522-45F9-BDA1-12C45D357490}">
          <x15:cacheHierarchy aggregatedColumn="5"/>
        </ext>
      </extLst>
    </cacheHierarchy>
    <cacheHierarchy uniqueName="[Measures].[Sum of Dollar Discount]" caption="Sum of Dollar Discount" measure="1" displayFolder="" measureGroup="Table_1" count="0" hidden="1">
      <extLst>
        <ext xmlns:x15="http://schemas.microsoft.com/office/spreadsheetml/2010/11/main" uri="{B97F6D7D-B522-45F9-BDA1-12C45D357490}">
          <x15:cacheHierarchy aggregatedColumn="26"/>
        </ext>
      </extLst>
    </cacheHierarchy>
    <cacheHierarchy uniqueName="[Measures].[Sum of Cumulative cost]" caption="Sum of Cumulative cost" measure="1" displayFolder="" measureGroup="Table_1" count="0" hidden="1">
      <extLst>
        <ext xmlns:x15="http://schemas.microsoft.com/office/spreadsheetml/2010/11/main" uri="{B97F6D7D-B522-45F9-BDA1-12C45D357490}">
          <x15:cacheHierarchy aggregatedColumn="29"/>
        </ext>
      </extLst>
    </cacheHierarchy>
    <cacheHierarchy uniqueName="[Measures].[Sum of Postal Code]" caption="Sum of Postal Code" measure="1" displayFolder="" measureGroup="Table_1" count="0" hidden="1">
      <extLst>
        <ext xmlns:x15="http://schemas.microsoft.com/office/spreadsheetml/2010/11/main" uri="{B97F6D7D-B522-45F9-BDA1-12C45D357490}">
          <x15:cacheHierarchy aggregatedColumn="17"/>
        </ext>
      </extLst>
    </cacheHierarchy>
    <cacheHierarchy uniqueName="[Measures].[Sum of Order ID]" caption="Sum of Order ID" measure="1" displayFolder="" measureGroup="Table_1" count="0" hidden="1">
      <extLst>
        <ext xmlns:x15="http://schemas.microsoft.com/office/spreadsheetml/2010/11/main" uri="{B97F6D7D-B522-45F9-BDA1-12C45D357490}">
          <x15:cacheHierarchy aggregatedColumn="23"/>
        </ext>
      </extLst>
    </cacheHierarchy>
    <cacheHierarchy uniqueName="[Measures].[Distinct Count of Order ID]" caption="Distinct Count of Order ID" measure="1" displayFolder="" measureGroup="Table_1" count="0" hidden="1">
      <extLst>
        <ext xmlns:x15="http://schemas.microsoft.com/office/spreadsheetml/2010/11/main" uri="{B97F6D7D-B522-45F9-BDA1-12C45D357490}">
          <x15:cacheHierarchy aggregatedColumn="23"/>
        </ext>
      </extLst>
    </cacheHierarchy>
    <cacheHierarchy uniqueName="[Measures].[Count of Order Date]" caption="Count of Order Date" measure="1" displayFolder="" measureGroup="Table_1" count="0" hidden="1">
      <extLst>
        <ext xmlns:x15="http://schemas.microsoft.com/office/spreadsheetml/2010/11/main" uri="{B97F6D7D-B522-45F9-BDA1-12C45D357490}">
          <x15:cacheHierarchy aggregatedColumn="18"/>
        </ext>
      </extLst>
    </cacheHierarchy>
    <cacheHierarchy uniqueName="[Measures].[Max of Order Date]" caption="Max of Order Date" measure="1" displayFolder="" measureGroup="Table_1" count="0" hidden="1">
      <extLst>
        <ext xmlns:x15="http://schemas.microsoft.com/office/spreadsheetml/2010/11/main" uri="{B97F6D7D-B522-45F9-BDA1-12C45D357490}">
          <x15:cacheHierarchy aggregatedColumn="18"/>
        </ext>
      </extLst>
    </cacheHierarchy>
    <cacheHierarchy uniqueName="[Measures].[Count of Product Name]" caption="Count of Product Name" measure="1" displayFolder="" measureGroup="Table_1" count="0" hidden="1">
      <extLst>
        <ext xmlns:x15="http://schemas.microsoft.com/office/spreadsheetml/2010/11/main" uri="{B97F6D7D-B522-45F9-BDA1-12C45D357490}">
          <x15:cacheHierarchy aggregatedColumn="11"/>
        </ext>
      </extLst>
    </cacheHierarchy>
    <cacheHierarchy uniqueName="[Measures].[Distinct Count of Product Name]" caption="Distinct Count of Product Name" measure="1" displayFolder="" measureGroup="Table_1" count="0" hidden="1">
      <extLst>
        <ext xmlns:x15="http://schemas.microsoft.com/office/spreadsheetml/2010/11/main" uri="{B97F6D7D-B522-45F9-BDA1-12C45D357490}">
          <x15:cacheHierarchy aggregatedColumn="11"/>
        </ext>
      </extLst>
    </cacheHierarchy>
  </cacheHierarchies>
  <kpis count="0"/>
  <dimensions count="2">
    <dimension measure="1" name="Measures" uniqueName="[Measures]" caption="Measures"/>
    <dimension name="Table_1" uniqueName="[Table_1]" caption="Table_1"/>
  </dimensions>
  <measureGroups count="1">
    <measureGroup name="Table_1" caption="Table_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aurabh Lakhanpal" refreshedDate="45219.69476608796" backgroundQuery="1" createdVersion="8" refreshedVersion="8" minRefreshableVersion="3" recordCount="0" supportSubquery="1" supportAdvancedDrill="1" xr:uid="{3BB6CB97-59F5-4435-A820-999465528375}">
  <cacheSource type="external" connectionId="1"/>
  <cacheFields count="7">
    <cacheField name="[Table_1].[Product Category].[Product Category]" caption="Product Category" numFmtId="0" hierarchy="8" level="1">
      <sharedItems count="3">
        <s v="Furniture"/>
        <s v="Office Supplies"/>
        <s v="Technology"/>
      </sharedItems>
    </cacheField>
    <cacheField name="[Measures].[Sum of Profit]" caption="Sum of Profit" numFmtId="0" hierarchy="40" level="32767"/>
    <cacheField name="[Measures].[Sum of Cumulative cost]" caption="Sum of Cumulative cost" numFmtId="0" hierarchy="45" level="32767"/>
    <cacheField name="[Measures].[Sum of Shipping Cost]" caption="Sum of Shipping Cost" numFmtId="0" hierarchy="43" level="32767"/>
    <cacheField name="[Table_1].[Region].[Region]" caption="Region" numFmtId="0" hierarchy="14" level="1">
      <sharedItems count="4">
        <s v="Central"/>
        <s v="East"/>
        <s v="South"/>
        <s v="West"/>
      </sharedItems>
    </cacheField>
    <cacheField name="[Measures].[Sum of Discount]" caption="Sum of Discount" numFmtId="0" hierarchy="42" level="32767"/>
    <cacheField name="[Measures].[Sum of Sales]" caption="Sum of Sales" numFmtId="0" hierarchy="38" level="32767"/>
  </cacheFields>
  <cacheHierarchies count="53">
    <cacheHierarchy uniqueName="[Table_1].[Customer ID]" caption="Customer ID" attribute="1" defaultMemberUniqueName="[Table_1].[Customer ID].[All]" allUniqueName="[Table_1].[Customer ID].[All]" dimensionUniqueName="[Table_1]" displayFolder="" count="0" memberValueDatatype="20" unbalanced="0"/>
    <cacheHierarchy uniqueName="[Table_1].[Customer Name]" caption="Customer Name" attribute="1" defaultMemberUniqueName="[Table_1].[Customer Name].[All]" allUniqueName="[Table_1].[Customer Name].[All]" dimensionUniqueName="[Table_1]" displayFolder="" count="0" memberValueDatatype="130" unbalanced="0"/>
    <cacheHierarchy uniqueName="[Table_1].[Order Priority]" caption="Order Priority" attribute="1" defaultMemberUniqueName="[Table_1].[Order Priority].[All]" allUniqueName="[Table_1].[Order Priority].[All]" dimensionUniqueName="[Table_1]" displayFolder="" count="0" memberValueDatatype="130" unbalanced="0"/>
    <cacheHierarchy uniqueName="[Table_1].[Discount]" caption="Discount" attribute="1" defaultMemberUniqueName="[Table_1].[Discount].[All]" allUniqueName="[Table_1].[Discount].[All]" dimensionUniqueName="[Table_1]" displayFolder="" count="0" memberValueDatatype="5" unbalanced="0"/>
    <cacheHierarchy uniqueName="[Table_1].[Unit Price]" caption="Unit Price" attribute="1" defaultMemberUniqueName="[Table_1].[Unit Price].[All]" allUniqueName="[Table_1].[Unit Price].[All]" dimensionUniqueName="[Table_1]" displayFolder="" count="0" memberValueDatatype="5" unbalanced="0"/>
    <cacheHierarchy uniqueName="[Table_1].[Shipping Cost]" caption="Shipping Cost" attribute="1" defaultMemberUniqueName="[Table_1].[Shipping Cost].[All]" allUniqueName="[Table_1].[Shipping Cost].[All]" dimensionUniqueName="[Table_1]" displayFolder="" count="0" memberValueDatatype="5" unbalanced="0"/>
    <cacheHierarchy uniqueName="[Table_1].[Ship Mode]" caption="Ship Mode" attribute="1" defaultMemberUniqueName="[Table_1].[Ship Mode].[All]" allUniqueName="[Table_1].[Ship Mode].[All]" dimensionUniqueName="[Table_1]" displayFolder="" count="0" memberValueDatatype="130" unbalanced="0"/>
    <cacheHierarchy uniqueName="[Table_1].[Customer Segment]" caption="Customer Segment" attribute="1" defaultMemberUniqueName="[Table_1].[Customer Segment].[All]" allUniqueName="[Table_1].[Customer Segment].[All]" dimensionUniqueName="[Table_1]" displayFolder="" count="0" memberValueDatatype="130" unbalanced="0"/>
    <cacheHierarchy uniqueName="[Table_1].[Product Category]" caption="Product Category" attribute="1" defaultMemberUniqueName="[Table_1].[Product Category].[All]" allUniqueName="[Table_1].[Product Category].[All]" dimensionUniqueName="[Table_1]" displayFolder="" count="2" memberValueDatatype="130" unbalanced="0">
      <fieldsUsage count="2">
        <fieldUsage x="-1"/>
        <fieldUsage x="0"/>
      </fieldsUsage>
    </cacheHierarchy>
    <cacheHierarchy uniqueName="[Table_1].[Product Sub-Category]" caption="Product Sub-Category" attribute="1" defaultMemberUniqueName="[Table_1].[Product Sub-Category].[All]" allUniqueName="[Table_1].[Product Sub-Category].[All]" dimensionUniqueName="[Table_1]" displayFolder="" count="0" memberValueDatatype="130" unbalanced="0"/>
    <cacheHierarchy uniqueName="[Table_1].[Product Container]" caption="Product Container" attribute="1" defaultMemberUniqueName="[Table_1].[Product Container].[All]" allUniqueName="[Table_1].[Product Container].[All]" dimensionUniqueName="[Table_1]" displayFolder="" count="0" memberValueDatatype="130" unbalanced="0"/>
    <cacheHierarchy uniqueName="[Table_1].[Product Name]" caption="Product Name" attribute="1" defaultMemberUniqueName="[Table_1].[Product Name].[All]" allUniqueName="[Table_1].[Product Name].[All]" dimensionUniqueName="[Table_1]" displayFolder="" count="0" memberValueDatatype="130" unbalanced="0"/>
    <cacheHierarchy uniqueName="[Table_1].[Product Base Margin]" caption="Product Base Margin" attribute="1" defaultMemberUniqueName="[Table_1].[Product Base Margin].[All]" allUniqueName="[Table_1].[Product Base Margin].[All]" dimensionUniqueName="[Table_1]" displayFolder="" count="0" memberValueDatatype="5" unbalanced="0"/>
    <cacheHierarchy uniqueName="[Table_1].[Country]" caption="Country" attribute="1" defaultMemberUniqueName="[Table_1].[Country].[All]" allUniqueName="[Table_1].[Country].[All]" dimensionUniqueName="[Table_1]" displayFolder="" count="0" memberValueDatatype="130" unbalanced="0"/>
    <cacheHierarchy uniqueName="[Table_1].[Region]" caption="Region" attribute="1" defaultMemberUniqueName="[Table_1].[Region].[All]" allUniqueName="[Table_1].[Region].[All]" dimensionUniqueName="[Table_1]" displayFolder="" count="2" memberValueDatatype="130" unbalanced="0">
      <fieldsUsage count="2">
        <fieldUsage x="-1"/>
        <fieldUsage x="4"/>
      </fieldsUsage>
    </cacheHierarchy>
    <cacheHierarchy uniqueName="[Table_1].[State or Province]" caption="State or Province" attribute="1" defaultMemberUniqueName="[Table_1].[State or Province].[All]" allUniqueName="[Table_1].[State or Province].[All]" dimensionUniqueName="[Table_1]" displayFolder="" count="0" memberValueDatatype="130" unbalanced="0"/>
    <cacheHierarchy uniqueName="[Table_1].[City]" caption="City" attribute="1" defaultMemberUniqueName="[Table_1].[City].[All]" allUniqueName="[Table_1].[City].[All]" dimensionUniqueName="[Table_1]" displayFolder="" count="0" memberValueDatatype="130" unbalanced="0"/>
    <cacheHierarchy uniqueName="[Table_1].[Postal Code]" caption="Postal Code" attribute="1" defaultMemberUniqueName="[Table_1].[Postal Code].[All]" allUniqueName="[Table_1].[Postal Code].[All]" dimensionUniqueName="[Table_1]" displayFolder="" count="0" memberValueDatatype="20" unbalanced="0"/>
    <cacheHierarchy uniqueName="[Table_1].[Order Date]" caption="Order Date" attribute="1" time="1" defaultMemberUniqueName="[Table_1].[Order Date].[All]" allUniqueName="[Table_1].[Order Date].[All]" dimensionUniqueName="[Table_1]" displayFolder="" count="0" memberValueDatatype="7" unbalanced="0"/>
    <cacheHierarchy uniqueName="[Table_1].[Ship Date]" caption="Ship Date" attribute="1" time="1" defaultMemberUniqueName="[Table_1].[Ship Date].[All]" allUniqueName="[Table_1].[Ship Date].[All]" dimensionUniqueName="[Table_1]" displayFolder="" count="0" memberValueDatatype="7" unbalanced="0"/>
    <cacheHierarchy uniqueName="[Table_1].[Profit]" caption="Profit" attribute="1" defaultMemberUniqueName="[Table_1].[Profit].[All]" allUniqueName="[Table_1].[Profit].[All]" dimensionUniqueName="[Table_1]" displayFolder="" count="0" memberValueDatatype="5" unbalanced="0"/>
    <cacheHierarchy uniqueName="[Table_1].[Quantity ordered new]" caption="Quantity ordered new" attribute="1" defaultMemberUniqueName="[Table_1].[Quantity ordered new].[All]" allUniqueName="[Table_1].[Quantity ordered new].[All]" dimensionUniqueName="[Table_1]" displayFolder="" count="0" memberValueDatatype="20" unbalanced="0"/>
    <cacheHierarchy uniqueName="[Table_1].[Sales]" caption="Sales" attribute="1" defaultMemberUniqueName="[Table_1].[Sales].[All]" allUniqueName="[Table_1].[Sales].[All]" dimensionUniqueName="[Table_1]" displayFolder="" count="0" memberValueDatatype="5" unbalanced="0"/>
    <cacheHierarchy uniqueName="[Table_1].[Order ID]" caption="Order ID" attribute="1" defaultMemberUniqueName="[Table_1].[Order ID].[All]" allUniqueName="[Table_1].[Order ID].[All]" dimensionUniqueName="[Table_1]" displayFolder="" count="0" memberValueDatatype="20" unbalanced="0"/>
    <cacheHierarchy uniqueName="[Table_1].[Total]" caption="Total" attribute="1" defaultMemberUniqueName="[Table_1].[Total].[All]" allUniqueName="[Table_1].[Total].[All]" dimensionUniqueName="[Table_1]" displayFolder="" count="0" memberValueDatatype="5" unbalanced="0"/>
    <cacheHierarchy uniqueName="[Table_1].[Manager]" caption="Manager" attribute="1" defaultMemberUniqueName="[Table_1].[Manager].[All]" allUniqueName="[Table_1].[Manager].[All]" dimensionUniqueName="[Table_1]" displayFolder="" count="0" memberValueDatatype="130" unbalanced="0"/>
    <cacheHierarchy uniqueName="[Table_1].[Dollar Discount]" caption="Dollar Discount" attribute="1" defaultMemberUniqueName="[Table_1].[Dollar Discount].[All]" allUniqueName="[Table_1].[Dollar Discount].[All]" dimensionUniqueName="[Table_1]" displayFolder="" count="0" memberValueDatatype="5" unbalanced="0"/>
    <cacheHierarchy uniqueName="[Table_1].[Gross Cost]" caption="Gross Cost" attribute="1" defaultMemberUniqueName="[Table_1].[Gross Cost].[All]" allUniqueName="[Table_1].[Gross Cost].[All]" dimensionUniqueName="[Table_1]" displayFolder="" count="0" memberValueDatatype="5" unbalanced="0"/>
    <cacheHierarchy uniqueName="[Table_1].[Gross Profit]" caption="Gross Profit" attribute="1" defaultMemberUniqueName="[Table_1].[Gross Profit].[All]" allUniqueName="[Table_1].[Gross Profit].[All]" dimensionUniqueName="[Table_1]" displayFolder="" count="0" memberValueDatatype="5" unbalanced="0"/>
    <cacheHierarchy uniqueName="[Table_1].[Cumulative cost]" caption="Cumulative cost" attribute="1" defaultMemberUniqueName="[Table_1].[Cumulative cost].[All]" allUniqueName="[Table_1].[Cumulative cost].[All]" dimensionUniqueName="[Table_1]" displayFolder="" count="0" memberValueDatatype="5" unbalanced="0"/>
    <cacheHierarchy uniqueName="[Table_1].[Order Date (Month)]" caption="Order Date (Month)" attribute="1" defaultMemberUniqueName="[Table_1].[Order Date (Month)].[All]" allUniqueName="[Table_1].[Order Date (Month)].[All]" dimensionUniqueName="[Table_1]" displayFolder="" count="0" memberValueDatatype="130" unbalanced="0"/>
    <cacheHierarchy uniqueName="[Table_1].[Order Date (Month Index)]" caption="Order Date (Month Index)" attribute="1" defaultMemberUniqueName="[Table_1].[Order Date (Month Index)].[All]" allUniqueName="[Table_1].[Order Date (Month Index)].[All]" dimensionUniqueName="[Table_1]" displayFolder="" count="0" memberValueDatatype="20" unbalanced="0" hidden="1"/>
    <cacheHierarchy uniqueName="[Measures].[Σ Discount]" caption="Σ Discount" measure="1" displayFolder="" measureGroup="Table_1" count="0"/>
    <cacheHierarchy uniqueName="[Measures].[Σ Profit]" caption="Σ Profit" measure="1" displayFolder="" measureGroup="Table_1" count="0"/>
    <cacheHierarchy uniqueName="[Measures].[Σ Shipping]" caption="Σ Shipping" measure="1" displayFolder="" measureGroup="Table_1" count="0"/>
    <cacheHierarchy uniqueName="[Measures].[Σ Costs]" caption="Σ Costs" measure="1" displayFolder="" measureGroup="Table_1" count="0"/>
    <cacheHierarchy uniqueName="[Measures].[__XL_Count Table_1]" caption="__XL_Count Table_1" measure="1" displayFolder="" measureGroup="Table_1" count="0" hidden="1"/>
    <cacheHierarchy uniqueName="[Measures].[__No measures defined]" caption="__No measures defined" measure="1" displayFolder="" count="0" hidden="1"/>
    <cacheHierarchy uniqueName="[Measures].[Sum of Sales]" caption="Sum of Sales" measure="1" displayFolder="" measureGroup="Table_1" count="0" oneField="1" hidden="1">
      <fieldsUsage count="1">
        <fieldUsage x="6"/>
      </fieldsUsage>
      <extLst>
        <ext xmlns:x15="http://schemas.microsoft.com/office/spreadsheetml/2010/11/main" uri="{B97F6D7D-B522-45F9-BDA1-12C45D357490}">
          <x15:cacheHierarchy aggregatedColumn="22"/>
        </ext>
      </extLst>
    </cacheHierarchy>
    <cacheHierarchy uniqueName="[Measures].[Sum of Quantity ordered new]" caption="Sum of Quantity ordered new" measure="1" displayFolder="" measureGroup="Table_1" count="0" hidden="1">
      <extLst>
        <ext xmlns:x15="http://schemas.microsoft.com/office/spreadsheetml/2010/11/main" uri="{B97F6D7D-B522-45F9-BDA1-12C45D357490}">
          <x15:cacheHierarchy aggregatedColumn="21"/>
        </ext>
      </extLst>
    </cacheHierarchy>
    <cacheHierarchy uniqueName="[Measures].[Sum of Profit]" caption="Sum of Profit" measure="1" displayFolder="" measureGroup="Table_1" count="0" oneField="1" hidden="1">
      <fieldsUsage count="1">
        <fieldUsage x="1"/>
      </fieldsUsage>
      <extLst>
        <ext xmlns:x15="http://schemas.microsoft.com/office/spreadsheetml/2010/11/main" uri="{B97F6D7D-B522-45F9-BDA1-12C45D357490}">
          <x15:cacheHierarchy aggregatedColumn="20"/>
        </ext>
      </extLst>
    </cacheHierarchy>
    <cacheHierarchy uniqueName="[Measures].[Count of Product Category]" caption="Count of Product Category" measure="1" displayFolder="" measureGroup="Table_1" count="0" hidden="1">
      <extLst>
        <ext xmlns:x15="http://schemas.microsoft.com/office/spreadsheetml/2010/11/main" uri="{B97F6D7D-B522-45F9-BDA1-12C45D357490}">
          <x15:cacheHierarchy aggregatedColumn="8"/>
        </ext>
      </extLst>
    </cacheHierarchy>
    <cacheHierarchy uniqueName="[Measures].[Sum of Discount]" caption="Sum of Discount" measure="1" displayFolder="" measureGroup="Table_1" count="0" oneField="1" hidden="1">
      <fieldsUsage count="1">
        <fieldUsage x="5"/>
      </fieldsUsage>
      <extLst>
        <ext xmlns:x15="http://schemas.microsoft.com/office/spreadsheetml/2010/11/main" uri="{B97F6D7D-B522-45F9-BDA1-12C45D357490}">
          <x15:cacheHierarchy aggregatedColumn="3"/>
        </ext>
      </extLst>
    </cacheHierarchy>
    <cacheHierarchy uniqueName="[Measures].[Sum of Shipping Cost]" caption="Sum of Shipping Cost" measure="1" displayFolder="" measureGroup="Table_1" count="0" oneField="1" hidden="1">
      <fieldsUsage count="1">
        <fieldUsage x="3"/>
      </fieldsUsage>
      <extLst>
        <ext xmlns:x15="http://schemas.microsoft.com/office/spreadsheetml/2010/11/main" uri="{B97F6D7D-B522-45F9-BDA1-12C45D357490}">
          <x15:cacheHierarchy aggregatedColumn="5"/>
        </ext>
      </extLst>
    </cacheHierarchy>
    <cacheHierarchy uniqueName="[Measures].[Sum of Dollar Discount]" caption="Sum of Dollar Discount" measure="1" displayFolder="" measureGroup="Table_1" count="0" hidden="1">
      <extLst>
        <ext xmlns:x15="http://schemas.microsoft.com/office/spreadsheetml/2010/11/main" uri="{B97F6D7D-B522-45F9-BDA1-12C45D357490}">
          <x15:cacheHierarchy aggregatedColumn="26"/>
        </ext>
      </extLst>
    </cacheHierarchy>
    <cacheHierarchy uniqueName="[Measures].[Sum of Cumulative cost]" caption="Sum of Cumulative cost" measure="1" displayFolder="" measureGroup="Table_1" count="0" oneField="1" hidden="1">
      <fieldsUsage count="1">
        <fieldUsage x="2"/>
      </fieldsUsage>
      <extLst>
        <ext xmlns:x15="http://schemas.microsoft.com/office/spreadsheetml/2010/11/main" uri="{B97F6D7D-B522-45F9-BDA1-12C45D357490}">
          <x15:cacheHierarchy aggregatedColumn="29"/>
        </ext>
      </extLst>
    </cacheHierarchy>
    <cacheHierarchy uniqueName="[Measures].[Sum of Postal Code]" caption="Sum of Postal Code" measure="1" displayFolder="" measureGroup="Table_1" count="0" hidden="1">
      <extLst>
        <ext xmlns:x15="http://schemas.microsoft.com/office/spreadsheetml/2010/11/main" uri="{B97F6D7D-B522-45F9-BDA1-12C45D357490}">
          <x15:cacheHierarchy aggregatedColumn="17"/>
        </ext>
      </extLst>
    </cacheHierarchy>
    <cacheHierarchy uniqueName="[Measures].[Sum of Order ID]" caption="Sum of Order ID" measure="1" displayFolder="" measureGroup="Table_1" count="0" hidden="1">
      <extLst>
        <ext xmlns:x15="http://schemas.microsoft.com/office/spreadsheetml/2010/11/main" uri="{B97F6D7D-B522-45F9-BDA1-12C45D357490}">
          <x15:cacheHierarchy aggregatedColumn="23"/>
        </ext>
      </extLst>
    </cacheHierarchy>
    <cacheHierarchy uniqueName="[Measures].[Distinct Count of Order ID]" caption="Distinct Count of Order ID" measure="1" displayFolder="" measureGroup="Table_1" count="0" hidden="1">
      <extLst>
        <ext xmlns:x15="http://schemas.microsoft.com/office/spreadsheetml/2010/11/main" uri="{B97F6D7D-B522-45F9-BDA1-12C45D357490}">
          <x15:cacheHierarchy aggregatedColumn="23"/>
        </ext>
      </extLst>
    </cacheHierarchy>
    <cacheHierarchy uniqueName="[Measures].[Count of Order Date]" caption="Count of Order Date" measure="1" displayFolder="" measureGroup="Table_1" count="0" hidden="1">
      <extLst>
        <ext xmlns:x15="http://schemas.microsoft.com/office/spreadsheetml/2010/11/main" uri="{B97F6D7D-B522-45F9-BDA1-12C45D357490}">
          <x15:cacheHierarchy aggregatedColumn="18"/>
        </ext>
      </extLst>
    </cacheHierarchy>
    <cacheHierarchy uniqueName="[Measures].[Max of Order Date]" caption="Max of Order Date" measure="1" displayFolder="" measureGroup="Table_1" count="0" hidden="1">
      <extLst>
        <ext xmlns:x15="http://schemas.microsoft.com/office/spreadsheetml/2010/11/main" uri="{B97F6D7D-B522-45F9-BDA1-12C45D357490}">
          <x15:cacheHierarchy aggregatedColumn="18"/>
        </ext>
      </extLst>
    </cacheHierarchy>
    <cacheHierarchy uniqueName="[Measures].[Count of Product Name]" caption="Count of Product Name" measure="1" displayFolder="" measureGroup="Table_1" count="0" hidden="1">
      <extLst>
        <ext xmlns:x15="http://schemas.microsoft.com/office/spreadsheetml/2010/11/main" uri="{B97F6D7D-B522-45F9-BDA1-12C45D357490}">
          <x15:cacheHierarchy aggregatedColumn="11"/>
        </ext>
      </extLst>
    </cacheHierarchy>
    <cacheHierarchy uniqueName="[Measures].[Distinct Count of Product Name]" caption="Distinct Count of Product Name" measure="1" displayFolder="" measureGroup="Table_1" count="0" hidden="1">
      <extLst>
        <ext xmlns:x15="http://schemas.microsoft.com/office/spreadsheetml/2010/11/main" uri="{B97F6D7D-B522-45F9-BDA1-12C45D357490}">
          <x15:cacheHierarchy aggregatedColumn="11"/>
        </ext>
      </extLst>
    </cacheHierarchy>
  </cacheHierarchies>
  <kpis count="0"/>
  <dimensions count="2">
    <dimension measure="1" name="Measures" uniqueName="[Measures]" caption="Measures"/>
    <dimension name="Table_1" uniqueName="[Table_1]" caption="Table_1"/>
  </dimensions>
  <measureGroups count="1">
    <measureGroup name="Table_1" caption="Table_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aurabh Lakhanpal" refreshedDate="45219.694766319444" backgroundQuery="1" createdVersion="8" refreshedVersion="8" minRefreshableVersion="3" recordCount="0" supportSubquery="1" supportAdvancedDrill="1" xr:uid="{E3D2111C-004B-4304-8042-C487CF3D251D}">
  <cacheSource type="external" connectionId="1"/>
  <cacheFields count="6">
    <cacheField name="[Table_1].[Product Sub-Category].[Product Sub-Category]" caption="Product Sub-Category" numFmtId="0" hierarchy="9" level="1">
      <sharedItems count="17">
        <s v="Appliances"/>
        <s v="Binders and Binder Accessories"/>
        <s v="Bookcases"/>
        <s v="Chairs &amp; Chairmats"/>
        <s v="Computer Peripherals"/>
        <s v="Copiers and Fax"/>
        <s v="Envelopes"/>
        <s v="Labels"/>
        <s v="Office Furnishings"/>
        <s v="Office Machines"/>
        <s v="Paper"/>
        <s v="Pens &amp; Art Supplies"/>
        <s v="Rubber Bands"/>
        <s v="Scissors, Rulers and Trimmers"/>
        <s v="Storage &amp; Organization"/>
        <s v="Tables"/>
        <s v="Telephones and Communication"/>
      </sharedItems>
    </cacheField>
    <cacheField name="[Measures].[Σ Discount]" caption="Σ Discount" numFmtId="0" hierarchy="32" level="32767"/>
    <cacheField name="[Measures].[Σ Profit]" caption="Σ Profit" numFmtId="0" hierarchy="33" level="32767"/>
    <cacheField name="[Measures].[Σ Shipping]" caption="Σ Shipping" numFmtId="0" hierarchy="34" level="32767"/>
    <cacheField name="[Measures].[Σ Costs]" caption="Σ Costs" numFmtId="0" hierarchy="35" level="32767"/>
    <cacheField name="[Table_1].[Product Category].[Product Category]" caption="Product Category" numFmtId="0" hierarchy="8" level="1">
      <sharedItems containsSemiMixedTypes="0" containsNonDate="0" containsString="0"/>
    </cacheField>
  </cacheFields>
  <cacheHierarchies count="53">
    <cacheHierarchy uniqueName="[Table_1].[Customer ID]" caption="Customer ID" attribute="1" defaultMemberUniqueName="[Table_1].[Customer ID].[All]" allUniqueName="[Table_1].[Customer ID].[All]" dimensionUniqueName="[Table_1]" displayFolder="" count="0" memberValueDatatype="20" unbalanced="0"/>
    <cacheHierarchy uniqueName="[Table_1].[Customer Name]" caption="Customer Name" attribute="1" defaultMemberUniqueName="[Table_1].[Customer Name].[All]" allUniqueName="[Table_1].[Customer Name].[All]" dimensionUniqueName="[Table_1]" displayFolder="" count="0" memberValueDatatype="130" unbalanced="0"/>
    <cacheHierarchy uniqueName="[Table_1].[Order Priority]" caption="Order Priority" attribute="1" defaultMemberUniqueName="[Table_1].[Order Priority].[All]" allUniqueName="[Table_1].[Order Priority].[All]" dimensionUniqueName="[Table_1]" displayFolder="" count="0" memberValueDatatype="130" unbalanced="0"/>
    <cacheHierarchy uniqueName="[Table_1].[Discount]" caption="Discount" attribute="1" defaultMemberUniqueName="[Table_1].[Discount].[All]" allUniqueName="[Table_1].[Discount].[All]" dimensionUniqueName="[Table_1]" displayFolder="" count="0" memberValueDatatype="5" unbalanced="0"/>
    <cacheHierarchy uniqueName="[Table_1].[Unit Price]" caption="Unit Price" attribute="1" defaultMemberUniqueName="[Table_1].[Unit Price].[All]" allUniqueName="[Table_1].[Unit Price].[All]" dimensionUniqueName="[Table_1]" displayFolder="" count="0" memberValueDatatype="5" unbalanced="0"/>
    <cacheHierarchy uniqueName="[Table_1].[Shipping Cost]" caption="Shipping Cost" attribute="1" defaultMemberUniqueName="[Table_1].[Shipping Cost].[All]" allUniqueName="[Table_1].[Shipping Cost].[All]" dimensionUniqueName="[Table_1]" displayFolder="" count="0" memberValueDatatype="5" unbalanced="0"/>
    <cacheHierarchy uniqueName="[Table_1].[Ship Mode]" caption="Ship Mode" attribute="1" defaultMemberUniqueName="[Table_1].[Ship Mode].[All]" allUniqueName="[Table_1].[Ship Mode].[All]" dimensionUniqueName="[Table_1]" displayFolder="" count="0" memberValueDatatype="130" unbalanced="0"/>
    <cacheHierarchy uniqueName="[Table_1].[Customer Segment]" caption="Customer Segment" attribute="1" defaultMemberUniqueName="[Table_1].[Customer Segment].[All]" allUniqueName="[Table_1].[Customer Segment].[All]" dimensionUniqueName="[Table_1]" displayFolder="" count="0" memberValueDatatype="130" unbalanced="0"/>
    <cacheHierarchy uniqueName="[Table_1].[Product Category]" caption="Product Category" attribute="1" defaultMemberUniqueName="[Table_1].[Product Category].[All]" allUniqueName="[Table_1].[Product Category].[All]" dimensionUniqueName="[Table_1]" displayFolder="" count="2" memberValueDatatype="130" unbalanced="0">
      <fieldsUsage count="2">
        <fieldUsage x="-1"/>
        <fieldUsage x="5"/>
      </fieldsUsage>
    </cacheHierarchy>
    <cacheHierarchy uniqueName="[Table_1].[Product Sub-Category]" caption="Product Sub-Category" attribute="1" defaultMemberUniqueName="[Table_1].[Product Sub-Category].[All]" allUniqueName="[Table_1].[Product Sub-Category].[All]" dimensionUniqueName="[Table_1]" displayFolder="" count="2" memberValueDatatype="130" unbalanced="0">
      <fieldsUsage count="2">
        <fieldUsage x="-1"/>
        <fieldUsage x="0"/>
      </fieldsUsage>
    </cacheHierarchy>
    <cacheHierarchy uniqueName="[Table_1].[Product Container]" caption="Product Container" attribute="1" defaultMemberUniqueName="[Table_1].[Product Container].[All]" allUniqueName="[Table_1].[Product Container].[All]" dimensionUniqueName="[Table_1]" displayFolder="" count="0" memberValueDatatype="130" unbalanced="0"/>
    <cacheHierarchy uniqueName="[Table_1].[Product Name]" caption="Product Name" attribute="1" defaultMemberUniqueName="[Table_1].[Product Name].[All]" allUniqueName="[Table_1].[Product Name].[All]" dimensionUniqueName="[Table_1]" displayFolder="" count="0" memberValueDatatype="130" unbalanced="0"/>
    <cacheHierarchy uniqueName="[Table_1].[Product Base Margin]" caption="Product Base Margin" attribute="1" defaultMemberUniqueName="[Table_1].[Product Base Margin].[All]" allUniqueName="[Table_1].[Product Base Margin].[All]" dimensionUniqueName="[Table_1]" displayFolder="" count="0" memberValueDatatype="5" unbalanced="0"/>
    <cacheHierarchy uniqueName="[Table_1].[Country]" caption="Country" attribute="1" defaultMemberUniqueName="[Table_1].[Country].[All]" allUniqueName="[Table_1].[Country].[All]" dimensionUniqueName="[Table_1]" displayFolder="" count="0" memberValueDatatype="130" unbalanced="0"/>
    <cacheHierarchy uniqueName="[Table_1].[Region]" caption="Region" attribute="1" defaultMemberUniqueName="[Table_1].[Region].[All]" allUniqueName="[Table_1].[Region].[All]" dimensionUniqueName="[Table_1]" displayFolder="" count="0" memberValueDatatype="130" unbalanced="0"/>
    <cacheHierarchy uniqueName="[Table_1].[State or Province]" caption="State or Province" attribute="1" defaultMemberUniqueName="[Table_1].[State or Province].[All]" allUniqueName="[Table_1].[State or Province].[All]" dimensionUniqueName="[Table_1]" displayFolder="" count="0" memberValueDatatype="130" unbalanced="0"/>
    <cacheHierarchy uniqueName="[Table_1].[City]" caption="City" attribute="1" defaultMemberUniqueName="[Table_1].[City].[All]" allUniqueName="[Table_1].[City].[All]" dimensionUniqueName="[Table_1]" displayFolder="" count="0" memberValueDatatype="130" unbalanced="0"/>
    <cacheHierarchy uniqueName="[Table_1].[Postal Code]" caption="Postal Code" attribute="1" defaultMemberUniqueName="[Table_1].[Postal Code].[All]" allUniqueName="[Table_1].[Postal Code].[All]" dimensionUniqueName="[Table_1]" displayFolder="" count="0" memberValueDatatype="20" unbalanced="0"/>
    <cacheHierarchy uniqueName="[Table_1].[Order Date]" caption="Order Date" attribute="1" time="1" defaultMemberUniqueName="[Table_1].[Order Date].[All]" allUniqueName="[Table_1].[Order Date].[All]" dimensionUniqueName="[Table_1]" displayFolder="" count="0" memberValueDatatype="7" unbalanced="0"/>
    <cacheHierarchy uniqueName="[Table_1].[Ship Date]" caption="Ship Date" attribute="1" time="1" defaultMemberUniqueName="[Table_1].[Ship Date].[All]" allUniqueName="[Table_1].[Ship Date].[All]" dimensionUniqueName="[Table_1]" displayFolder="" count="0" memberValueDatatype="7" unbalanced="0"/>
    <cacheHierarchy uniqueName="[Table_1].[Profit]" caption="Profit" attribute="1" defaultMemberUniqueName="[Table_1].[Profit].[All]" allUniqueName="[Table_1].[Profit].[All]" dimensionUniqueName="[Table_1]" displayFolder="" count="0" memberValueDatatype="5" unbalanced="0"/>
    <cacheHierarchy uniqueName="[Table_1].[Quantity ordered new]" caption="Quantity ordered new" attribute="1" defaultMemberUniqueName="[Table_1].[Quantity ordered new].[All]" allUniqueName="[Table_1].[Quantity ordered new].[All]" dimensionUniqueName="[Table_1]" displayFolder="" count="0" memberValueDatatype="20" unbalanced="0"/>
    <cacheHierarchy uniqueName="[Table_1].[Sales]" caption="Sales" attribute="1" defaultMemberUniqueName="[Table_1].[Sales].[All]" allUniqueName="[Table_1].[Sales].[All]" dimensionUniqueName="[Table_1]" displayFolder="" count="0" memberValueDatatype="5" unbalanced="0"/>
    <cacheHierarchy uniqueName="[Table_1].[Order ID]" caption="Order ID" attribute="1" defaultMemberUniqueName="[Table_1].[Order ID].[All]" allUniqueName="[Table_1].[Order ID].[All]" dimensionUniqueName="[Table_1]" displayFolder="" count="0" memberValueDatatype="20" unbalanced="0"/>
    <cacheHierarchy uniqueName="[Table_1].[Total]" caption="Total" attribute="1" defaultMemberUniqueName="[Table_1].[Total].[All]" allUniqueName="[Table_1].[Total].[All]" dimensionUniqueName="[Table_1]" displayFolder="" count="0" memberValueDatatype="5" unbalanced="0"/>
    <cacheHierarchy uniqueName="[Table_1].[Manager]" caption="Manager" attribute="1" defaultMemberUniqueName="[Table_1].[Manager].[All]" allUniqueName="[Table_1].[Manager].[All]" dimensionUniqueName="[Table_1]" displayFolder="" count="0" memberValueDatatype="130" unbalanced="0"/>
    <cacheHierarchy uniqueName="[Table_1].[Dollar Discount]" caption="Dollar Discount" attribute="1" defaultMemberUniqueName="[Table_1].[Dollar Discount].[All]" allUniqueName="[Table_1].[Dollar Discount].[All]" dimensionUniqueName="[Table_1]" displayFolder="" count="0" memberValueDatatype="5" unbalanced="0"/>
    <cacheHierarchy uniqueName="[Table_1].[Gross Cost]" caption="Gross Cost" attribute="1" defaultMemberUniqueName="[Table_1].[Gross Cost].[All]" allUniqueName="[Table_1].[Gross Cost].[All]" dimensionUniqueName="[Table_1]" displayFolder="" count="0" memberValueDatatype="5" unbalanced="0"/>
    <cacheHierarchy uniqueName="[Table_1].[Gross Profit]" caption="Gross Profit" attribute="1" defaultMemberUniqueName="[Table_1].[Gross Profit].[All]" allUniqueName="[Table_1].[Gross Profit].[All]" dimensionUniqueName="[Table_1]" displayFolder="" count="0" memberValueDatatype="5" unbalanced="0"/>
    <cacheHierarchy uniqueName="[Table_1].[Cumulative cost]" caption="Cumulative cost" attribute="1" defaultMemberUniqueName="[Table_1].[Cumulative cost].[All]" allUniqueName="[Table_1].[Cumulative cost].[All]" dimensionUniqueName="[Table_1]" displayFolder="" count="0" memberValueDatatype="5" unbalanced="0"/>
    <cacheHierarchy uniqueName="[Table_1].[Order Date (Month)]" caption="Order Date (Month)" attribute="1" defaultMemberUniqueName="[Table_1].[Order Date (Month)].[All]" allUniqueName="[Table_1].[Order Date (Month)].[All]" dimensionUniqueName="[Table_1]" displayFolder="" count="2" memberValueDatatype="130" unbalanced="0"/>
    <cacheHierarchy uniqueName="[Table_1].[Order Date (Month Index)]" caption="Order Date (Month Index)" attribute="1" defaultMemberUniqueName="[Table_1].[Order Date (Month Index)].[All]" allUniqueName="[Table_1].[Order Date (Month Index)].[All]" dimensionUniqueName="[Table_1]" displayFolder="" count="0" memberValueDatatype="20" unbalanced="0" hidden="1"/>
    <cacheHierarchy uniqueName="[Measures].[Σ Discount]" caption="Σ Discount" measure="1" displayFolder="" measureGroup="Table_1" count="0" oneField="1">
      <fieldsUsage count="1">
        <fieldUsage x="1"/>
      </fieldsUsage>
    </cacheHierarchy>
    <cacheHierarchy uniqueName="[Measures].[Σ Profit]" caption="Σ Profit" measure="1" displayFolder="" measureGroup="Table_1" count="0" oneField="1">
      <fieldsUsage count="1">
        <fieldUsage x="2"/>
      </fieldsUsage>
    </cacheHierarchy>
    <cacheHierarchy uniqueName="[Measures].[Σ Shipping]" caption="Σ Shipping" measure="1" displayFolder="" measureGroup="Table_1" count="0" oneField="1">
      <fieldsUsage count="1">
        <fieldUsage x="3"/>
      </fieldsUsage>
    </cacheHierarchy>
    <cacheHierarchy uniqueName="[Measures].[Σ Costs]" caption="Σ Costs" measure="1" displayFolder="" measureGroup="Table_1" count="0" oneField="1">
      <fieldsUsage count="1">
        <fieldUsage x="4"/>
      </fieldsUsage>
    </cacheHierarchy>
    <cacheHierarchy uniqueName="[Measures].[__XL_Count Table_1]" caption="__XL_Count Table_1" measure="1" displayFolder="" measureGroup="Table_1" count="0" hidden="1"/>
    <cacheHierarchy uniqueName="[Measures].[__No measures defined]" caption="__No measures defined" measure="1" displayFolder="" count="0" hidden="1"/>
    <cacheHierarchy uniqueName="[Measures].[Sum of Sales]" caption="Sum of Sales" measure="1" displayFolder="" measureGroup="Table_1" count="0" hidden="1">
      <extLst>
        <ext xmlns:x15="http://schemas.microsoft.com/office/spreadsheetml/2010/11/main" uri="{B97F6D7D-B522-45F9-BDA1-12C45D357490}">
          <x15:cacheHierarchy aggregatedColumn="22"/>
        </ext>
      </extLst>
    </cacheHierarchy>
    <cacheHierarchy uniqueName="[Measures].[Sum of Quantity ordered new]" caption="Sum of Quantity ordered new" measure="1" displayFolder="" measureGroup="Table_1" count="0" hidden="1">
      <extLst>
        <ext xmlns:x15="http://schemas.microsoft.com/office/spreadsheetml/2010/11/main" uri="{B97F6D7D-B522-45F9-BDA1-12C45D357490}">
          <x15:cacheHierarchy aggregatedColumn="21"/>
        </ext>
      </extLst>
    </cacheHierarchy>
    <cacheHierarchy uniqueName="[Measures].[Sum of Profit]" caption="Sum of Profit" measure="1" displayFolder="" measureGroup="Table_1" count="0" hidden="1">
      <extLst>
        <ext xmlns:x15="http://schemas.microsoft.com/office/spreadsheetml/2010/11/main" uri="{B97F6D7D-B522-45F9-BDA1-12C45D357490}">
          <x15:cacheHierarchy aggregatedColumn="20"/>
        </ext>
      </extLst>
    </cacheHierarchy>
    <cacheHierarchy uniqueName="[Measures].[Count of Product Category]" caption="Count of Product Category" measure="1" displayFolder="" measureGroup="Table_1" count="0" hidden="1">
      <extLst>
        <ext xmlns:x15="http://schemas.microsoft.com/office/spreadsheetml/2010/11/main" uri="{B97F6D7D-B522-45F9-BDA1-12C45D357490}">
          <x15:cacheHierarchy aggregatedColumn="8"/>
        </ext>
      </extLst>
    </cacheHierarchy>
    <cacheHierarchy uniqueName="[Measures].[Sum of Discount]" caption="Sum of Discount" measure="1" displayFolder="" measureGroup="Table_1" count="0" hidden="1">
      <extLst>
        <ext xmlns:x15="http://schemas.microsoft.com/office/spreadsheetml/2010/11/main" uri="{B97F6D7D-B522-45F9-BDA1-12C45D357490}">
          <x15:cacheHierarchy aggregatedColumn="3"/>
        </ext>
      </extLst>
    </cacheHierarchy>
    <cacheHierarchy uniqueName="[Measures].[Sum of Shipping Cost]" caption="Sum of Shipping Cost" measure="1" displayFolder="" measureGroup="Table_1" count="0" hidden="1">
      <extLst>
        <ext xmlns:x15="http://schemas.microsoft.com/office/spreadsheetml/2010/11/main" uri="{B97F6D7D-B522-45F9-BDA1-12C45D357490}">
          <x15:cacheHierarchy aggregatedColumn="5"/>
        </ext>
      </extLst>
    </cacheHierarchy>
    <cacheHierarchy uniqueName="[Measures].[Sum of Dollar Discount]" caption="Sum of Dollar Discount" measure="1" displayFolder="" measureGroup="Table_1" count="0" hidden="1">
      <extLst>
        <ext xmlns:x15="http://schemas.microsoft.com/office/spreadsheetml/2010/11/main" uri="{B97F6D7D-B522-45F9-BDA1-12C45D357490}">
          <x15:cacheHierarchy aggregatedColumn="26"/>
        </ext>
      </extLst>
    </cacheHierarchy>
    <cacheHierarchy uniqueName="[Measures].[Sum of Cumulative cost]" caption="Sum of Cumulative cost" measure="1" displayFolder="" measureGroup="Table_1" count="0" hidden="1">
      <extLst>
        <ext xmlns:x15="http://schemas.microsoft.com/office/spreadsheetml/2010/11/main" uri="{B97F6D7D-B522-45F9-BDA1-12C45D357490}">
          <x15:cacheHierarchy aggregatedColumn="29"/>
        </ext>
      </extLst>
    </cacheHierarchy>
    <cacheHierarchy uniqueName="[Measures].[Sum of Postal Code]" caption="Sum of Postal Code" measure="1" displayFolder="" measureGroup="Table_1" count="0" hidden="1">
      <extLst>
        <ext xmlns:x15="http://schemas.microsoft.com/office/spreadsheetml/2010/11/main" uri="{B97F6D7D-B522-45F9-BDA1-12C45D357490}">
          <x15:cacheHierarchy aggregatedColumn="17"/>
        </ext>
      </extLst>
    </cacheHierarchy>
    <cacheHierarchy uniqueName="[Measures].[Sum of Order ID]" caption="Sum of Order ID" measure="1" displayFolder="" measureGroup="Table_1" count="0" hidden="1">
      <extLst>
        <ext xmlns:x15="http://schemas.microsoft.com/office/spreadsheetml/2010/11/main" uri="{B97F6D7D-B522-45F9-BDA1-12C45D357490}">
          <x15:cacheHierarchy aggregatedColumn="23"/>
        </ext>
      </extLst>
    </cacheHierarchy>
    <cacheHierarchy uniqueName="[Measures].[Distinct Count of Order ID]" caption="Distinct Count of Order ID" measure="1" displayFolder="" measureGroup="Table_1" count="0" hidden="1">
      <extLst>
        <ext xmlns:x15="http://schemas.microsoft.com/office/spreadsheetml/2010/11/main" uri="{B97F6D7D-B522-45F9-BDA1-12C45D357490}">
          <x15:cacheHierarchy aggregatedColumn="23"/>
        </ext>
      </extLst>
    </cacheHierarchy>
    <cacheHierarchy uniqueName="[Measures].[Count of Order Date]" caption="Count of Order Date" measure="1" displayFolder="" measureGroup="Table_1" count="0" hidden="1">
      <extLst>
        <ext xmlns:x15="http://schemas.microsoft.com/office/spreadsheetml/2010/11/main" uri="{B97F6D7D-B522-45F9-BDA1-12C45D357490}">
          <x15:cacheHierarchy aggregatedColumn="18"/>
        </ext>
      </extLst>
    </cacheHierarchy>
    <cacheHierarchy uniqueName="[Measures].[Max of Order Date]" caption="Max of Order Date" measure="1" displayFolder="" measureGroup="Table_1" count="0" hidden="1">
      <extLst>
        <ext xmlns:x15="http://schemas.microsoft.com/office/spreadsheetml/2010/11/main" uri="{B97F6D7D-B522-45F9-BDA1-12C45D357490}">
          <x15:cacheHierarchy aggregatedColumn="18"/>
        </ext>
      </extLst>
    </cacheHierarchy>
    <cacheHierarchy uniqueName="[Measures].[Count of Product Name]" caption="Count of Product Name" measure="1" displayFolder="" measureGroup="Table_1" count="0" hidden="1">
      <extLst>
        <ext xmlns:x15="http://schemas.microsoft.com/office/spreadsheetml/2010/11/main" uri="{B97F6D7D-B522-45F9-BDA1-12C45D357490}">
          <x15:cacheHierarchy aggregatedColumn="11"/>
        </ext>
      </extLst>
    </cacheHierarchy>
    <cacheHierarchy uniqueName="[Measures].[Distinct Count of Product Name]" caption="Distinct Count of Product Name" measure="1" displayFolder="" measureGroup="Table_1" count="0" hidden="1">
      <extLst>
        <ext xmlns:x15="http://schemas.microsoft.com/office/spreadsheetml/2010/11/main" uri="{B97F6D7D-B522-45F9-BDA1-12C45D357490}">
          <x15:cacheHierarchy aggregatedColumn="11"/>
        </ext>
      </extLst>
    </cacheHierarchy>
  </cacheHierarchies>
  <kpis count="0"/>
  <dimensions count="2">
    <dimension measure="1" name="Measures" uniqueName="[Measures]" caption="Measures"/>
    <dimension name="Table_1" uniqueName="[Table_1]" caption="Table_1"/>
  </dimensions>
  <measureGroups count="1">
    <measureGroup name="Table_1" caption="Table_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aurabh Lakhanpal" refreshedDate="45217.481895370373" backgroundQuery="1" createdVersion="3" refreshedVersion="8" minRefreshableVersion="3" recordCount="0" supportSubquery="1" supportAdvancedDrill="1" xr:uid="{7C2C1867-7F37-4504-A41F-F103AC968402}">
  <cacheSource type="external" connectionId="1">
    <extLst>
      <ext xmlns:x14="http://schemas.microsoft.com/office/spreadsheetml/2009/9/main" uri="{F057638F-6D5F-4e77-A914-E7F072B9BCA8}">
        <x14:sourceConnection name="ThisWorkbookDataModel"/>
      </ext>
    </extLst>
  </cacheSource>
  <cacheFields count="0"/>
  <cacheHierarchies count="53">
    <cacheHierarchy uniqueName="[Table_1].[Customer ID]" caption="Customer ID" attribute="1" defaultMemberUniqueName="[Table_1].[Customer ID].[All]" allUniqueName="[Table_1].[Customer ID].[All]" dimensionUniqueName="[Table_1]" displayFolder="" count="0" memberValueDatatype="20" unbalanced="0"/>
    <cacheHierarchy uniqueName="[Table_1].[Customer Name]" caption="Customer Name" attribute="1" defaultMemberUniqueName="[Table_1].[Customer Name].[All]" allUniqueName="[Table_1].[Customer Name].[All]" dimensionUniqueName="[Table_1]" displayFolder="" count="0" memberValueDatatype="130" unbalanced="0"/>
    <cacheHierarchy uniqueName="[Table_1].[Order Priority]" caption="Order Priority" attribute="1" defaultMemberUniqueName="[Table_1].[Order Priority].[All]" allUniqueName="[Table_1].[Order Priority].[All]" dimensionUniqueName="[Table_1]" displayFolder="" count="0" memberValueDatatype="130" unbalanced="0"/>
    <cacheHierarchy uniqueName="[Table_1].[Discount]" caption="Discount" attribute="1" defaultMemberUniqueName="[Table_1].[Discount].[All]" allUniqueName="[Table_1].[Discount].[All]" dimensionUniqueName="[Table_1]" displayFolder="" count="0" memberValueDatatype="5" unbalanced="0"/>
    <cacheHierarchy uniqueName="[Table_1].[Unit Price]" caption="Unit Price" attribute="1" defaultMemberUniqueName="[Table_1].[Unit Price].[All]" allUniqueName="[Table_1].[Unit Price].[All]" dimensionUniqueName="[Table_1]" displayFolder="" count="0" memberValueDatatype="5" unbalanced="0"/>
    <cacheHierarchy uniqueName="[Table_1].[Shipping Cost]" caption="Shipping Cost" attribute="1" defaultMemberUniqueName="[Table_1].[Shipping Cost].[All]" allUniqueName="[Table_1].[Shipping Cost].[All]" dimensionUniqueName="[Table_1]" displayFolder="" count="0" memberValueDatatype="5" unbalanced="0"/>
    <cacheHierarchy uniqueName="[Table_1].[Ship Mode]" caption="Ship Mode" attribute="1" defaultMemberUniqueName="[Table_1].[Ship Mode].[All]" allUniqueName="[Table_1].[Ship Mode].[All]" dimensionUniqueName="[Table_1]" displayFolder="" count="0" memberValueDatatype="130" unbalanced="0"/>
    <cacheHierarchy uniqueName="[Table_1].[Customer Segment]" caption="Customer Segment" attribute="1" defaultMemberUniqueName="[Table_1].[Customer Segment].[All]" allUniqueName="[Table_1].[Customer Segment].[All]" dimensionUniqueName="[Table_1]" displayFolder="" count="2" memberValueDatatype="130" unbalanced="0"/>
    <cacheHierarchy uniqueName="[Table_1].[Product Category]" caption="Product Category" attribute="1" defaultMemberUniqueName="[Table_1].[Product Category].[All]" allUniqueName="[Table_1].[Product Category].[All]" dimensionUniqueName="[Table_1]" displayFolder="" count="0" memberValueDatatype="130" unbalanced="0"/>
    <cacheHierarchy uniqueName="[Table_1].[Product Sub-Category]" caption="Product Sub-Category" attribute="1" defaultMemberUniqueName="[Table_1].[Product Sub-Category].[All]" allUniqueName="[Table_1].[Product Sub-Category].[All]" dimensionUniqueName="[Table_1]" displayFolder="" count="2" memberValueDatatype="130" unbalanced="0"/>
    <cacheHierarchy uniqueName="[Table_1].[Product Container]" caption="Product Container" attribute="1" defaultMemberUniqueName="[Table_1].[Product Container].[All]" allUniqueName="[Table_1].[Product Container].[All]" dimensionUniqueName="[Table_1]" displayFolder="" count="0" memberValueDatatype="130" unbalanced="0"/>
    <cacheHierarchy uniqueName="[Table_1].[Product Name]" caption="Product Name" attribute="1" defaultMemberUniqueName="[Table_1].[Product Name].[All]" allUniqueName="[Table_1].[Product Name].[All]" dimensionUniqueName="[Table_1]" displayFolder="" count="0" memberValueDatatype="130" unbalanced="0"/>
    <cacheHierarchy uniqueName="[Table_1].[Product Base Margin]" caption="Product Base Margin" attribute="1" defaultMemberUniqueName="[Table_1].[Product Base Margin].[All]" allUniqueName="[Table_1].[Product Base Margin].[All]" dimensionUniqueName="[Table_1]" displayFolder="" count="0" memberValueDatatype="5" unbalanced="0"/>
    <cacheHierarchy uniqueName="[Table_1].[Country]" caption="Country" attribute="1" defaultMemberUniqueName="[Table_1].[Country].[All]" allUniqueName="[Table_1].[Country].[All]" dimensionUniqueName="[Table_1]" displayFolder="" count="0" memberValueDatatype="130" unbalanced="0"/>
    <cacheHierarchy uniqueName="[Table_1].[Region]" caption="Region" attribute="1" defaultMemberUniqueName="[Table_1].[Region].[All]" allUniqueName="[Table_1].[Region].[All]" dimensionUniqueName="[Table_1]" displayFolder="" count="0" memberValueDatatype="130" unbalanced="0"/>
    <cacheHierarchy uniqueName="[Table_1].[State or Province]" caption="State or Province" attribute="1" defaultMemberUniqueName="[Table_1].[State or Province].[All]" allUniqueName="[Table_1].[State or Province].[All]" dimensionUniqueName="[Table_1]" displayFolder="" count="0" memberValueDatatype="130" unbalanced="0"/>
    <cacheHierarchy uniqueName="[Table_1].[City]" caption="City" attribute="1" defaultMemberUniqueName="[Table_1].[City].[All]" allUniqueName="[Table_1].[City].[All]" dimensionUniqueName="[Table_1]" displayFolder="" count="0" memberValueDatatype="130" unbalanced="0"/>
    <cacheHierarchy uniqueName="[Table_1].[Postal Code]" caption="Postal Code" attribute="1" defaultMemberUniqueName="[Table_1].[Postal Code].[All]" allUniqueName="[Table_1].[Postal Code].[All]" dimensionUniqueName="[Table_1]" displayFolder="" count="0" memberValueDatatype="20" unbalanced="0"/>
    <cacheHierarchy uniqueName="[Table_1].[Order Date]" caption="Order Date" attribute="1" time="1" defaultMemberUniqueName="[Table_1].[Order Date].[All]" allUniqueName="[Table_1].[Order Date].[All]" dimensionUniqueName="[Table_1]" displayFolder="" count="0" memberValueDatatype="7" unbalanced="0"/>
    <cacheHierarchy uniqueName="[Table_1].[Ship Date]" caption="Ship Date" attribute="1" time="1" defaultMemberUniqueName="[Table_1].[Ship Date].[All]" allUniqueName="[Table_1].[Ship Date].[All]" dimensionUniqueName="[Table_1]" displayFolder="" count="0" memberValueDatatype="7" unbalanced="0"/>
    <cacheHierarchy uniqueName="[Table_1].[Profit]" caption="Profit" attribute="1" defaultMemberUniqueName="[Table_1].[Profit].[All]" allUniqueName="[Table_1].[Profit].[All]" dimensionUniqueName="[Table_1]" displayFolder="" count="0" memberValueDatatype="5" unbalanced="0"/>
    <cacheHierarchy uniqueName="[Table_1].[Quantity ordered new]" caption="Quantity ordered new" attribute="1" defaultMemberUniqueName="[Table_1].[Quantity ordered new].[All]" allUniqueName="[Table_1].[Quantity ordered new].[All]" dimensionUniqueName="[Table_1]" displayFolder="" count="0" memberValueDatatype="20" unbalanced="0"/>
    <cacheHierarchy uniqueName="[Table_1].[Sales]" caption="Sales" attribute="1" defaultMemberUniqueName="[Table_1].[Sales].[All]" allUniqueName="[Table_1].[Sales].[All]" dimensionUniqueName="[Table_1]" displayFolder="" count="0" memberValueDatatype="5" unbalanced="0"/>
    <cacheHierarchy uniqueName="[Table_1].[Order ID]" caption="Order ID" attribute="1" defaultMemberUniqueName="[Table_1].[Order ID].[All]" allUniqueName="[Table_1].[Order ID].[All]" dimensionUniqueName="[Table_1]" displayFolder="" count="0" memberValueDatatype="20" unbalanced="0"/>
    <cacheHierarchy uniqueName="[Table_1].[Total]" caption="Total" attribute="1" defaultMemberUniqueName="[Table_1].[Total].[All]" allUniqueName="[Table_1].[Total].[All]" dimensionUniqueName="[Table_1]" displayFolder="" count="0" memberValueDatatype="5" unbalanced="0"/>
    <cacheHierarchy uniqueName="[Table_1].[Manager]" caption="Manager" attribute="1" defaultMemberUniqueName="[Table_1].[Manager].[All]" allUniqueName="[Table_1].[Manager].[All]" dimensionUniqueName="[Table_1]" displayFolder="" count="0" memberValueDatatype="130" unbalanced="0"/>
    <cacheHierarchy uniqueName="[Table_1].[Dollar Discount]" caption="Dollar Discount" attribute="1" defaultMemberUniqueName="[Table_1].[Dollar Discount].[All]" allUniqueName="[Table_1].[Dollar Discount].[All]" dimensionUniqueName="[Table_1]" displayFolder="" count="0" memberValueDatatype="5" unbalanced="0"/>
    <cacheHierarchy uniqueName="[Table_1].[Gross Cost]" caption="Gross Cost" attribute="1" defaultMemberUniqueName="[Table_1].[Gross Cost].[All]" allUniqueName="[Table_1].[Gross Cost].[All]" dimensionUniqueName="[Table_1]" displayFolder="" count="0" memberValueDatatype="5" unbalanced="0"/>
    <cacheHierarchy uniqueName="[Table_1].[Gross Profit]" caption="Gross Profit" attribute="1" defaultMemberUniqueName="[Table_1].[Gross Profit].[All]" allUniqueName="[Table_1].[Gross Profit].[All]" dimensionUniqueName="[Table_1]" displayFolder="" count="0" memberValueDatatype="5" unbalanced="0"/>
    <cacheHierarchy uniqueName="[Table_1].[Cumulative cost]" caption="Cumulative cost" attribute="1" defaultMemberUniqueName="[Table_1].[Cumulative cost].[All]" allUniqueName="[Table_1].[Cumulative cost].[All]" dimensionUniqueName="[Table_1]" displayFolder="" count="0" memberValueDatatype="5" unbalanced="0"/>
    <cacheHierarchy uniqueName="[Table_1].[Order Date (Month)]" caption="Order Date (Month)" attribute="1" defaultMemberUniqueName="[Table_1].[Order Date (Month)].[All]" allUniqueName="[Table_1].[Order Date (Month)].[All]" dimensionUniqueName="[Table_1]" displayFolder="" count="0" memberValueDatatype="130" unbalanced="0"/>
    <cacheHierarchy uniqueName="[Table_1].[Order Date (Month Index)]" caption="Order Date (Month Index)" attribute="1" defaultMemberUniqueName="[Table_1].[Order Date (Month Index)].[All]" allUniqueName="[Table_1].[Order Date (Month Index)].[All]" dimensionUniqueName="[Table_1]" displayFolder="" count="0" memberValueDatatype="20" unbalanced="0" hidden="1"/>
    <cacheHierarchy uniqueName="[Measures].[Σ Discount]" caption="Σ Discount" measure="1" displayFolder="" measureGroup="Table_1" count="0"/>
    <cacheHierarchy uniqueName="[Measures].[Σ Profit]" caption="Σ Profit" measure="1" displayFolder="" measureGroup="Table_1" count="0"/>
    <cacheHierarchy uniqueName="[Measures].[Σ Shipping]" caption="Σ Shipping" measure="1" displayFolder="" measureGroup="Table_1" count="0"/>
    <cacheHierarchy uniqueName="[Measures].[Σ Costs]" caption="Σ Costs" measure="1" displayFolder="" measureGroup="Table_1" count="0"/>
    <cacheHierarchy uniqueName="[Measures].[__XL_Count Table_1]" caption="__XL_Count Table_1" measure="1" displayFolder="" measureGroup="Table_1" count="0" hidden="1"/>
    <cacheHierarchy uniqueName="[Measures].[__No measures defined]" caption="__No measures defined" measure="1" displayFolder="" count="0" hidden="1"/>
    <cacheHierarchy uniqueName="[Measures].[Sum of Sales]" caption="Sum of Sales" measure="1" displayFolder="" measureGroup="Table_1" count="0" hidden="1">
      <extLst>
        <ext xmlns:x15="http://schemas.microsoft.com/office/spreadsheetml/2010/11/main" uri="{B97F6D7D-B522-45F9-BDA1-12C45D357490}">
          <x15:cacheHierarchy aggregatedColumn="22"/>
        </ext>
      </extLst>
    </cacheHierarchy>
    <cacheHierarchy uniqueName="[Measures].[Sum of Quantity ordered new]" caption="Sum of Quantity ordered new" measure="1" displayFolder="" measureGroup="Table_1" count="0" hidden="1">
      <extLst>
        <ext xmlns:x15="http://schemas.microsoft.com/office/spreadsheetml/2010/11/main" uri="{B97F6D7D-B522-45F9-BDA1-12C45D357490}">
          <x15:cacheHierarchy aggregatedColumn="21"/>
        </ext>
      </extLst>
    </cacheHierarchy>
    <cacheHierarchy uniqueName="[Measures].[Sum of Profit]" caption="Sum of Profit" measure="1" displayFolder="" measureGroup="Table_1" count="0" hidden="1">
      <extLst>
        <ext xmlns:x15="http://schemas.microsoft.com/office/spreadsheetml/2010/11/main" uri="{B97F6D7D-B522-45F9-BDA1-12C45D357490}">
          <x15:cacheHierarchy aggregatedColumn="20"/>
        </ext>
      </extLst>
    </cacheHierarchy>
    <cacheHierarchy uniqueName="[Measures].[Count of Product Category]" caption="Count of Product Category" measure="1" displayFolder="" measureGroup="Table_1" count="0" hidden="1">
      <extLst>
        <ext xmlns:x15="http://schemas.microsoft.com/office/spreadsheetml/2010/11/main" uri="{B97F6D7D-B522-45F9-BDA1-12C45D357490}">
          <x15:cacheHierarchy aggregatedColumn="8"/>
        </ext>
      </extLst>
    </cacheHierarchy>
    <cacheHierarchy uniqueName="[Measures].[Sum of Discount]" caption="Sum of Discount" measure="1" displayFolder="" measureGroup="Table_1" count="0" hidden="1">
      <extLst>
        <ext xmlns:x15="http://schemas.microsoft.com/office/spreadsheetml/2010/11/main" uri="{B97F6D7D-B522-45F9-BDA1-12C45D357490}">
          <x15:cacheHierarchy aggregatedColumn="3"/>
        </ext>
      </extLst>
    </cacheHierarchy>
    <cacheHierarchy uniqueName="[Measures].[Sum of Shipping Cost]" caption="Sum of Shipping Cost" measure="1" displayFolder="" measureGroup="Table_1" count="0" hidden="1">
      <extLst>
        <ext xmlns:x15="http://schemas.microsoft.com/office/spreadsheetml/2010/11/main" uri="{B97F6D7D-B522-45F9-BDA1-12C45D357490}">
          <x15:cacheHierarchy aggregatedColumn="5"/>
        </ext>
      </extLst>
    </cacheHierarchy>
    <cacheHierarchy uniqueName="[Measures].[Sum of Dollar Discount]" caption="Sum of Dollar Discount" measure="1" displayFolder="" measureGroup="Table_1" count="0" hidden="1">
      <extLst>
        <ext xmlns:x15="http://schemas.microsoft.com/office/spreadsheetml/2010/11/main" uri="{B97F6D7D-B522-45F9-BDA1-12C45D357490}">
          <x15:cacheHierarchy aggregatedColumn="26"/>
        </ext>
      </extLst>
    </cacheHierarchy>
    <cacheHierarchy uniqueName="[Measures].[Sum of Cumulative cost]" caption="Sum of Cumulative cost" measure="1" displayFolder="" measureGroup="Table_1" count="0" hidden="1">
      <extLst>
        <ext xmlns:x15="http://schemas.microsoft.com/office/spreadsheetml/2010/11/main" uri="{B97F6D7D-B522-45F9-BDA1-12C45D357490}">
          <x15:cacheHierarchy aggregatedColumn="29"/>
        </ext>
      </extLst>
    </cacheHierarchy>
    <cacheHierarchy uniqueName="[Measures].[Sum of Postal Code]" caption="Sum of Postal Code" measure="1" displayFolder="" measureGroup="Table_1" count="0" hidden="1">
      <extLst>
        <ext xmlns:x15="http://schemas.microsoft.com/office/spreadsheetml/2010/11/main" uri="{B97F6D7D-B522-45F9-BDA1-12C45D357490}">
          <x15:cacheHierarchy aggregatedColumn="17"/>
        </ext>
      </extLst>
    </cacheHierarchy>
    <cacheHierarchy uniqueName="[Measures].[Sum of Order ID]" caption="Sum of Order ID" measure="1" displayFolder="" measureGroup="Table_1" count="0" hidden="1">
      <extLst>
        <ext xmlns:x15="http://schemas.microsoft.com/office/spreadsheetml/2010/11/main" uri="{B97F6D7D-B522-45F9-BDA1-12C45D357490}">
          <x15:cacheHierarchy aggregatedColumn="23"/>
        </ext>
      </extLst>
    </cacheHierarchy>
    <cacheHierarchy uniqueName="[Measures].[Distinct Count of Order ID]" caption="Distinct Count of Order ID" measure="1" displayFolder="" measureGroup="Table_1" count="0" hidden="1">
      <extLst>
        <ext xmlns:x15="http://schemas.microsoft.com/office/spreadsheetml/2010/11/main" uri="{B97F6D7D-B522-45F9-BDA1-12C45D357490}">
          <x15:cacheHierarchy aggregatedColumn="23"/>
        </ext>
      </extLst>
    </cacheHierarchy>
    <cacheHierarchy uniqueName="[Measures].[Count of Order Date]" caption="Count of Order Date" measure="1" displayFolder="" measureGroup="Table_1" count="0" hidden="1">
      <extLst>
        <ext xmlns:x15="http://schemas.microsoft.com/office/spreadsheetml/2010/11/main" uri="{B97F6D7D-B522-45F9-BDA1-12C45D357490}">
          <x15:cacheHierarchy aggregatedColumn="18"/>
        </ext>
      </extLst>
    </cacheHierarchy>
    <cacheHierarchy uniqueName="[Measures].[Max of Order Date]" caption="Max of Order Date" measure="1" displayFolder="" measureGroup="Table_1" count="0" hidden="1">
      <extLst>
        <ext xmlns:x15="http://schemas.microsoft.com/office/spreadsheetml/2010/11/main" uri="{B97F6D7D-B522-45F9-BDA1-12C45D357490}">
          <x15:cacheHierarchy aggregatedColumn="18"/>
        </ext>
      </extLst>
    </cacheHierarchy>
    <cacheHierarchy uniqueName="[Measures].[Count of Product Name]" caption="Count of Product Name" measure="1" displayFolder="" measureGroup="Table_1" count="0" hidden="1">
      <extLst>
        <ext xmlns:x15="http://schemas.microsoft.com/office/spreadsheetml/2010/11/main" uri="{B97F6D7D-B522-45F9-BDA1-12C45D357490}">
          <x15:cacheHierarchy aggregatedColumn="11"/>
        </ext>
      </extLst>
    </cacheHierarchy>
    <cacheHierarchy uniqueName="[Measures].[Distinct Count of Product Name]" caption="Distinct Count of Product Name" measure="1" displayFolder="" measureGroup="Table_1" count="0" hidden="1">
      <extLst>
        <ext xmlns:x15="http://schemas.microsoft.com/office/spreadsheetml/2010/11/main" uri="{B97F6D7D-B522-45F9-BDA1-12C45D357490}">
          <x15:cacheHierarchy aggregatedColumn="11"/>
        </ext>
      </extLst>
    </cacheHierarchy>
  </cacheHierarchies>
  <kpis count="0"/>
  <extLst>
    <ext xmlns:x14="http://schemas.microsoft.com/office/spreadsheetml/2009/9/main" uri="{725AE2AE-9491-48be-B2B4-4EB974FC3084}">
      <x14:pivotCacheDefinition slicerData="1" pivotCacheId="1183887746" supportSubqueryNonVisual="1" supportSubqueryCalcMem="1" supportAddCalcMems="1"/>
    </ext>
  </extLst>
</pivotCacheDefinition>
</file>

<file path=xl/pivotCache/pivotCacheDefinition2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aurabh Lakhanpal" refreshedDate="45217.481899999999" backgroundQuery="1" createdVersion="3" refreshedVersion="8" minRefreshableVersion="3" recordCount="0" supportSubquery="1" supportAdvancedDrill="1" xr:uid="{D5B8597A-949A-4699-823C-DB3176E479F5}">
  <cacheSource type="external" connectionId="1">
    <extLst>
      <ext xmlns:x14="http://schemas.microsoft.com/office/spreadsheetml/2009/9/main" uri="{F057638F-6D5F-4e77-A914-E7F072B9BCA8}">
        <x14:sourceConnection name="ThisWorkbookDataModel"/>
      </ext>
    </extLst>
  </cacheSource>
  <cacheFields count="0"/>
  <cacheHierarchies count="53">
    <cacheHierarchy uniqueName="[Table_1].[Customer ID]" caption="Customer ID" attribute="1" defaultMemberUniqueName="[Table_1].[Customer ID].[All]" allUniqueName="[Table_1].[Customer ID].[All]" dimensionUniqueName="[Table_1]" displayFolder="" count="0" memberValueDatatype="20" unbalanced="0"/>
    <cacheHierarchy uniqueName="[Table_1].[Customer Name]" caption="Customer Name" attribute="1" defaultMemberUniqueName="[Table_1].[Customer Name].[All]" allUniqueName="[Table_1].[Customer Name].[All]" dimensionUniqueName="[Table_1]" displayFolder="" count="0" memberValueDatatype="130" unbalanced="0"/>
    <cacheHierarchy uniqueName="[Table_1].[Order Priority]" caption="Order Priority" attribute="1" defaultMemberUniqueName="[Table_1].[Order Priority].[All]" allUniqueName="[Table_1].[Order Priority].[All]" dimensionUniqueName="[Table_1]" displayFolder="" count="2" memberValueDatatype="130" unbalanced="0"/>
    <cacheHierarchy uniqueName="[Table_1].[Discount]" caption="Discount" attribute="1" defaultMemberUniqueName="[Table_1].[Discount].[All]" allUniqueName="[Table_1].[Discount].[All]" dimensionUniqueName="[Table_1]" displayFolder="" count="0" memberValueDatatype="5" unbalanced="0"/>
    <cacheHierarchy uniqueName="[Table_1].[Unit Price]" caption="Unit Price" attribute="1" defaultMemberUniqueName="[Table_1].[Unit Price].[All]" allUniqueName="[Table_1].[Unit Price].[All]" dimensionUniqueName="[Table_1]" displayFolder="" count="0" memberValueDatatype="5" unbalanced="0"/>
    <cacheHierarchy uniqueName="[Table_1].[Shipping Cost]" caption="Shipping Cost" attribute="1" defaultMemberUniqueName="[Table_1].[Shipping Cost].[All]" allUniqueName="[Table_1].[Shipping Cost].[All]" dimensionUniqueName="[Table_1]" displayFolder="" count="0" memberValueDatatype="5" unbalanced="0"/>
    <cacheHierarchy uniqueName="[Table_1].[Ship Mode]" caption="Ship Mode" attribute="1" defaultMemberUniqueName="[Table_1].[Ship Mode].[All]" allUniqueName="[Table_1].[Ship Mode].[All]" dimensionUniqueName="[Table_1]" displayFolder="" count="0" memberValueDatatype="130" unbalanced="0"/>
    <cacheHierarchy uniqueName="[Table_1].[Customer Segment]" caption="Customer Segment" attribute="1" defaultMemberUniqueName="[Table_1].[Customer Segment].[All]" allUniqueName="[Table_1].[Customer Segment].[All]" dimensionUniqueName="[Table_1]" displayFolder="" count="0" memberValueDatatype="130" unbalanced="0"/>
    <cacheHierarchy uniqueName="[Table_1].[Product Category]" caption="Product Category" attribute="1" defaultMemberUniqueName="[Table_1].[Product Category].[All]" allUniqueName="[Table_1].[Product Category].[All]" dimensionUniqueName="[Table_1]" displayFolder="" count="0" memberValueDatatype="130" unbalanced="0"/>
    <cacheHierarchy uniqueName="[Table_1].[Product Sub-Category]" caption="Product Sub-Category" attribute="1" defaultMemberUniqueName="[Table_1].[Product Sub-Category].[All]" allUniqueName="[Table_1].[Product Sub-Category].[All]" dimensionUniqueName="[Table_1]" displayFolder="" count="0" memberValueDatatype="130" unbalanced="0"/>
    <cacheHierarchy uniqueName="[Table_1].[Product Container]" caption="Product Container" attribute="1" defaultMemberUniqueName="[Table_1].[Product Container].[All]" allUniqueName="[Table_1].[Product Container].[All]" dimensionUniqueName="[Table_1]" displayFolder="" count="0" memberValueDatatype="130" unbalanced="0"/>
    <cacheHierarchy uniqueName="[Table_1].[Product Name]" caption="Product Name" attribute="1" defaultMemberUniqueName="[Table_1].[Product Name].[All]" allUniqueName="[Table_1].[Product Name].[All]" dimensionUniqueName="[Table_1]" displayFolder="" count="0" memberValueDatatype="130" unbalanced="0"/>
    <cacheHierarchy uniqueName="[Table_1].[Product Base Margin]" caption="Product Base Margin" attribute="1" defaultMemberUniqueName="[Table_1].[Product Base Margin].[All]" allUniqueName="[Table_1].[Product Base Margin].[All]" dimensionUniqueName="[Table_1]" displayFolder="" count="0" memberValueDatatype="5" unbalanced="0"/>
    <cacheHierarchy uniqueName="[Table_1].[Country]" caption="Country" attribute="1" defaultMemberUniqueName="[Table_1].[Country].[All]" allUniqueName="[Table_1].[Country].[All]" dimensionUniqueName="[Table_1]" displayFolder="" count="0" memberValueDatatype="130" unbalanced="0"/>
    <cacheHierarchy uniqueName="[Table_1].[Region]" caption="Region" attribute="1" defaultMemberUniqueName="[Table_1].[Region].[All]" allUniqueName="[Table_1].[Region].[All]" dimensionUniqueName="[Table_1]" displayFolder="" count="0" memberValueDatatype="130" unbalanced="0"/>
    <cacheHierarchy uniqueName="[Table_1].[State or Province]" caption="State or Province" attribute="1" defaultMemberUniqueName="[Table_1].[State or Province].[All]" allUniqueName="[Table_1].[State or Province].[All]" dimensionUniqueName="[Table_1]" displayFolder="" count="0" memberValueDatatype="130" unbalanced="0"/>
    <cacheHierarchy uniqueName="[Table_1].[City]" caption="City" attribute="1" defaultMemberUniqueName="[Table_1].[City].[All]" allUniqueName="[Table_1].[City].[All]" dimensionUniqueName="[Table_1]" displayFolder="" count="0" memberValueDatatype="130" unbalanced="0"/>
    <cacheHierarchy uniqueName="[Table_1].[Postal Code]" caption="Postal Code" attribute="1" defaultMemberUniqueName="[Table_1].[Postal Code].[All]" allUniqueName="[Table_1].[Postal Code].[All]" dimensionUniqueName="[Table_1]" displayFolder="" count="0" memberValueDatatype="20" unbalanced="0"/>
    <cacheHierarchy uniqueName="[Table_1].[Order Date]" caption="Order Date" attribute="1" time="1" defaultMemberUniqueName="[Table_1].[Order Date].[All]" allUniqueName="[Table_1].[Order Date].[All]" dimensionUniqueName="[Table_1]" displayFolder="" count="0" memberValueDatatype="7" unbalanced="0"/>
    <cacheHierarchy uniqueName="[Table_1].[Ship Date]" caption="Ship Date" attribute="1" time="1" defaultMemberUniqueName="[Table_1].[Ship Date].[All]" allUniqueName="[Table_1].[Ship Date].[All]" dimensionUniqueName="[Table_1]" displayFolder="" count="0" memberValueDatatype="7" unbalanced="0"/>
    <cacheHierarchy uniqueName="[Table_1].[Profit]" caption="Profit" attribute="1" defaultMemberUniqueName="[Table_1].[Profit].[All]" allUniqueName="[Table_1].[Profit].[All]" dimensionUniqueName="[Table_1]" displayFolder="" count="0" memberValueDatatype="5" unbalanced="0"/>
    <cacheHierarchy uniqueName="[Table_1].[Quantity ordered new]" caption="Quantity ordered new" attribute="1" defaultMemberUniqueName="[Table_1].[Quantity ordered new].[All]" allUniqueName="[Table_1].[Quantity ordered new].[All]" dimensionUniqueName="[Table_1]" displayFolder="" count="0" memberValueDatatype="20" unbalanced="0"/>
    <cacheHierarchy uniqueName="[Table_1].[Sales]" caption="Sales" attribute="1" defaultMemberUniqueName="[Table_1].[Sales].[All]" allUniqueName="[Table_1].[Sales].[All]" dimensionUniqueName="[Table_1]" displayFolder="" count="0" memberValueDatatype="5" unbalanced="0"/>
    <cacheHierarchy uniqueName="[Table_1].[Order ID]" caption="Order ID" attribute="1" defaultMemberUniqueName="[Table_1].[Order ID].[All]" allUniqueName="[Table_1].[Order ID].[All]" dimensionUniqueName="[Table_1]" displayFolder="" count="0" memberValueDatatype="20" unbalanced="0"/>
    <cacheHierarchy uniqueName="[Table_1].[Total]" caption="Total" attribute="1" defaultMemberUniqueName="[Table_1].[Total].[All]" allUniqueName="[Table_1].[Total].[All]" dimensionUniqueName="[Table_1]" displayFolder="" count="0" memberValueDatatype="5" unbalanced="0"/>
    <cacheHierarchy uniqueName="[Table_1].[Manager]" caption="Manager" attribute="1" defaultMemberUniqueName="[Table_1].[Manager].[All]" allUniqueName="[Table_1].[Manager].[All]" dimensionUniqueName="[Table_1]" displayFolder="" count="0" memberValueDatatype="130" unbalanced="0"/>
    <cacheHierarchy uniqueName="[Table_1].[Dollar Discount]" caption="Dollar Discount" attribute="1" defaultMemberUniqueName="[Table_1].[Dollar Discount].[All]" allUniqueName="[Table_1].[Dollar Discount].[All]" dimensionUniqueName="[Table_1]" displayFolder="" count="0" memberValueDatatype="5" unbalanced="0"/>
    <cacheHierarchy uniqueName="[Table_1].[Gross Cost]" caption="Gross Cost" attribute="1" defaultMemberUniqueName="[Table_1].[Gross Cost].[All]" allUniqueName="[Table_1].[Gross Cost].[All]" dimensionUniqueName="[Table_1]" displayFolder="" count="0" memberValueDatatype="5" unbalanced="0"/>
    <cacheHierarchy uniqueName="[Table_1].[Gross Profit]" caption="Gross Profit" attribute="1" defaultMemberUniqueName="[Table_1].[Gross Profit].[All]" allUniqueName="[Table_1].[Gross Profit].[All]" dimensionUniqueName="[Table_1]" displayFolder="" count="0" memberValueDatatype="5" unbalanced="0"/>
    <cacheHierarchy uniqueName="[Table_1].[Cumulative cost]" caption="Cumulative cost" attribute="1" defaultMemberUniqueName="[Table_1].[Cumulative cost].[All]" allUniqueName="[Table_1].[Cumulative cost].[All]" dimensionUniqueName="[Table_1]" displayFolder="" count="0" memberValueDatatype="5" unbalanced="0"/>
    <cacheHierarchy uniqueName="[Table_1].[Order Date (Month)]" caption="Order Date (Month)" attribute="1" defaultMemberUniqueName="[Table_1].[Order Date (Month)].[All]" allUniqueName="[Table_1].[Order Date (Month)].[All]" dimensionUniqueName="[Table_1]" displayFolder="" count="0" memberValueDatatype="130" unbalanced="0"/>
    <cacheHierarchy uniqueName="[Table_1].[Order Date (Month Index)]" caption="Order Date (Month Index)" attribute="1" defaultMemberUniqueName="[Table_1].[Order Date (Month Index)].[All]" allUniqueName="[Table_1].[Order Date (Month Index)].[All]" dimensionUniqueName="[Table_1]" displayFolder="" count="0" memberValueDatatype="20" unbalanced="0" hidden="1"/>
    <cacheHierarchy uniqueName="[Measures].[Σ Discount]" caption="Σ Discount" measure="1" displayFolder="" measureGroup="Table_1" count="0"/>
    <cacheHierarchy uniqueName="[Measures].[Σ Profit]" caption="Σ Profit" measure="1" displayFolder="" measureGroup="Table_1" count="0"/>
    <cacheHierarchy uniqueName="[Measures].[Σ Shipping]" caption="Σ Shipping" measure="1" displayFolder="" measureGroup="Table_1" count="0"/>
    <cacheHierarchy uniqueName="[Measures].[Σ Costs]" caption="Σ Costs" measure="1" displayFolder="" measureGroup="Table_1" count="0"/>
    <cacheHierarchy uniqueName="[Measures].[__XL_Count Table_1]" caption="__XL_Count Table_1" measure="1" displayFolder="" measureGroup="Table_1" count="0" hidden="1"/>
    <cacheHierarchy uniqueName="[Measures].[__No measures defined]" caption="__No measures defined" measure="1" displayFolder="" count="0" hidden="1"/>
    <cacheHierarchy uniqueName="[Measures].[Sum of Sales]" caption="Sum of Sales" measure="1" displayFolder="" measureGroup="Table_1" count="0" hidden="1">
      <extLst>
        <ext xmlns:x15="http://schemas.microsoft.com/office/spreadsheetml/2010/11/main" uri="{B97F6D7D-B522-45F9-BDA1-12C45D357490}">
          <x15:cacheHierarchy aggregatedColumn="22"/>
        </ext>
      </extLst>
    </cacheHierarchy>
    <cacheHierarchy uniqueName="[Measures].[Sum of Quantity ordered new]" caption="Sum of Quantity ordered new" measure="1" displayFolder="" measureGroup="Table_1" count="0" hidden="1">
      <extLst>
        <ext xmlns:x15="http://schemas.microsoft.com/office/spreadsheetml/2010/11/main" uri="{B97F6D7D-B522-45F9-BDA1-12C45D357490}">
          <x15:cacheHierarchy aggregatedColumn="21"/>
        </ext>
      </extLst>
    </cacheHierarchy>
    <cacheHierarchy uniqueName="[Measures].[Sum of Profit]" caption="Sum of Profit" measure="1" displayFolder="" measureGroup="Table_1" count="0" hidden="1">
      <extLst>
        <ext xmlns:x15="http://schemas.microsoft.com/office/spreadsheetml/2010/11/main" uri="{B97F6D7D-B522-45F9-BDA1-12C45D357490}">
          <x15:cacheHierarchy aggregatedColumn="20"/>
        </ext>
      </extLst>
    </cacheHierarchy>
    <cacheHierarchy uniqueName="[Measures].[Count of Product Category]" caption="Count of Product Category" measure="1" displayFolder="" measureGroup="Table_1" count="0" hidden="1">
      <extLst>
        <ext xmlns:x15="http://schemas.microsoft.com/office/spreadsheetml/2010/11/main" uri="{B97F6D7D-B522-45F9-BDA1-12C45D357490}">
          <x15:cacheHierarchy aggregatedColumn="8"/>
        </ext>
      </extLst>
    </cacheHierarchy>
    <cacheHierarchy uniqueName="[Measures].[Sum of Discount]" caption="Sum of Discount" measure="1" displayFolder="" measureGroup="Table_1" count="0" hidden="1">
      <extLst>
        <ext xmlns:x15="http://schemas.microsoft.com/office/spreadsheetml/2010/11/main" uri="{B97F6D7D-B522-45F9-BDA1-12C45D357490}">
          <x15:cacheHierarchy aggregatedColumn="3"/>
        </ext>
      </extLst>
    </cacheHierarchy>
    <cacheHierarchy uniqueName="[Measures].[Sum of Shipping Cost]" caption="Sum of Shipping Cost" measure="1" displayFolder="" measureGroup="Table_1" count="0" hidden="1">
      <extLst>
        <ext xmlns:x15="http://schemas.microsoft.com/office/spreadsheetml/2010/11/main" uri="{B97F6D7D-B522-45F9-BDA1-12C45D357490}">
          <x15:cacheHierarchy aggregatedColumn="5"/>
        </ext>
      </extLst>
    </cacheHierarchy>
    <cacheHierarchy uniqueName="[Measures].[Sum of Dollar Discount]" caption="Sum of Dollar Discount" measure="1" displayFolder="" measureGroup="Table_1" count="0" hidden="1">
      <extLst>
        <ext xmlns:x15="http://schemas.microsoft.com/office/spreadsheetml/2010/11/main" uri="{B97F6D7D-B522-45F9-BDA1-12C45D357490}">
          <x15:cacheHierarchy aggregatedColumn="26"/>
        </ext>
      </extLst>
    </cacheHierarchy>
    <cacheHierarchy uniqueName="[Measures].[Sum of Cumulative cost]" caption="Sum of Cumulative cost" measure="1" displayFolder="" measureGroup="Table_1" count="0" hidden="1">
      <extLst>
        <ext xmlns:x15="http://schemas.microsoft.com/office/spreadsheetml/2010/11/main" uri="{B97F6D7D-B522-45F9-BDA1-12C45D357490}">
          <x15:cacheHierarchy aggregatedColumn="29"/>
        </ext>
      </extLst>
    </cacheHierarchy>
    <cacheHierarchy uniqueName="[Measures].[Sum of Postal Code]" caption="Sum of Postal Code" measure="1" displayFolder="" measureGroup="Table_1" count="0" hidden="1">
      <extLst>
        <ext xmlns:x15="http://schemas.microsoft.com/office/spreadsheetml/2010/11/main" uri="{B97F6D7D-B522-45F9-BDA1-12C45D357490}">
          <x15:cacheHierarchy aggregatedColumn="17"/>
        </ext>
      </extLst>
    </cacheHierarchy>
    <cacheHierarchy uniqueName="[Measures].[Sum of Order ID]" caption="Sum of Order ID" measure="1" displayFolder="" measureGroup="Table_1" count="0" hidden="1">
      <extLst>
        <ext xmlns:x15="http://schemas.microsoft.com/office/spreadsheetml/2010/11/main" uri="{B97F6D7D-B522-45F9-BDA1-12C45D357490}">
          <x15:cacheHierarchy aggregatedColumn="23"/>
        </ext>
      </extLst>
    </cacheHierarchy>
    <cacheHierarchy uniqueName="[Measures].[Distinct Count of Order ID]" caption="Distinct Count of Order ID" measure="1" displayFolder="" measureGroup="Table_1" count="0" hidden="1">
      <extLst>
        <ext xmlns:x15="http://schemas.microsoft.com/office/spreadsheetml/2010/11/main" uri="{B97F6D7D-B522-45F9-BDA1-12C45D357490}">
          <x15:cacheHierarchy aggregatedColumn="23"/>
        </ext>
      </extLst>
    </cacheHierarchy>
    <cacheHierarchy uniqueName="[Measures].[Count of Order Date]" caption="Count of Order Date" measure="1" displayFolder="" measureGroup="Table_1" count="0" hidden="1">
      <extLst>
        <ext xmlns:x15="http://schemas.microsoft.com/office/spreadsheetml/2010/11/main" uri="{B97F6D7D-B522-45F9-BDA1-12C45D357490}">
          <x15:cacheHierarchy aggregatedColumn="18"/>
        </ext>
      </extLst>
    </cacheHierarchy>
    <cacheHierarchy uniqueName="[Measures].[Max of Order Date]" caption="Max of Order Date" measure="1" displayFolder="" measureGroup="Table_1" count="0" hidden="1">
      <extLst>
        <ext xmlns:x15="http://schemas.microsoft.com/office/spreadsheetml/2010/11/main" uri="{B97F6D7D-B522-45F9-BDA1-12C45D357490}">
          <x15:cacheHierarchy aggregatedColumn="18"/>
        </ext>
      </extLst>
    </cacheHierarchy>
    <cacheHierarchy uniqueName="[Measures].[Count of Product Name]" caption="Count of Product Name" measure="1" displayFolder="" measureGroup="Table_1" count="0" hidden="1">
      <extLst>
        <ext xmlns:x15="http://schemas.microsoft.com/office/spreadsheetml/2010/11/main" uri="{B97F6D7D-B522-45F9-BDA1-12C45D357490}">
          <x15:cacheHierarchy aggregatedColumn="11"/>
        </ext>
      </extLst>
    </cacheHierarchy>
    <cacheHierarchy uniqueName="[Measures].[Distinct Count of Product Name]" caption="Distinct Count of Product Name" measure="1" displayFolder="" measureGroup="Table_1" count="0" hidden="1">
      <extLst>
        <ext xmlns:x15="http://schemas.microsoft.com/office/spreadsheetml/2010/11/main" uri="{B97F6D7D-B522-45F9-BDA1-12C45D357490}">
          <x15:cacheHierarchy aggregatedColumn="11"/>
        </ext>
      </extLst>
    </cacheHierarchy>
  </cacheHierarchies>
  <kpis count="0"/>
  <extLst>
    <ext xmlns:x14="http://schemas.microsoft.com/office/spreadsheetml/2009/9/main" uri="{725AE2AE-9491-48be-B2B4-4EB974FC3084}">
      <x14:pivotCacheDefinition slicerData="1" pivotCacheId="384521452" supportSubqueryNonVisual="1" supportSubqueryCalcMem="1" supportAddCalcMems="1"/>
    </ext>
  </extLst>
</pivotCacheDefinition>
</file>

<file path=xl/pivotCache/pivotCacheDefinition2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aurabh Lakhanpal" refreshedDate="45217.481901967592" backgroundQuery="1" createdVersion="3" refreshedVersion="8" minRefreshableVersion="3" recordCount="0" supportSubquery="1" supportAdvancedDrill="1" xr:uid="{F88EDA1F-EA74-4BB5-8B2F-C9BA9A3A70D3}">
  <cacheSource type="external" connectionId="1">
    <extLst>
      <ext xmlns:x14="http://schemas.microsoft.com/office/spreadsheetml/2009/9/main" uri="{F057638F-6D5F-4e77-A914-E7F072B9BCA8}">
        <x14:sourceConnection name="ThisWorkbookDataModel"/>
      </ext>
    </extLst>
  </cacheSource>
  <cacheFields count="0"/>
  <cacheHierarchies count="53">
    <cacheHierarchy uniqueName="[Table_1].[Customer ID]" caption="Customer ID" attribute="1" defaultMemberUniqueName="[Table_1].[Customer ID].[All]" allUniqueName="[Table_1].[Customer ID].[All]" dimensionUniqueName="[Table_1]" displayFolder="" count="0" memberValueDatatype="20" unbalanced="0"/>
    <cacheHierarchy uniqueName="[Table_1].[Customer Name]" caption="Customer Name" attribute="1" defaultMemberUniqueName="[Table_1].[Customer Name].[All]" allUniqueName="[Table_1].[Customer Name].[All]" dimensionUniqueName="[Table_1]" displayFolder="" count="0" memberValueDatatype="130" unbalanced="0"/>
    <cacheHierarchy uniqueName="[Table_1].[Order Priority]" caption="Order Priority" attribute="1" defaultMemberUniqueName="[Table_1].[Order Priority].[All]" allUniqueName="[Table_1].[Order Priority].[All]" dimensionUniqueName="[Table_1]" displayFolder="" count="0" memberValueDatatype="130" unbalanced="0"/>
    <cacheHierarchy uniqueName="[Table_1].[Discount]" caption="Discount" attribute="1" defaultMemberUniqueName="[Table_1].[Discount].[All]" allUniqueName="[Table_1].[Discount].[All]" dimensionUniqueName="[Table_1]" displayFolder="" count="0" memberValueDatatype="5" unbalanced="0"/>
    <cacheHierarchy uniqueName="[Table_1].[Unit Price]" caption="Unit Price" attribute="1" defaultMemberUniqueName="[Table_1].[Unit Price].[All]" allUniqueName="[Table_1].[Unit Price].[All]" dimensionUniqueName="[Table_1]" displayFolder="" count="0" memberValueDatatype="5" unbalanced="0"/>
    <cacheHierarchy uniqueName="[Table_1].[Shipping Cost]" caption="Shipping Cost" attribute="1" defaultMemberUniqueName="[Table_1].[Shipping Cost].[All]" allUniqueName="[Table_1].[Shipping Cost].[All]" dimensionUniqueName="[Table_1]" displayFolder="" count="0" memberValueDatatype="5" unbalanced="0"/>
    <cacheHierarchy uniqueName="[Table_1].[Ship Mode]" caption="Ship Mode" attribute="1" defaultMemberUniqueName="[Table_1].[Ship Mode].[All]" allUniqueName="[Table_1].[Ship Mode].[All]" dimensionUniqueName="[Table_1]" displayFolder="" count="0" memberValueDatatype="130" unbalanced="0"/>
    <cacheHierarchy uniqueName="[Table_1].[Customer Segment]" caption="Customer Segment" attribute="1" defaultMemberUniqueName="[Table_1].[Customer Segment].[All]" allUniqueName="[Table_1].[Customer Segment].[All]" dimensionUniqueName="[Table_1]" displayFolder="" count="0" memberValueDatatype="130" unbalanced="0"/>
    <cacheHierarchy uniqueName="[Table_1].[Product Category]" caption="Product Category" attribute="1" defaultMemberUniqueName="[Table_1].[Product Category].[All]" allUniqueName="[Table_1].[Product Category].[All]" dimensionUniqueName="[Table_1]" displayFolder="" count="2" memberValueDatatype="130" unbalanced="0"/>
    <cacheHierarchy uniqueName="[Table_1].[Product Sub-Category]" caption="Product Sub-Category" attribute="1" defaultMemberUniqueName="[Table_1].[Product Sub-Category].[All]" allUniqueName="[Table_1].[Product Sub-Category].[All]" dimensionUniqueName="[Table_1]" displayFolder="" count="0" memberValueDatatype="130" unbalanced="0"/>
    <cacheHierarchy uniqueName="[Table_1].[Product Container]" caption="Product Container" attribute="1" defaultMemberUniqueName="[Table_1].[Product Container].[All]" allUniqueName="[Table_1].[Product Container].[All]" dimensionUniqueName="[Table_1]" displayFolder="" count="0" memberValueDatatype="130" unbalanced="0"/>
    <cacheHierarchy uniqueName="[Table_1].[Product Name]" caption="Product Name" attribute="1" defaultMemberUniqueName="[Table_1].[Product Name].[All]" allUniqueName="[Table_1].[Product Name].[All]" dimensionUniqueName="[Table_1]" displayFolder="" count="0" memberValueDatatype="130" unbalanced="0"/>
    <cacheHierarchy uniqueName="[Table_1].[Product Base Margin]" caption="Product Base Margin" attribute="1" defaultMemberUniqueName="[Table_1].[Product Base Margin].[All]" allUniqueName="[Table_1].[Product Base Margin].[All]" dimensionUniqueName="[Table_1]" displayFolder="" count="0" memberValueDatatype="5" unbalanced="0"/>
    <cacheHierarchy uniqueName="[Table_1].[Country]" caption="Country" attribute="1" defaultMemberUniqueName="[Table_1].[Country].[All]" allUniqueName="[Table_1].[Country].[All]" dimensionUniqueName="[Table_1]" displayFolder="" count="0" memberValueDatatype="130" unbalanced="0"/>
    <cacheHierarchy uniqueName="[Table_1].[Region]" caption="Region" attribute="1" defaultMemberUniqueName="[Table_1].[Region].[All]" allUniqueName="[Table_1].[Region].[All]" dimensionUniqueName="[Table_1]" displayFolder="" count="0" memberValueDatatype="130" unbalanced="0"/>
    <cacheHierarchy uniqueName="[Table_1].[State or Province]" caption="State or Province" attribute="1" defaultMemberUniqueName="[Table_1].[State or Province].[All]" allUniqueName="[Table_1].[State or Province].[All]" dimensionUniqueName="[Table_1]" displayFolder="" count="0" memberValueDatatype="130" unbalanced="0"/>
    <cacheHierarchy uniqueName="[Table_1].[City]" caption="City" attribute="1" defaultMemberUniqueName="[Table_1].[City].[All]" allUniqueName="[Table_1].[City].[All]" dimensionUniqueName="[Table_1]" displayFolder="" count="0" memberValueDatatype="130" unbalanced="0"/>
    <cacheHierarchy uniqueName="[Table_1].[Postal Code]" caption="Postal Code" attribute="1" defaultMemberUniqueName="[Table_1].[Postal Code].[All]" allUniqueName="[Table_1].[Postal Code].[All]" dimensionUniqueName="[Table_1]" displayFolder="" count="0" memberValueDatatype="20" unbalanced="0"/>
    <cacheHierarchy uniqueName="[Table_1].[Order Date]" caption="Order Date" attribute="1" time="1" defaultMemberUniqueName="[Table_1].[Order Date].[All]" allUniqueName="[Table_1].[Order Date].[All]" dimensionUniqueName="[Table_1]" displayFolder="" count="0" memberValueDatatype="7" unbalanced="0"/>
    <cacheHierarchy uniqueName="[Table_1].[Ship Date]" caption="Ship Date" attribute="1" time="1" defaultMemberUniqueName="[Table_1].[Ship Date].[All]" allUniqueName="[Table_1].[Ship Date].[All]" dimensionUniqueName="[Table_1]" displayFolder="" count="0" memberValueDatatype="7" unbalanced="0"/>
    <cacheHierarchy uniqueName="[Table_1].[Profit]" caption="Profit" attribute="1" defaultMemberUniqueName="[Table_1].[Profit].[All]" allUniqueName="[Table_1].[Profit].[All]" dimensionUniqueName="[Table_1]" displayFolder="" count="0" memberValueDatatype="5" unbalanced="0"/>
    <cacheHierarchy uniqueName="[Table_1].[Quantity ordered new]" caption="Quantity ordered new" attribute="1" defaultMemberUniqueName="[Table_1].[Quantity ordered new].[All]" allUniqueName="[Table_1].[Quantity ordered new].[All]" dimensionUniqueName="[Table_1]" displayFolder="" count="0" memberValueDatatype="20" unbalanced="0"/>
    <cacheHierarchy uniqueName="[Table_1].[Sales]" caption="Sales" attribute="1" defaultMemberUniqueName="[Table_1].[Sales].[All]" allUniqueName="[Table_1].[Sales].[All]" dimensionUniqueName="[Table_1]" displayFolder="" count="0" memberValueDatatype="5" unbalanced="0"/>
    <cacheHierarchy uniqueName="[Table_1].[Order ID]" caption="Order ID" attribute="1" defaultMemberUniqueName="[Table_1].[Order ID].[All]" allUniqueName="[Table_1].[Order ID].[All]" dimensionUniqueName="[Table_1]" displayFolder="" count="0" memberValueDatatype="20" unbalanced="0"/>
    <cacheHierarchy uniqueName="[Table_1].[Total]" caption="Total" attribute="1" defaultMemberUniqueName="[Table_1].[Total].[All]" allUniqueName="[Table_1].[Total].[All]" dimensionUniqueName="[Table_1]" displayFolder="" count="0" memberValueDatatype="5" unbalanced="0"/>
    <cacheHierarchy uniqueName="[Table_1].[Manager]" caption="Manager" attribute="1" defaultMemberUniqueName="[Table_1].[Manager].[All]" allUniqueName="[Table_1].[Manager].[All]" dimensionUniqueName="[Table_1]" displayFolder="" count="0" memberValueDatatype="130" unbalanced="0"/>
    <cacheHierarchy uniqueName="[Table_1].[Dollar Discount]" caption="Dollar Discount" attribute="1" defaultMemberUniqueName="[Table_1].[Dollar Discount].[All]" allUniqueName="[Table_1].[Dollar Discount].[All]" dimensionUniqueName="[Table_1]" displayFolder="" count="0" memberValueDatatype="5" unbalanced="0"/>
    <cacheHierarchy uniqueName="[Table_1].[Gross Cost]" caption="Gross Cost" attribute="1" defaultMemberUniqueName="[Table_1].[Gross Cost].[All]" allUniqueName="[Table_1].[Gross Cost].[All]" dimensionUniqueName="[Table_1]" displayFolder="" count="0" memberValueDatatype="5" unbalanced="0"/>
    <cacheHierarchy uniqueName="[Table_1].[Gross Profit]" caption="Gross Profit" attribute="1" defaultMemberUniqueName="[Table_1].[Gross Profit].[All]" allUniqueName="[Table_1].[Gross Profit].[All]" dimensionUniqueName="[Table_1]" displayFolder="" count="0" memberValueDatatype="5" unbalanced="0"/>
    <cacheHierarchy uniqueName="[Table_1].[Cumulative cost]" caption="Cumulative cost" attribute="1" defaultMemberUniqueName="[Table_1].[Cumulative cost].[All]" allUniqueName="[Table_1].[Cumulative cost].[All]" dimensionUniqueName="[Table_1]" displayFolder="" count="0" memberValueDatatype="5" unbalanced="0"/>
    <cacheHierarchy uniqueName="[Table_1].[Order Date (Month)]" caption="Order Date (Month)" attribute="1" defaultMemberUniqueName="[Table_1].[Order Date (Month)].[All]" allUniqueName="[Table_1].[Order Date (Month)].[All]" dimensionUniqueName="[Table_1]" displayFolder="" count="2" memberValueDatatype="130" unbalanced="0"/>
    <cacheHierarchy uniqueName="[Table_1].[Order Date (Month Index)]" caption="Order Date (Month Index)" attribute="1" defaultMemberUniqueName="[Table_1].[Order Date (Month Index)].[All]" allUniqueName="[Table_1].[Order Date (Month Index)].[All]" dimensionUniqueName="[Table_1]" displayFolder="" count="0" memberValueDatatype="20" unbalanced="0" hidden="1"/>
    <cacheHierarchy uniqueName="[Measures].[Σ Discount]" caption="Σ Discount" measure="1" displayFolder="" measureGroup="Table_1" count="0"/>
    <cacheHierarchy uniqueName="[Measures].[Σ Profit]" caption="Σ Profit" measure="1" displayFolder="" measureGroup="Table_1" count="0"/>
    <cacheHierarchy uniqueName="[Measures].[Σ Shipping]" caption="Σ Shipping" measure="1" displayFolder="" measureGroup="Table_1" count="0"/>
    <cacheHierarchy uniqueName="[Measures].[Σ Costs]" caption="Σ Costs" measure="1" displayFolder="" measureGroup="Table_1" count="0"/>
    <cacheHierarchy uniqueName="[Measures].[__XL_Count Table_1]" caption="__XL_Count Table_1" measure="1" displayFolder="" measureGroup="Table_1" count="0" hidden="1"/>
    <cacheHierarchy uniqueName="[Measures].[__No measures defined]" caption="__No measures defined" measure="1" displayFolder="" count="0" hidden="1"/>
    <cacheHierarchy uniqueName="[Measures].[Sum of Sales]" caption="Sum of Sales" measure="1" displayFolder="" measureGroup="Table_1" count="0" hidden="1">
      <extLst>
        <ext xmlns:x15="http://schemas.microsoft.com/office/spreadsheetml/2010/11/main" uri="{B97F6D7D-B522-45F9-BDA1-12C45D357490}">
          <x15:cacheHierarchy aggregatedColumn="22"/>
        </ext>
      </extLst>
    </cacheHierarchy>
    <cacheHierarchy uniqueName="[Measures].[Sum of Quantity ordered new]" caption="Sum of Quantity ordered new" measure="1" displayFolder="" measureGroup="Table_1" count="0" hidden="1">
      <extLst>
        <ext xmlns:x15="http://schemas.microsoft.com/office/spreadsheetml/2010/11/main" uri="{B97F6D7D-B522-45F9-BDA1-12C45D357490}">
          <x15:cacheHierarchy aggregatedColumn="21"/>
        </ext>
      </extLst>
    </cacheHierarchy>
    <cacheHierarchy uniqueName="[Measures].[Sum of Profit]" caption="Sum of Profit" measure="1" displayFolder="" measureGroup="Table_1" count="0" hidden="1">
      <extLst>
        <ext xmlns:x15="http://schemas.microsoft.com/office/spreadsheetml/2010/11/main" uri="{B97F6D7D-B522-45F9-BDA1-12C45D357490}">
          <x15:cacheHierarchy aggregatedColumn="20"/>
        </ext>
      </extLst>
    </cacheHierarchy>
    <cacheHierarchy uniqueName="[Measures].[Count of Product Category]" caption="Count of Product Category" measure="1" displayFolder="" measureGroup="Table_1" count="0" hidden="1">
      <extLst>
        <ext xmlns:x15="http://schemas.microsoft.com/office/spreadsheetml/2010/11/main" uri="{B97F6D7D-B522-45F9-BDA1-12C45D357490}">
          <x15:cacheHierarchy aggregatedColumn="8"/>
        </ext>
      </extLst>
    </cacheHierarchy>
    <cacheHierarchy uniqueName="[Measures].[Sum of Discount]" caption="Sum of Discount" measure="1" displayFolder="" measureGroup="Table_1" count="0" hidden="1">
      <extLst>
        <ext xmlns:x15="http://schemas.microsoft.com/office/spreadsheetml/2010/11/main" uri="{B97F6D7D-B522-45F9-BDA1-12C45D357490}">
          <x15:cacheHierarchy aggregatedColumn="3"/>
        </ext>
      </extLst>
    </cacheHierarchy>
    <cacheHierarchy uniqueName="[Measures].[Sum of Shipping Cost]" caption="Sum of Shipping Cost" measure="1" displayFolder="" measureGroup="Table_1" count="0" hidden="1">
      <extLst>
        <ext xmlns:x15="http://schemas.microsoft.com/office/spreadsheetml/2010/11/main" uri="{B97F6D7D-B522-45F9-BDA1-12C45D357490}">
          <x15:cacheHierarchy aggregatedColumn="5"/>
        </ext>
      </extLst>
    </cacheHierarchy>
    <cacheHierarchy uniqueName="[Measures].[Sum of Dollar Discount]" caption="Sum of Dollar Discount" measure="1" displayFolder="" measureGroup="Table_1" count="0" hidden="1">
      <extLst>
        <ext xmlns:x15="http://schemas.microsoft.com/office/spreadsheetml/2010/11/main" uri="{B97F6D7D-B522-45F9-BDA1-12C45D357490}">
          <x15:cacheHierarchy aggregatedColumn="26"/>
        </ext>
      </extLst>
    </cacheHierarchy>
    <cacheHierarchy uniqueName="[Measures].[Sum of Cumulative cost]" caption="Sum of Cumulative cost" measure="1" displayFolder="" measureGroup="Table_1" count="0" hidden="1">
      <extLst>
        <ext xmlns:x15="http://schemas.microsoft.com/office/spreadsheetml/2010/11/main" uri="{B97F6D7D-B522-45F9-BDA1-12C45D357490}">
          <x15:cacheHierarchy aggregatedColumn="29"/>
        </ext>
      </extLst>
    </cacheHierarchy>
    <cacheHierarchy uniqueName="[Measures].[Sum of Postal Code]" caption="Sum of Postal Code" measure="1" displayFolder="" measureGroup="Table_1" count="0" hidden="1">
      <extLst>
        <ext xmlns:x15="http://schemas.microsoft.com/office/spreadsheetml/2010/11/main" uri="{B97F6D7D-B522-45F9-BDA1-12C45D357490}">
          <x15:cacheHierarchy aggregatedColumn="17"/>
        </ext>
      </extLst>
    </cacheHierarchy>
    <cacheHierarchy uniqueName="[Measures].[Sum of Order ID]" caption="Sum of Order ID" measure="1" displayFolder="" measureGroup="Table_1" count="0" hidden="1">
      <extLst>
        <ext xmlns:x15="http://schemas.microsoft.com/office/spreadsheetml/2010/11/main" uri="{B97F6D7D-B522-45F9-BDA1-12C45D357490}">
          <x15:cacheHierarchy aggregatedColumn="23"/>
        </ext>
      </extLst>
    </cacheHierarchy>
    <cacheHierarchy uniqueName="[Measures].[Distinct Count of Order ID]" caption="Distinct Count of Order ID" measure="1" displayFolder="" measureGroup="Table_1" count="0" hidden="1">
      <extLst>
        <ext xmlns:x15="http://schemas.microsoft.com/office/spreadsheetml/2010/11/main" uri="{B97F6D7D-B522-45F9-BDA1-12C45D357490}">
          <x15:cacheHierarchy aggregatedColumn="23"/>
        </ext>
      </extLst>
    </cacheHierarchy>
    <cacheHierarchy uniqueName="[Measures].[Count of Order Date]" caption="Count of Order Date" measure="1" displayFolder="" measureGroup="Table_1" count="0" hidden="1">
      <extLst>
        <ext xmlns:x15="http://schemas.microsoft.com/office/spreadsheetml/2010/11/main" uri="{B97F6D7D-B522-45F9-BDA1-12C45D357490}">
          <x15:cacheHierarchy aggregatedColumn="18"/>
        </ext>
      </extLst>
    </cacheHierarchy>
    <cacheHierarchy uniqueName="[Measures].[Max of Order Date]" caption="Max of Order Date" measure="1" displayFolder="" measureGroup="Table_1" count="0" hidden="1">
      <extLst>
        <ext xmlns:x15="http://schemas.microsoft.com/office/spreadsheetml/2010/11/main" uri="{B97F6D7D-B522-45F9-BDA1-12C45D357490}">
          <x15:cacheHierarchy aggregatedColumn="18"/>
        </ext>
      </extLst>
    </cacheHierarchy>
    <cacheHierarchy uniqueName="[Measures].[Count of Product Name]" caption="Count of Product Name" measure="1" displayFolder="" measureGroup="Table_1" count="0" hidden="1">
      <extLst>
        <ext xmlns:x15="http://schemas.microsoft.com/office/spreadsheetml/2010/11/main" uri="{B97F6D7D-B522-45F9-BDA1-12C45D357490}">
          <x15:cacheHierarchy aggregatedColumn="11"/>
        </ext>
      </extLst>
    </cacheHierarchy>
    <cacheHierarchy uniqueName="[Measures].[Distinct Count of Product Name]" caption="Distinct Count of Product Name" measure="1" displayFolder="" measureGroup="Table_1" count="0" hidden="1">
      <extLst>
        <ext xmlns:x15="http://schemas.microsoft.com/office/spreadsheetml/2010/11/main" uri="{B97F6D7D-B522-45F9-BDA1-12C45D357490}">
          <x15:cacheHierarchy aggregatedColumn="11"/>
        </ext>
      </extLst>
    </cacheHierarchy>
  </cacheHierarchies>
  <kpis count="0"/>
  <extLst>
    <ext xmlns:x14="http://schemas.microsoft.com/office/spreadsheetml/2009/9/main" uri="{725AE2AE-9491-48be-B2B4-4EB974FC3084}">
      <x14:pivotCacheDefinition slicerData="1" pivotCacheId="1056932175" supportSubqueryNonVisual="1" supportSubqueryCalcMem="1" supportAddCalcMems="1"/>
    </ext>
  </extLst>
</pivotCacheDefinition>
</file>

<file path=xl/pivotCache/pivotCacheDefinition2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aurabh Lakhanpal" refreshedDate="45217.481917592595" backgroundQuery="1" createdVersion="3" refreshedVersion="8" minRefreshableVersion="3" recordCount="0" supportSubquery="1" supportAdvancedDrill="1" xr:uid="{7B636FE8-7976-4778-B864-5FEE1F7E3F6D}">
  <cacheSource type="external" connectionId="1">
    <extLst>
      <ext xmlns:x14="http://schemas.microsoft.com/office/spreadsheetml/2009/9/main" uri="{F057638F-6D5F-4e77-A914-E7F072B9BCA8}">
        <x14:sourceConnection name="ThisWorkbookDataModel"/>
      </ext>
    </extLst>
  </cacheSource>
  <cacheFields count="0"/>
  <cacheHierarchies count="53">
    <cacheHierarchy uniqueName="[Table_1].[Customer ID]" caption="Customer ID" attribute="1" defaultMemberUniqueName="[Table_1].[Customer ID].[All]" allUniqueName="[Table_1].[Customer ID].[All]" dimensionUniqueName="[Table_1]" displayFolder="" count="0" memberValueDatatype="20" unbalanced="0"/>
    <cacheHierarchy uniqueName="[Table_1].[Customer Name]" caption="Customer Name" attribute="1" defaultMemberUniqueName="[Table_1].[Customer Name].[All]" allUniqueName="[Table_1].[Customer Name].[All]" dimensionUniqueName="[Table_1]" displayFolder="" count="0" memberValueDatatype="130" unbalanced="0"/>
    <cacheHierarchy uniqueName="[Table_1].[Order Priority]" caption="Order Priority" attribute="1" defaultMemberUniqueName="[Table_1].[Order Priority].[All]" allUniqueName="[Table_1].[Order Priority].[All]" dimensionUniqueName="[Table_1]" displayFolder="" count="0" memberValueDatatype="130" unbalanced="0"/>
    <cacheHierarchy uniqueName="[Table_1].[Discount]" caption="Discount" attribute="1" defaultMemberUniqueName="[Table_1].[Discount].[All]" allUniqueName="[Table_1].[Discount].[All]" dimensionUniqueName="[Table_1]" displayFolder="" count="0" memberValueDatatype="5" unbalanced="0"/>
    <cacheHierarchy uniqueName="[Table_1].[Unit Price]" caption="Unit Price" attribute="1" defaultMemberUniqueName="[Table_1].[Unit Price].[All]" allUniqueName="[Table_1].[Unit Price].[All]" dimensionUniqueName="[Table_1]" displayFolder="" count="0" memberValueDatatype="5" unbalanced="0"/>
    <cacheHierarchy uniqueName="[Table_1].[Shipping Cost]" caption="Shipping Cost" attribute="1" defaultMemberUniqueName="[Table_1].[Shipping Cost].[All]" allUniqueName="[Table_1].[Shipping Cost].[All]" dimensionUniqueName="[Table_1]" displayFolder="" count="0" memberValueDatatype="5" unbalanced="0"/>
    <cacheHierarchy uniqueName="[Table_1].[Ship Mode]" caption="Ship Mode" attribute="1" defaultMemberUniqueName="[Table_1].[Ship Mode].[All]" allUniqueName="[Table_1].[Ship Mode].[All]" dimensionUniqueName="[Table_1]" displayFolder="" count="0" memberValueDatatype="130" unbalanced="0"/>
    <cacheHierarchy uniqueName="[Table_1].[Customer Segment]" caption="Customer Segment" attribute="1" defaultMemberUniqueName="[Table_1].[Customer Segment].[All]" allUniqueName="[Table_1].[Customer Segment].[All]" dimensionUniqueName="[Table_1]" displayFolder="" count="2" memberValueDatatype="130" unbalanced="0"/>
    <cacheHierarchy uniqueName="[Table_1].[Product Category]" caption="Product Category" attribute="1" defaultMemberUniqueName="[Table_1].[Product Category].[All]" allUniqueName="[Table_1].[Product Category].[All]" dimensionUniqueName="[Table_1]" displayFolder="" count="0" memberValueDatatype="130" unbalanced="0"/>
    <cacheHierarchy uniqueName="[Table_1].[Product Sub-Category]" caption="Product Sub-Category" attribute="1" defaultMemberUniqueName="[Table_1].[Product Sub-Category].[All]" allUniqueName="[Table_1].[Product Sub-Category].[All]" dimensionUniqueName="[Table_1]" displayFolder="" count="0" memberValueDatatype="130" unbalanced="0"/>
    <cacheHierarchy uniqueName="[Table_1].[Product Container]" caption="Product Container" attribute="1" defaultMemberUniqueName="[Table_1].[Product Container].[All]" allUniqueName="[Table_1].[Product Container].[All]" dimensionUniqueName="[Table_1]" displayFolder="" count="0" memberValueDatatype="130" unbalanced="0"/>
    <cacheHierarchy uniqueName="[Table_1].[Product Name]" caption="Product Name" attribute="1" defaultMemberUniqueName="[Table_1].[Product Name].[All]" allUniqueName="[Table_1].[Product Name].[All]" dimensionUniqueName="[Table_1]" displayFolder="" count="0" memberValueDatatype="130" unbalanced="0"/>
    <cacheHierarchy uniqueName="[Table_1].[Product Base Margin]" caption="Product Base Margin" attribute="1" defaultMemberUniqueName="[Table_1].[Product Base Margin].[All]" allUniqueName="[Table_1].[Product Base Margin].[All]" dimensionUniqueName="[Table_1]" displayFolder="" count="0" memberValueDatatype="5" unbalanced="0"/>
    <cacheHierarchy uniqueName="[Table_1].[Country]" caption="Country" attribute="1" defaultMemberUniqueName="[Table_1].[Country].[All]" allUniqueName="[Table_1].[Country].[All]" dimensionUniqueName="[Table_1]" displayFolder="" count="0" memberValueDatatype="130" unbalanced="0"/>
    <cacheHierarchy uniqueName="[Table_1].[Region]" caption="Region" attribute="1" defaultMemberUniqueName="[Table_1].[Region].[All]" allUniqueName="[Table_1].[Region].[All]" dimensionUniqueName="[Table_1]" displayFolder="" count="0" memberValueDatatype="130" unbalanced="0"/>
    <cacheHierarchy uniqueName="[Table_1].[State or Province]" caption="State or Province" attribute="1" defaultMemberUniqueName="[Table_1].[State or Province].[All]" allUniqueName="[Table_1].[State or Province].[All]" dimensionUniqueName="[Table_1]" displayFolder="" count="0" memberValueDatatype="130" unbalanced="0"/>
    <cacheHierarchy uniqueName="[Table_1].[City]" caption="City" attribute="1" defaultMemberUniqueName="[Table_1].[City].[All]" allUniqueName="[Table_1].[City].[All]" dimensionUniqueName="[Table_1]" displayFolder="" count="0" memberValueDatatype="130" unbalanced="0"/>
    <cacheHierarchy uniqueName="[Table_1].[Postal Code]" caption="Postal Code" attribute="1" defaultMemberUniqueName="[Table_1].[Postal Code].[All]" allUniqueName="[Table_1].[Postal Code].[All]" dimensionUniqueName="[Table_1]" displayFolder="" count="0" memberValueDatatype="20" unbalanced="0"/>
    <cacheHierarchy uniqueName="[Table_1].[Order Date]" caption="Order Date" attribute="1" time="1" defaultMemberUniqueName="[Table_1].[Order Date].[All]" allUniqueName="[Table_1].[Order Date].[All]" dimensionUniqueName="[Table_1]" displayFolder="" count="0" memberValueDatatype="7" unbalanced="0"/>
    <cacheHierarchy uniqueName="[Table_1].[Ship Date]" caption="Ship Date" attribute="1" time="1" defaultMemberUniqueName="[Table_1].[Ship Date].[All]" allUniqueName="[Table_1].[Ship Date].[All]" dimensionUniqueName="[Table_1]" displayFolder="" count="0" memberValueDatatype="7" unbalanced="0"/>
    <cacheHierarchy uniqueName="[Table_1].[Profit]" caption="Profit" attribute="1" defaultMemberUniqueName="[Table_1].[Profit].[All]" allUniqueName="[Table_1].[Profit].[All]" dimensionUniqueName="[Table_1]" displayFolder="" count="0" memberValueDatatype="5" unbalanced="0"/>
    <cacheHierarchy uniqueName="[Table_1].[Quantity ordered new]" caption="Quantity ordered new" attribute="1" defaultMemberUniqueName="[Table_1].[Quantity ordered new].[All]" allUniqueName="[Table_1].[Quantity ordered new].[All]" dimensionUniqueName="[Table_1]" displayFolder="" count="0" memberValueDatatype="20" unbalanced="0"/>
    <cacheHierarchy uniqueName="[Table_1].[Sales]" caption="Sales" attribute="1" defaultMemberUniqueName="[Table_1].[Sales].[All]" allUniqueName="[Table_1].[Sales].[All]" dimensionUniqueName="[Table_1]" displayFolder="" count="0" memberValueDatatype="5" unbalanced="0"/>
    <cacheHierarchy uniqueName="[Table_1].[Order ID]" caption="Order ID" attribute="1" defaultMemberUniqueName="[Table_1].[Order ID].[All]" allUniqueName="[Table_1].[Order ID].[All]" dimensionUniqueName="[Table_1]" displayFolder="" count="0" memberValueDatatype="20" unbalanced="0"/>
    <cacheHierarchy uniqueName="[Table_1].[Total]" caption="Total" attribute="1" defaultMemberUniqueName="[Table_1].[Total].[All]" allUniqueName="[Table_1].[Total].[All]" dimensionUniqueName="[Table_1]" displayFolder="" count="0" memberValueDatatype="5" unbalanced="0"/>
    <cacheHierarchy uniqueName="[Table_1].[Manager]" caption="Manager" attribute="1" defaultMemberUniqueName="[Table_1].[Manager].[All]" allUniqueName="[Table_1].[Manager].[All]" dimensionUniqueName="[Table_1]" displayFolder="" count="2" memberValueDatatype="130" unbalanced="0"/>
    <cacheHierarchy uniqueName="[Table_1].[Dollar Discount]" caption="Dollar Discount" attribute="1" defaultMemberUniqueName="[Table_1].[Dollar Discount].[All]" allUniqueName="[Table_1].[Dollar Discount].[All]" dimensionUniqueName="[Table_1]" displayFolder="" count="0" memberValueDatatype="5" unbalanced="0"/>
    <cacheHierarchy uniqueName="[Table_1].[Gross Cost]" caption="Gross Cost" attribute="1" defaultMemberUniqueName="[Table_1].[Gross Cost].[All]" allUniqueName="[Table_1].[Gross Cost].[All]" dimensionUniqueName="[Table_1]" displayFolder="" count="0" memberValueDatatype="5" unbalanced="0"/>
    <cacheHierarchy uniqueName="[Table_1].[Gross Profit]" caption="Gross Profit" attribute="1" defaultMemberUniqueName="[Table_1].[Gross Profit].[All]" allUniqueName="[Table_1].[Gross Profit].[All]" dimensionUniqueName="[Table_1]" displayFolder="" count="0" memberValueDatatype="5" unbalanced="0"/>
    <cacheHierarchy uniqueName="[Table_1].[Cumulative cost]" caption="Cumulative cost" attribute="1" defaultMemberUniqueName="[Table_1].[Cumulative cost].[All]" allUniqueName="[Table_1].[Cumulative cost].[All]" dimensionUniqueName="[Table_1]" displayFolder="" count="0" memberValueDatatype="5" unbalanced="0"/>
    <cacheHierarchy uniqueName="[Table_1].[Order Date (Month)]" caption="Order Date (Month)" attribute="1" defaultMemberUniqueName="[Table_1].[Order Date (Month)].[All]" allUniqueName="[Table_1].[Order Date (Month)].[All]" dimensionUniqueName="[Table_1]" displayFolder="" count="2" memberValueDatatype="130" unbalanced="0"/>
    <cacheHierarchy uniqueName="[Table_1].[Order Date (Month Index)]" caption="Order Date (Month Index)" attribute="1" defaultMemberUniqueName="[Table_1].[Order Date (Month Index)].[All]" allUniqueName="[Table_1].[Order Date (Month Index)].[All]" dimensionUniqueName="[Table_1]" displayFolder="" count="0" memberValueDatatype="20" unbalanced="0" hidden="1"/>
    <cacheHierarchy uniqueName="[Measures].[Σ Discount]" caption="Σ Discount" measure="1" displayFolder="" measureGroup="Table_1" count="0"/>
    <cacheHierarchy uniqueName="[Measures].[Σ Profit]" caption="Σ Profit" measure="1" displayFolder="" measureGroup="Table_1" count="0"/>
    <cacheHierarchy uniqueName="[Measures].[Σ Shipping]" caption="Σ Shipping" measure="1" displayFolder="" measureGroup="Table_1" count="0"/>
    <cacheHierarchy uniqueName="[Measures].[Σ Costs]" caption="Σ Costs" measure="1" displayFolder="" measureGroup="Table_1" count="0"/>
    <cacheHierarchy uniqueName="[Measures].[__XL_Count Table_1]" caption="__XL_Count Table_1" measure="1" displayFolder="" measureGroup="Table_1" count="0" hidden="1"/>
    <cacheHierarchy uniqueName="[Measures].[__No measures defined]" caption="__No measures defined" measure="1" displayFolder="" count="0" hidden="1"/>
    <cacheHierarchy uniqueName="[Measures].[Sum of Sales]" caption="Sum of Sales" measure="1" displayFolder="" measureGroup="Table_1" count="0" hidden="1">
      <extLst>
        <ext xmlns:x15="http://schemas.microsoft.com/office/spreadsheetml/2010/11/main" uri="{B97F6D7D-B522-45F9-BDA1-12C45D357490}">
          <x15:cacheHierarchy aggregatedColumn="22"/>
        </ext>
      </extLst>
    </cacheHierarchy>
    <cacheHierarchy uniqueName="[Measures].[Sum of Quantity ordered new]" caption="Sum of Quantity ordered new" measure="1" displayFolder="" measureGroup="Table_1" count="0" hidden="1">
      <extLst>
        <ext xmlns:x15="http://schemas.microsoft.com/office/spreadsheetml/2010/11/main" uri="{B97F6D7D-B522-45F9-BDA1-12C45D357490}">
          <x15:cacheHierarchy aggregatedColumn="21"/>
        </ext>
      </extLst>
    </cacheHierarchy>
    <cacheHierarchy uniqueName="[Measures].[Sum of Profit]" caption="Sum of Profit" measure="1" displayFolder="" measureGroup="Table_1" count="0" hidden="1">
      <extLst>
        <ext xmlns:x15="http://schemas.microsoft.com/office/spreadsheetml/2010/11/main" uri="{B97F6D7D-B522-45F9-BDA1-12C45D357490}">
          <x15:cacheHierarchy aggregatedColumn="20"/>
        </ext>
      </extLst>
    </cacheHierarchy>
    <cacheHierarchy uniqueName="[Measures].[Count of Product Category]" caption="Count of Product Category" measure="1" displayFolder="" measureGroup="Table_1" count="0" hidden="1">
      <extLst>
        <ext xmlns:x15="http://schemas.microsoft.com/office/spreadsheetml/2010/11/main" uri="{B97F6D7D-B522-45F9-BDA1-12C45D357490}">
          <x15:cacheHierarchy aggregatedColumn="8"/>
        </ext>
      </extLst>
    </cacheHierarchy>
    <cacheHierarchy uniqueName="[Measures].[Sum of Discount]" caption="Sum of Discount" measure="1" displayFolder="" measureGroup="Table_1" count="0" hidden="1">
      <extLst>
        <ext xmlns:x15="http://schemas.microsoft.com/office/spreadsheetml/2010/11/main" uri="{B97F6D7D-B522-45F9-BDA1-12C45D357490}">
          <x15:cacheHierarchy aggregatedColumn="3"/>
        </ext>
      </extLst>
    </cacheHierarchy>
    <cacheHierarchy uniqueName="[Measures].[Sum of Shipping Cost]" caption="Sum of Shipping Cost" measure="1" displayFolder="" measureGroup="Table_1" count="0" hidden="1">
      <extLst>
        <ext xmlns:x15="http://schemas.microsoft.com/office/spreadsheetml/2010/11/main" uri="{B97F6D7D-B522-45F9-BDA1-12C45D357490}">
          <x15:cacheHierarchy aggregatedColumn="5"/>
        </ext>
      </extLst>
    </cacheHierarchy>
    <cacheHierarchy uniqueName="[Measures].[Sum of Dollar Discount]" caption="Sum of Dollar Discount" measure="1" displayFolder="" measureGroup="Table_1" count="0" hidden="1">
      <extLst>
        <ext xmlns:x15="http://schemas.microsoft.com/office/spreadsheetml/2010/11/main" uri="{B97F6D7D-B522-45F9-BDA1-12C45D357490}">
          <x15:cacheHierarchy aggregatedColumn="26"/>
        </ext>
      </extLst>
    </cacheHierarchy>
    <cacheHierarchy uniqueName="[Measures].[Sum of Cumulative cost]" caption="Sum of Cumulative cost" measure="1" displayFolder="" measureGroup="Table_1" count="0" hidden="1">
      <extLst>
        <ext xmlns:x15="http://schemas.microsoft.com/office/spreadsheetml/2010/11/main" uri="{B97F6D7D-B522-45F9-BDA1-12C45D357490}">
          <x15:cacheHierarchy aggregatedColumn="29"/>
        </ext>
      </extLst>
    </cacheHierarchy>
    <cacheHierarchy uniqueName="[Measures].[Sum of Postal Code]" caption="Sum of Postal Code" measure="1" displayFolder="" measureGroup="Table_1" count="0" hidden="1">
      <extLst>
        <ext xmlns:x15="http://schemas.microsoft.com/office/spreadsheetml/2010/11/main" uri="{B97F6D7D-B522-45F9-BDA1-12C45D357490}">
          <x15:cacheHierarchy aggregatedColumn="17"/>
        </ext>
      </extLst>
    </cacheHierarchy>
    <cacheHierarchy uniqueName="[Measures].[Sum of Order ID]" caption="Sum of Order ID" measure="1" displayFolder="" measureGroup="Table_1" count="0" hidden="1">
      <extLst>
        <ext xmlns:x15="http://schemas.microsoft.com/office/spreadsheetml/2010/11/main" uri="{B97F6D7D-B522-45F9-BDA1-12C45D357490}">
          <x15:cacheHierarchy aggregatedColumn="23"/>
        </ext>
      </extLst>
    </cacheHierarchy>
    <cacheHierarchy uniqueName="[Measures].[Distinct Count of Order ID]" caption="Distinct Count of Order ID" measure="1" displayFolder="" measureGroup="Table_1" count="0" hidden="1">
      <extLst>
        <ext xmlns:x15="http://schemas.microsoft.com/office/spreadsheetml/2010/11/main" uri="{B97F6D7D-B522-45F9-BDA1-12C45D357490}">
          <x15:cacheHierarchy aggregatedColumn="23"/>
        </ext>
      </extLst>
    </cacheHierarchy>
    <cacheHierarchy uniqueName="[Measures].[Count of Order Date]" caption="Count of Order Date" measure="1" displayFolder="" measureGroup="Table_1" count="0" hidden="1">
      <extLst>
        <ext xmlns:x15="http://schemas.microsoft.com/office/spreadsheetml/2010/11/main" uri="{B97F6D7D-B522-45F9-BDA1-12C45D357490}">
          <x15:cacheHierarchy aggregatedColumn="18"/>
        </ext>
      </extLst>
    </cacheHierarchy>
    <cacheHierarchy uniqueName="[Measures].[Max of Order Date]" caption="Max of Order Date" measure="1" displayFolder="" measureGroup="Table_1" count="0" hidden="1">
      <extLst>
        <ext xmlns:x15="http://schemas.microsoft.com/office/spreadsheetml/2010/11/main" uri="{B97F6D7D-B522-45F9-BDA1-12C45D357490}">
          <x15:cacheHierarchy aggregatedColumn="18"/>
        </ext>
      </extLst>
    </cacheHierarchy>
    <cacheHierarchy uniqueName="[Measures].[Count of Product Name]" caption="Count of Product Name" measure="1" displayFolder="" measureGroup="Table_1" count="0" hidden="1">
      <extLst>
        <ext xmlns:x15="http://schemas.microsoft.com/office/spreadsheetml/2010/11/main" uri="{B97F6D7D-B522-45F9-BDA1-12C45D357490}">
          <x15:cacheHierarchy aggregatedColumn="11"/>
        </ext>
      </extLst>
    </cacheHierarchy>
    <cacheHierarchy uniqueName="[Measures].[Distinct Count of Product Name]" caption="Distinct Count of Product Name" measure="1" displayFolder="" measureGroup="Table_1" count="0" hidden="1">
      <extLst>
        <ext xmlns:x15="http://schemas.microsoft.com/office/spreadsheetml/2010/11/main" uri="{B97F6D7D-B522-45F9-BDA1-12C45D357490}">
          <x15:cacheHierarchy aggregatedColumn="11"/>
        </ext>
      </extLst>
    </cacheHierarchy>
  </cacheHierarchies>
  <kpis count="0"/>
  <extLst>
    <ext xmlns:x14="http://schemas.microsoft.com/office/spreadsheetml/2009/9/main" uri="{725AE2AE-9491-48be-B2B4-4EB974FC3084}">
      <x14:pivotCacheDefinition slicerData="1" pivotCacheId="1028005513"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4.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5.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3.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9.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8.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20.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16.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21.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17.xml"/></Relationships>
</file>

<file path=xl/pivotTables/_rels/pivotTable21.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D2BD23C3-A10E-4D8E-8E6E-A329C9120CD7}" name="Distribution_TopProfitProducts" cacheId="10" applyNumberFormats="0" applyBorderFormats="0" applyFontFormats="0" applyPatternFormats="0" applyAlignmentFormats="0" applyWidthHeightFormats="1" dataCaption="Values" updatedVersion="8" minRefreshableVersion="3" useAutoFormatting="1" subtotalHiddenItems="1" rowGrandTotals="0" itemPrintTitles="1" createdVersion="8" indent="0" outline="1" outlineData="1" multipleFieldFilters="0" rowHeaderCaption="Product Name">
  <location ref="CJ11:CL14" firstHeaderRow="0" firstDataRow="1" firstDataCol="1"/>
  <pivotFields count="4">
    <pivotField axis="axisRow" allDrilled="1" subtotalTop="0" showAll="0" measureFilter="1" dataSourceSort="1" defaultSubtotal="0" defaultAttributeDrillState="1">
      <items count="3">
        <item x="0"/>
        <item x="1"/>
        <item x="2"/>
      </items>
    </pivotField>
    <pivotField dataField="1" subtotalTop="0" showAll="0" defaultSubtotal="0"/>
    <pivotField dataField="1" subtotalTop="0" showAll="0" defaultSubtotal="0"/>
    <pivotField allDrilled="1" subtotalTop="0" showAll="0" dataSourceSort="1" defaultSubtotal="0" defaultAttributeDrillState="1"/>
  </pivotFields>
  <rowFields count="1">
    <field x="0"/>
  </rowFields>
  <rowItems count="3">
    <i>
      <x/>
    </i>
    <i>
      <x v="1"/>
    </i>
    <i>
      <x v="2"/>
    </i>
  </rowItems>
  <colFields count="1">
    <field x="-2"/>
  </colFields>
  <colItems count="2">
    <i>
      <x/>
    </i>
    <i i="1">
      <x v="1"/>
    </i>
  </colItems>
  <dataFields count="2">
    <dataField name="Profit" fld="2" baseField="0" baseItem="0" numFmtId="168"/>
    <dataField name="Quantity" fld="1" baseField="0" baseItem="0"/>
  </dataFields>
  <formats count="17">
    <format dxfId="79">
      <pivotArea outline="0" collapsedLevelsAreSubtotals="1" fieldPosition="0">
        <references count="1">
          <reference field="4294967294" count="1" selected="0">
            <x v="0"/>
          </reference>
        </references>
      </pivotArea>
    </format>
    <format dxfId="78">
      <pivotArea dataOnly="0" labelOnly="1" outline="0" fieldPosition="0">
        <references count="1">
          <reference field="4294967294" count="1">
            <x v="0"/>
          </reference>
        </references>
      </pivotArea>
    </format>
    <format dxfId="77">
      <pivotArea type="all" dataOnly="0" outline="0" fieldPosition="0"/>
    </format>
    <format dxfId="76">
      <pivotArea outline="0" collapsedLevelsAreSubtotals="1" fieldPosition="0"/>
    </format>
    <format dxfId="75">
      <pivotArea field="0" type="button" dataOnly="0" labelOnly="1" outline="0" axis="axisRow" fieldPosition="0"/>
    </format>
    <format dxfId="74">
      <pivotArea dataOnly="0" labelOnly="1" fieldPosition="0">
        <references count="1">
          <reference field="0" count="0"/>
        </references>
      </pivotArea>
    </format>
    <format dxfId="73">
      <pivotArea dataOnly="0" labelOnly="1" outline="0" fieldPosition="0">
        <references count="1">
          <reference field="4294967294" count="2">
            <x v="0"/>
            <x v="1"/>
          </reference>
        </references>
      </pivotArea>
    </format>
    <format dxfId="72">
      <pivotArea type="all" dataOnly="0" outline="0" fieldPosition="0"/>
    </format>
    <format dxfId="71">
      <pivotArea outline="0" collapsedLevelsAreSubtotals="1" fieldPosition="0"/>
    </format>
    <format dxfId="70">
      <pivotArea field="0" type="button" dataOnly="0" labelOnly="1" outline="0" axis="axisRow" fieldPosition="0"/>
    </format>
    <format dxfId="69">
      <pivotArea dataOnly="0" labelOnly="1" fieldPosition="0">
        <references count="1">
          <reference field="0" count="0"/>
        </references>
      </pivotArea>
    </format>
    <format dxfId="68">
      <pivotArea dataOnly="0" labelOnly="1" outline="0" fieldPosition="0">
        <references count="1">
          <reference field="4294967294" count="2">
            <x v="0"/>
            <x v="1"/>
          </reference>
        </references>
      </pivotArea>
    </format>
    <format dxfId="67">
      <pivotArea type="all" dataOnly="0" outline="0" fieldPosition="0"/>
    </format>
    <format dxfId="66">
      <pivotArea outline="0" collapsedLevelsAreSubtotals="1" fieldPosition="0"/>
    </format>
    <format dxfId="65">
      <pivotArea field="0" type="button" dataOnly="0" labelOnly="1" outline="0" axis="axisRow" fieldPosition="0"/>
    </format>
    <format dxfId="64">
      <pivotArea dataOnly="0" labelOnly="1" fieldPosition="0">
        <references count="1">
          <reference field="0" count="0"/>
        </references>
      </pivotArea>
    </format>
    <format dxfId="63">
      <pivotArea dataOnly="0" labelOnly="1" outline="0" fieldPosition="0">
        <references count="1">
          <reference field="4294967294" count="2">
            <x v="0"/>
            <x v="1"/>
          </reference>
        </references>
      </pivotArea>
    </format>
  </formats>
  <pivotHierarchies count="53">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caption="Quantity"/>
    <pivotHierarchy dragToData="1" caption="Profit"/>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1">
    <filter fld="0" type="count" id="1" iMeasureHier="38">
      <autoFilter ref="A1">
        <filterColumn colId="0">
          <top10 val="3" filterVal="3"/>
        </filterColumn>
      </autoFilter>
    </filter>
  </filters>
  <rowHierarchiesUsage count="1">
    <rowHierarchyUsage hierarchyUsage="11"/>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able_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9F53F42-C5BE-4725-88C5-B67AC9C3BAC6}" name="Didtribution_Cust.Segment" cacheId="4" applyNumberFormats="0" applyBorderFormats="0" applyFontFormats="0" applyPatternFormats="0" applyAlignmentFormats="0" applyWidthHeightFormats="1" dataCaption="Values" updatedVersion="8" minRefreshableVersion="3" useAutoFormatting="1" subtotalHiddenItems="1" rowGrandTotals="0" itemPrintTitles="1" createdVersion="8" indent="0" compact="0" compactData="0" gridDropZones="1" multipleFieldFilters="0">
  <location ref="BT4:BY25" firstHeaderRow="1" firstDataRow="2" firstDataCol="2"/>
  <pivotFields count="7">
    <pivotField name="Cust. Segment" axis="axisRow" compact="0" allDrilled="1" outline="0" subtotalTop="0" showAll="0" defaultSubtotal="0" defaultAttributeDrillState="1">
      <items count="4">
        <item x="2"/>
        <item x="0"/>
        <item x="1"/>
        <item x="3"/>
      </items>
    </pivotField>
    <pivotField compact="0" allDrilled="1" outline="0" subtotalTop="0" showAll="0" sortType="ascending" defaultSubtotal="0" defaultAttributeDrillState="1">
      <items count="17">
        <item x="0"/>
        <item x="1"/>
        <item x="2"/>
        <item x="3"/>
        <item x="4"/>
        <item x="5"/>
        <item x="6"/>
        <item x="7"/>
        <item x="8"/>
        <item x="9"/>
        <item x="10"/>
        <item x="11"/>
        <item x="12"/>
        <item x="13"/>
        <item x="14"/>
        <item x="15"/>
        <item x="16"/>
      </items>
      <autoSortScope>
        <pivotArea dataOnly="0" outline="0" fieldPosition="0">
          <references count="1">
            <reference field="4294967294" count="1" selected="0">
              <x v="0"/>
            </reference>
          </references>
        </pivotArea>
      </autoSortScope>
    </pivotField>
    <pivotField dataField="1" compact="0" outline="0" subtotalTop="0" showAll="0" defaultSubtotal="0"/>
    <pivotField dataField="1" compact="0" outline="0" subtotalTop="0" showAll="0" defaultSubtotal="0"/>
    <pivotField axis="axisRow" compact="0" allDrilled="1" outline="0" subtotalTop="0" showAll="0" nonAutoSortDefault="1" defaultSubtotal="0" defaultAttributeDrillState="1">
      <items count="5">
        <item n="Low" x="2"/>
        <item n="Medium" x="3"/>
        <item n="High" x="1"/>
        <item n="Critical" x="0"/>
        <item x="4"/>
      </items>
    </pivotField>
    <pivotField dataField="1" compact="0" outline="0" subtotalTop="0" showAll="0" defaultSubtotal="0"/>
    <pivotField dataField="1" compact="0" outline="0" subtotalTop="0" showAll="0" defaultSubtotal="0"/>
  </pivotFields>
  <rowFields count="2">
    <field x="4"/>
    <field x="0"/>
  </rowFields>
  <rowItems count="20">
    <i>
      <x/>
      <x/>
    </i>
    <i r="1">
      <x v="1"/>
    </i>
    <i r="1">
      <x v="2"/>
    </i>
    <i r="1">
      <x v="3"/>
    </i>
    <i>
      <x v="1"/>
      <x/>
    </i>
    <i r="1">
      <x v="1"/>
    </i>
    <i r="1">
      <x v="2"/>
    </i>
    <i r="1">
      <x v="3"/>
    </i>
    <i>
      <x v="2"/>
      <x/>
    </i>
    <i r="1">
      <x v="1"/>
    </i>
    <i r="1">
      <x v="2"/>
    </i>
    <i r="1">
      <x v="3"/>
    </i>
    <i>
      <x v="3"/>
      <x/>
    </i>
    <i r="1">
      <x v="1"/>
    </i>
    <i r="1">
      <x v="2"/>
    </i>
    <i r="1">
      <x v="3"/>
    </i>
    <i>
      <x v="4"/>
      <x/>
    </i>
    <i r="1">
      <x v="1"/>
    </i>
    <i r="1">
      <x v="2"/>
    </i>
    <i r="1">
      <x v="3"/>
    </i>
  </rowItems>
  <colFields count="1">
    <field x="-2"/>
  </colFields>
  <colItems count="4">
    <i>
      <x/>
    </i>
    <i i="1">
      <x v="1"/>
    </i>
    <i i="2">
      <x v="2"/>
    </i>
    <i i="3">
      <x v="3"/>
    </i>
  </colItems>
  <dataFields count="4">
    <dataField name="Sales" fld="2" baseField="0" baseItem="0" numFmtId="165"/>
    <dataField name="Profit" fld="3" baseField="0" baseItem="0" numFmtId="165"/>
    <dataField name="# of Orders" fld="5" subtotal="count" baseField="4" baseItem="0">
      <extLst>
        <ext xmlns:x15="http://schemas.microsoft.com/office/spreadsheetml/2010/11/main" uri="{FABC7310-3BB5-11E1-824E-6D434824019B}">
          <x15:dataField isCountDistinct="1"/>
        </ext>
      </extLst>
    </dataField>
    <dataField name="Last Orderd" fld="6" subtotal="max" baseField="0" baseItem="0" numFmtId="14"/>
  </dataFields>
  <formats count="69">
    <format dxfId="148">
      <pivotArea outline="0" collapsedLevelsAreSubtotals="1" fieldPosition="0"/>
    </format>
    <format dxfId="147">
      <pivotArea field="-2" type="button" dataOnly="0" labelOnly="1" outline="0" axis="axisCol" fieldPosition="0"/>
    </format>
    <format dxfId="146">
      <pivotArea type="topRight" dataOnly="0" labelOnly="1" outline="0" fieldPosition="0"/>
    </format>
    <format dxfId="145">
      <pivotArea dataOnly="0" labelOnly="1" outline="0" fieldPosition="0">
        <references count="1">
          <reference field="4294967294" count="2">
            <x v="0"/>
            <x v="1"/>
          </reference>
        </references>
      </pivotArea>
    </format>
    <format dxfId="144">
      <pivotArea dataOnly="0" labelOnly="1" outline="0" fieldPosition="0">
        <references count="1">
          <reference field="4294967294" count="1">
            <x v="0"/>
          </reference>
        </references>
      </pivotArea>
    </format>
    <format dxfId="143">
      <pivotArea dataOnly="0" labelOnly="1" outline="0" fieldPosition="0">
        <references count="1">
          <reference field="4294967294" count="1">
            <x v="1"/>
          </reference>
        </references>
      </pivotArea>
    </format>
    <format dxfId="142">
      <pivotArea outline="0" fieldPosition="0">
        <references count="1">
          <reference field="4294967294" count="1" selected="0">
            <x v="0"/>
          </reference>
        </references>
      </pivotArea>
    </format>
    <format dxfId="141">
      <pivotArea outline="0" fieldPosition="0">
        <references count="1">
          <reference field="4294967294" count="1" selected="0">
            <x v="1"/>
          </reference>
        </references>
      </pivotArea>
    </format>
    <format dxfId="140">
      <pivotArea outline="0" fieldPosition="0">
        <references count="1">
          <reference field="4294967294" count="1" selected="0">
            <x v="3"/>
          </reference>
        </references>
      </pivotArea>
    </format>
    <format dxfId="139">
      <pivotArea type="all" dataOnly="0" outline="0" fieldPosition="0"/>
    </format>
    <format dxfId="138">
      <pivotArea outline="0" collapsedLevelsAreSubtotals="1" fieldPosition="0"/>
    </format>
    <format dxfId="137">
      <pivotArea type="origin" dataOnly="0" labelOnly="1" outline="0" fieldPosition="0"/>
    </format>
    <format dxfId="136">
      <pivotArea field="-2" type="button" dataOnly="0" labelOnly="1" outline="0" axis="axisCol" fieldPosition="0"/>
    </format>
    <format dxfId="135">
      <pivotArea type="topRight" dataOnly="0" labelOnly="1" outline="0" fieldPosition="0"/>
    </format>
    <format dxfId="134">
      <pivotArea field="0" type="button" dataOnly="0" labelOnly="1" outline="0" axis="axisRow" fieldPosition="1"/>
    </format>
    <format dxfId="133">
      <pivotArea field="4" type="button" dataOnly="0" labelOnly="1" outline="0" axis="axisRow" fieldPosition="0"/>
    </format>
    <format dxfId="132">
      <pivotArea dataOnly="0" labelOnly="1" outline="0" fieldPosition="0">
        <references count="1">
          <reference field="0" count="0"/>
        </references>
      </pivotArea>
    </format>
    <format dxfId="131">
      <pivotArea dataOnly="0" labelOnly="1" outline="0" fieldPosition="0">
        <references count="1">
          <reference field="4294967294" count="4">
            <x v="0"/>
            <x v="1"/>
            <x v="2"/>
            <x v="3"/>
          </reference>
        </references>
      </pivotArea>
    </format>
    <format dxfId="130">
      <pivotArea type="all" dataOnly="0" outline="0" fieldPosition="0"/>
    </format>
    <format dxfId="129">
      <pivotArea outline="0" collapsedLevelsAreSubtotals="1" fieldPosition="0"/>
    </format>
    <format dxfId="128">
      <pivotArea type="origin" dataOnly="0" labelOnly="1" outline="0" fieldPosition="0"/>
    </format>
    <format dxfId="127">
      <pivotArea field="-2" type="button" dataOnly="0" labelOnly="1" outline="0" axis="axisCol" fieldPosition="0"/>
    </format>
    <format dxfId="126">
      <pivotArea type="topRight" dataOnly="0" labelOnly="1" outline="0" fieldPosition="0"/>
    </format>
    <format dxfId="125">
      <pivotArea field="0" type="button" dataOnly="0" labelOnly="1" outline="0" axis="axisRow" fieldPosition="1"/>
    </format>
    <format dxfId="124">
      <pivotArea field="4" type="button" dataOnly="0" labelOnly="1" outline="0" axis="axisRow" fieldPosition="0"/>
    </format>
    <format dxfId="123">
      <pivotArea dataOnly="0" labelOnly="1" outline="0" fieldPosition="0">
        <references count="1">
          <reference field="0" count="0"/>
        </references>
      </pivotArea>
    </format>
    <format dxfId="122">
      <pivotArea dataOnly="0" labelOnly="1" outline="0" fieldPosition="0">
        <references count="1">
          <reference field="4294967294" count="4">
            <x v="0"/>
            <x v="1"/>
            <x v="2"/>
            <x v="3"/>
          </reference>
        </references>
      </pivotArea>
    </format>
    <format dxfId="121">
      <pivotArea type="all" dataOnly="0" outline="0" fieldPosition="0"/>
    </format>
    <format dxfId="120">
      <pivotArea outline="0" collapsedLevelsAreSubtotals="1" fieldPosition="0"/>
    </format>
    <format dxfId="119">
      <pivotArea type="origin" dataOnly="0" labelOnly="1" outline="0" fieldPosition="0"/>
    </format>
    <format dxfId="118">
      <pivotArea field="-2" type="button" dataOnly="0" labelOnly="1" outline="0" axis="axisCol" fieldPosition="0"/>
    </format>
    <format dxfId="117">
      <pivotArea type="topRight" dataOnly="0" labelOnly="1" outline="0" fieldPosition="0"/>
    </format>
    <format dxfId="116">
      <pivotArea field="4" type="button" dataOnly="0" labelOnly="1" outline="0" axis="axisRow" fieldPosition="0"/>
    </format>
    <format dxfId="115">
      <pivotArea field="0" type="button" dataOnly="0" labelOnly="1" outline="0" axis="axisRow" fieldPosition="1"/>
    </format>
    <format dxfId="114">
      <pivotArea dataOnly="0" labelOnly="1" outline="0" fieldPosition="0">
        <references count="1">
          <reference field="4" count="0"/>
        </references>
      </pivotArea>
    </format>
    <format dxfId="113">
      <pivotArea dataOnly="0" labelOnly="1" outline="0" fieldPosition="0">
        <references count="2">
          <reference field="0" count="0"/>
          <reference field="4" count="1" selected="0">
            <x v="0"/>
          </reference>
        </references>
      </pivotArea>
    </format>
    <format dxfId="112">
      <pivotArea dataOnly="0" labelOnly="1" outline="0" fieldPosition="0">
        <references count="2">
          <reference field="0" count="0"/>
          <reference field="4" count="1" selected="0">
            <x v="1"/>
          </reference>
        </references>
      </pivotArea>
    </format>
    <format dxfId="111">
      <pivotArea dataOnly="0" labelOnly="1" outline="0" fieldPosition="0">
        <references count="2">
          <reference field="0" count="0"/>
          <reference field="4" count="1" selected="0">
            <x v="2"/>
          </reference>
        </references>
      </pivotArea>
    </format>
    <format dxfId="110">
      <pivotArea dataOnly="0" labelOnly="1" outline="0" fieldPosition="0">
        <references count="2">
          <reference field="0" count="0"/>
          <reference field="4" count="1" selected="0">
            <x v="3"/>
          </reference>
        </references>
      </pivotArea>
    </format>
    <format dxfId="109">
      <pivotArea dataOnly="0" labelOnly="1" outline="0" fieldPosition="0">
        <references count="2">
          <reference field="0" count="0"/>
          <reference field="4" count="1" selected="0">
            <x v="4"/>
          </reference>
        </references>
      </pivotArea>
    </format>
    <format dxfId="108">
      <pivotArea dataOnly="0" labelOnly="1" outline="0" fieldPosition="0">
        <references count="1">
          <reference field="4294967294" count="4">
            <x v="0"/>
            <x v="1"/>
            <x v="2"/>
            <x v="3"/>
          </reference>
        </references>
      </pivotArea>
    </format>
    <format dxfId="107">
      <pivotArea type="all" dataOnly="0" outline="0" fieldPosition="0"/>
    </format>
    <format dxfId="106">
      <pivotArea outline="0" collapsedLevelsAreSubtotals="1" fieldPosition="0"/>
    </format>
    <format dxfId="105">
      <pivotArea type="origin" dataOnly="0" labelOnly="1" outline="0" fieldPosition="0"/>
    </format>
    <format dxfId="104">
      <pivotArea field="-2" type="button" dataOnly="0" labelOnly="1" outline="0" axis="axisCol" fieldPosition="0"/>
    </format>
    <format dxfId="103">
      <pivotArea type="topRight" dataOnly="0" labelOnly="1" outline="0" fieldPosition="0"/>
    </format>
    <format dxfId="102">
      <pivotArea field="4" type="button" dataOnly="0" labelOnly="1" outline="0" axis="axisRow" fieldPosition="0"/>
    </format>
    <format dxfId="101">
      <pivotArea field="0" type="button" dataOnly="0" labelOnly="1" outline="0" axis="axisRow" fieldPosition="1"/>
    </format>
    <format dxfId="100">
      <pivotArea dataOnly="0" labelOnly="1" outline="0" fieldPosition="0">
        <references count="1">
          <reference field="4" count="0"/>
        </references>
      </pivotArea>
    </format>
    <format dxfId="99">
      <pivotArea dataOnly="0" labelOnly="1" outline="0" fieldPosition="0">
        <references count="2">
          <reference field="0" count="0"/>
          <reference field="4" count="1" selected="0">
            <x v="0"/>
          </reference>
        </references>
      </pivotArea>
    </format>
    <format dxfId="98">
      <pivotArea dataOnly="0" labelOnly="1" outline="0" fieldPosition="0">
        <references count="2">
          <reference field="0" count="0"/>
          <reference field="4" count="1" selected="0">
            <x v="1"/>
          </reference>
        </references>
      </pivotArea>
    </format>
    <format dxfId="97">
      <pivotArea dataOnly="0" labelOnly="1" outline="0" fieldPosition="0">
        <references count="2">
          <reference field="0" count="0"/>
          <reference field="4" count="1" selected="0">
            <x v="2"/>
          </reference>
        </references>
      </pivotArea>
    </format>
    <format dxfId="96">
      <pivotArea dataOnly="0" labelOnly="1" outline="0" fieldPosition="0">
        <references count="2">
          <reference field="0" count="0"/>
          <reference field="4" count="1" selected="0">
            <x v="3"/>
          </reference>
        </references>
      </pivotArea>
    </format>
    <format dxfId="95">
      <pivotArea dataOnly="0" labelOnly="1" outline="0" fieldPosition="0">
        <references count="2">
          <reference field="0" count="0"/>
          <reference field="4" count="1" selected="0">
            <x v="4"/>
          </reference>
        </references>
      </pivotArea>
    </format>
    <format dxfId="94">
      <pivotArea dataOnly="0" labelOnly="1" outline="0" fieldPosition="0">
        <references count="1">
          <reference field="4294967294" count="4">
            <x v="0"/>
            <x v="1"/>
            <x v="2"/>
            <x v="3"/>
          </reference>
        </references>
      </pivotArea>
    </format>
    <format dxfId="93">
      <pivotArea type="all" dataOnly="0" outline="0" fieldPosition="0"/>
    </format>
    <format dxfId="92">
      <pivotArea outline="0" collapsedLevelsAreSubtotals="1" fieldPosition="0"/>
    </format>
    <format dxfId="91">
      <pivotArea type="origin" dataOnly="0" labelOnly="1" outline="0" fieldPosition="0"/>
    </format>
    <format dxfId="90">
      <pivotArea field="-2" type="button" dataOnly="0" labelOnly="1" outline="0" axis="axisCol" fieldPosition="0"/>
    </format>
    <format dxfId="89">
      <pivotArea type="topRight" dataOnly="0" labelOnly="1" outline="0" fieldPosition="0"/>
    </format>
    <format dxfId="88">
      <pivotArea field="4" type="button" dataOnly="0" labelOnly="1" outline="0" axis="axisRow" fieldPosition="0"/>
    </format>
    <format dxfId="87">
      <pivotArea field="0" type="button" dataOnly="0" labelOnly="1" outline="0" axis="axisRow" fieldPosition="1"/>
    </format>
    <format dxfId="86">
      <pivotArea dataOnly="0" labelOnly="1" outline="0" fieldPosition="0">
        <references count="1">
          <reference field="4" count="0"/>
        </references>
      </pivotArea>
    </format>
    <format dxfId="85">
      <pivotArea dataOnly="0" labelOnly="1" outline="0" fieldPosition="0">
        <references count="2">
          <reference field="0" count="0"/>
          <reference field="4" count="1" selected="0">
            <x v="0"/>
          </reference>
        </references>
      </pivotArea>
    </format>
    <format dxfId="84">
      <pivotArea dataOnly="0" labelOnly="1" outline="0" fieldPosition="0">
        <references count="2">
          <reference field="0" count="0"/>
          <reference field="4" count="1" selected="0">
            <x v="1"/>
          </reference>
        </references>
      </pivotArea>
    </format>
    <format dxfId="83">
      <pivotArea dataOnly="0" labelOnly="1" outline="0" fieldPosition="0">
        <references count="2">
          <reference field="0" count="0"/>
          <reference field="4" count="1" selected="0">
            <x v="2"/>
          </reference>
        </references>
      </pivotArea>
    </format>
    <format dxfId="82">
      <pivotArea dataOnly="0" labelOnly="1" outline="0" fieldPosition="0">
        <references count="2">
          <reference field="0" count="0"/>
          <reference field="4" count="1" selected="0">
            <x v="3"/>
          </reference>
        </references>
      </pivotArea>
    </format>
    <format dxfId="81">
      <pivotArea dataOnly="0" labelOnly="1" outline="0" fieldPosition="0">
        <references count="2">
          <reference field="0" count="0"/>
          <reference field="4" count="1" selected="0">
            <x v="4"/>
          </reference>
        </references>
      </pivotArea>
    </format>
    <format dxfId="80">
      <pivotArea dataOnly="0" labelOnly="1" outline="0" fieldPosition="0">
        <references count="1">
          <reference field="4294967294" count="4">
            <x v="0"/>
            <x v="1"/>
            <x v="2"/>
            <x v="3"/>
          </reference>
        </references>
      </pivotArea>
    </format>
  </formats>
  <pivotHierarchies count="53">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Sales"/>
    <pivotHierarchy dragToData="1"/>
    <pivotHierarchy dragToData="1" caption="Profit"/>
    <pivotHierarchy dragToData="1"/>
    <pivotHierarchy dragToData="1"/>
    <pivotHierarchy dragToData="1"/>
    <pivotHierarchy dragToData="1"/>
    <pivotHierarchy dragToData="1"/>
    <pivotHierarchy dragToData="1"/>
    <pivotHierarchy dragToData="1"/>
    <pivotHierarchy dragToData="1" caption="# of Orders"/>
    <pivotHierarchy dragToData="1"/>
    <pivotHierarchy dragToData="1" caption="Last Orderd"/>
    <pivotHierarchy dragToData="1"/>
    <pivotHierarchy dragToData="1" caption="Distinct Count of Product Name"/>
  </pivotHierarchies>
  <pivotTableStyleInfo showRowHeaders="1" showColHeaders="1" showRowStripes="0" showColStripes="0" showLastColumn="1"/>
  <rowHierarchiesUsage count="2">
    <rowHierarchyUsage hierarchyUsage="2"/>
    <rowHierarchyUsage hierarchyUsage="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able_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B7F9F2B4-8EA3-47A7-A55A-1DC739A9E1F3}" name="SalesMap_The Map" cacheId="13" applyNumberFormats="0" applyBorderFormats="0" applyFontFormats="0" applyPatternFormats="0" applyAlignmentFormats="0" applyWidthHeightFormats="1" dataCaption="Values" tag="f77f5d1d-165f-4424-9b2f-da235a565a48" updatedVersion="8" minRefreshableVersion="3" subtotalHiddenItems="1" rowGrandTotals="0" itemPrintTitles="1" createdVersion="8" indent="0" compact="0" outline="1" outlineData="1" compactData="0" multipleFieldFilters="0" chartFormat="2" rowHeaderCaption="States">
  <location ref="U5:Y54" firstHeaderRow="0" firstDataRow="1" firstDataCol="1"/>
  <pivotFields count="6">
    <pivotField axis="axisRow" compact="0" allDrilled="1" showAll="0" dataSourceSort="1" defaultSubtotal="0" defaultAttributeDrillState="1">
      <items count="4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s>
    </pivotField>
    <pivotField dataField="1" compact="0" subtotalTop="0" showAll="0" defaultSubtotal="0"/>
    <pivotField dataField="1" compact="0" subtotalTop="0" showAll="0" defaultSubtotal="0"/>
    <pivotField dataField="1" compact="0" subtotalTop="0" showAll="0" defaultSubtotal="0"/>
    <pivotField dataField="1" compact="0" subtotalTop="0" showAll="0" defaultSubtotal="0"/>
    <pivotField compact="0" allDrilled="1" subtotalTop="0" showAll="0" dataSourceSort="1" defaultSubtotal="0" defaultAttributeDrillState="1"/>
  </pivotFields>
  <rowFields count="1">
    <field x="0"/>
  </rowFields>
  <rowItems count="49">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rowItems>
  <colFields count="1">
    <field x="-2"/>
  </colFields>
  <colItems count="4">
    <i>
      <x/>
    </i>
    <i i="1">
      <x v="1"/>
    </i>
    <i i="2">
      <x v="2"/>
    </i>
    <i i="3">
      <x v="3"/>
    </i>
  </colItems>
  <dataFields count="4">
    <dataField name="Total Sales" fld="1" baseField="0" baseItem="0"/>
    <dataField name="All other Cost" fld="2" baseField="0" baseItem="0"/>
    <dataField name="Shipping Cost" fld="3" baseField="0" baseItem="0"/>
    <dataField name="Net Profit" fld="4" baseField="0" baseItem="0"/>
  </dataFields>
  <formats count="57">
    <format dxfId="205">
      <pivotArea type="all" dataOnly="0" outline="0" fieldPosition="0"/>
    </format>
    <format dxfId="204">
      <pivotArea outline="0" collapsedLevelsAreSubtotals="1" fieldPosition="0"/>
    </format>
    <format dxfId="203">
      <pivotArea field="0" type="button" dataOnly="0" labelOnly="1" outline="0" axis="axisRow" fieldPosition="0"/>
    </format>
    <format dxfId="202">
      <pivotArea dataOnly="0" labelOnly="1" outline="0" fieldPosition="0">
        <references count="1">
          <reference field="0" count="0"/>
        </references>
      </pivotArea>
    </format>
    <format dxfId="201">
      <pivotArea dataOnly="0" labelOnly="1" grandRow="1" outline="0" fieldPosition="0"/>
    </format>
    <format dxfId="200">
      <pivotArea type="all" dataOnly="0" outline="0" fieldPosition="0"/>
    </format>
    <format dxfId="199">
      <pivotArea outline="0" collapsedLevelsAreSubtotals="1" fieldPosition="0"/>
    </format>
    <format dxfId="198">
      <pivotArea field="0" type="button" dataOnly="0" labelOnly="1" outline="0" axis="axisRow" fieldPosition="0"/>
    </format>
    <format dxfId="197">
      <pivotArea dataOnly="0" labelOnly="1" outline="0" fieldPosition="0">
        <references count="1">
          <reference field="0" count="0"/>
        </references>
      </pivotArea>
    </format>
    <format dxfId="196">
      <pivotArea dataOnly="0" labelOnly="1" grandRow="1" outline="0" fieldPosition="0"/>
    </format>
    <format dxfId="195">
      <pivotArea type="all" dataOnly="0" outline="0" fieldPosition="0"/>
    </format>
    <format dxfId="194">
      <pivotArea outline="0" collapsedLevelsAreSubtotals="1" fieldPosition="0"/>
    </format>
    <format dxfId="193">
      <pivotArea field="0" type="button" dataOnly="0" labelOnly="1" outline="0" axis="axisRow" fieldPosition="0"/>
    </format>
    <format dxfId="192">
      <pivotArea dataOnly="0" labelOnly="1" outline="0" fieldPosition="0">
        <references count="1">
          <reference field="0" count="0"/>
        </references>
      </pivotArea>
    </format>
    <format dxfId="191">
      <pivotArea dataOnly="0" labelOnly="1" outline="0" fieldPosition="0">
        <references count="1">
          <reference field="4294967294" count="1">
            <x v="0"/>
          </reference>
        </references>
      </pivotArea>
    </format>
    <format dxfId="190">
      <pivotArea outline="0" collapsedLevelsAreSubtotals="1" fieldPosition="0"/>
    </format>
    <format dxfId="189">
      <pivotArea type="all" dataOnly="0" outline="0" fieldPosition="0"/>
    </format>
    <format dxfId="188">
      <pivotArea outline="0" collapsedLevelsAreSubtotals="1" fieldPosition="0"/>
    </format>
    <format dxfId="187">
      <pivotArea field="0" type="button" dataOnly="0" labelOnly="1" outline="0" axis="axisRow" fieldPosition="0"/>
    </format>
    <format dxfId="186">
      <pivotArea dataOnly="0" labelOnly="1" outline="0" fieldPosition="0">
        <references count="1">
          <reference field="0" count="0"/>
        </references>
      </pivotArea>
    </format>
    <format dxfId="185">
      <pivotArea dataOnly="0" labelOnly="1" outline="0" fieldPosition="0">
        <references count="1">
          <reference field="4294967294" count="4">
            <x v="0"/>
            <x v="1"/>
            <x v="2"/>
            <x v="3"/>
          </reference>
        </references>
      </pivotArea>
    </format>
    <format dxfId="184">
      <pivotArea type="all" dataOnly="0" outline="0" fieldPosition="0"/>
    </format>
    <format dxfId="183">
      <pivotArea outline="0" collapsedLevelsAreSubtotals="1" fieldPosition="0"/>
    </format>
    <format dxfId="182">
      <pivotArea field="0" type="button" dataOnly="0" labelOnly="1" outline="0" axis="axisRow" fieldPosition="0"/>
    </format>
    <format dxfId="181">
      <pivotArea dataOnly="0" labelOnly="1" outline="0" fieldPosition="0">
        <references count="1">
          <reference field="0" count="0"/>
        </references>
      </pivotArea>
    </format>
    <format dxfId="180">
      <pivotArea dataOnly="0" labelOnly="1" outline="0" fieldPosition="0">
        <references count="1">
          <reference field="4294967294" count="4">
            <x v="0"/>
            <x v="1"/>
            <x v="2"/>
            <x v="3"/>
          </reference>
        </references>
      </pivotArea>
    </format>
    <format dxfId="179">
      <pivotArea type="all" dataOnly="0" outline="0" fieldPosition="0"/>
    </format>
    <format dxfId="178">
      <pivotArea outline="0" collapsedLevelsAreSubtotals="1" fieldPosition="0"/>
    </format>
    <format dxfId="177">
      <pivotArea field="0" type="button" dataOnly="0" labelOnly="1" outline="0" axis="axisRow" fieldPosition="0"/>
    </format>
    <format dxfId="176">
      <pivotArea dataOnly="0" labelOnly="1" outline="0" fieldPosition="0">
        <references count="1">
          <reference field="0" count="0"/>
        </references>
      </pivotArea>
    </format>
    <format dxfId="175">
      <pivotArea dataOnly="0" labelOnly="1" outline="0" fieldPosition="0">
        <references count="1">
          <reference field="4294967294" count="4">
            <x v="0"/>
            <x v="1"/>
            <x v="2"/>
            <x v="3"/>
          </reference>
        </references>
      </pivotArea>
    </format>
    <format dxfId="174">
      <pivotArea type="all" dataOnly="0" outline="0" fieldPosition="0"/>
    </format>
    <format dxfId="173">
      <pivotArea outline="0" collapsedLevelsAreSubtotals="1" fieldPosition="0"/>
    </format>
    <format dxfId="172">
      <pivotArea field="0" type="button" dataOnly="0" labelOnly="1" outline="0" axis="axisRow" fieldPosition="0"/>
    </format>
    <format dxfId="171">
      <pivotArea dataOnly="0" labelOnly="1" outline="0" fieldPosition="0">
        <references count="1">
          <reference field="0" count="0"/>
        </references>
      </pivotArea>
    </format>
    <format dxfId="170">
      <pivotArea dataOnly="0" labelOnly="1" outline="0" fieldPosition="0">
        <references count="1">
          <reference field="4294967294" count="4">
            <x v="0"/>
            <x v="1"/>
            <x v="2"/>
            <x v="3"/>
          </reference>
        </references>
      </pivotArea>
    </format>
    <format dxfId="169">
      <pivotArea type="all" dataOnly="0" outline="0" fieldPosition="0"/>
    </format>
    <format dxfId="168">
      <pivotArea outline="0" collapsedLevelsAreSubtotals="1" fieldPosition="0"/>
    </format>
    <format dxfId="167">
      <pivotArea field="0" type="button" dataOnly="0" labelOnly="1" outline="0" axis="axisRow" fieldPosition="0"/>
    </format>
    <format dxfId="166">
      <pivotArea dataOnly="0" labelOnly="1" outline="0" fieldPosition="0">
        <references count="1">
          <reference field="0" count="0"/>
        </references>
      </pivotArea>
    </format>
    <format dxfId="165">
      <pivotArea dataOnly="0" labelOnly="1" outline="0" fieldPosition="0">
        <references count="1">
          <reference field="4294967294" count="4">
            <x v="0"/>
            <x v="1"/>
            <x v="2"/>
            <x v="3"/>
          </reference>
        </references>
      </pivotArea>
    </format>
    <format dxfId="164">
      <pivotArea fieldPosition="0">
        <references count="1">
          <reference field="0" count="1">
            <x v="41"/>
          </reference>
        </references>
      </pivotArea>
    </format>
    <format dxfId="163">
      <pivotArea dataOnly="0" labelOnly="1" outline="0" fieldPosition="0">
        <references count="1">
          <reference field="0" count="1">
            <x v="41"/>
          </reference>
        </references>
      </pivotArea>
    </format>
    <format dxfId="162">
      <pivotArea fieldPosition="0">
        <references count="1">
          <reference field="0" count="1">
            <x v="41"/>
          </reference>
        </references>
      </pivotArea>
    </format>
    <format dxfId="161">
      <pivotArea dataOnly="0" labelOnly="1" outline="0" fieldPosition="0">
        <references count="1">
          <reference field="0" count="1">
            <x v="41"/>
          </reference>
        </references>
      </pivotArea>
    </format>
    <format dxfId="160">
      <pivotArea fieldPosition="0">
        <references count="1">
          <reference field="0" count="1">
            <x v="41"/>
          </reference>
        </references>
      </pivotArea>
    </format>
    <format dxfId="159">
      <pivotArea dataOnly="0" labelOnly="1" outline="0" fieldPosition="0">
        <references count="1">
          <reference field="0" count="1">
            <x v="41"/>
          </reference>
        </references>
      </pivotArea>
    </format>
    <format dxfId="158">
      <pivotArea type="all" dataOnly="0" outline="0" fieldPosition="0"/>
    </format>
    <format dxfId="157">
      <pivotArea outline="0" collapsedLevelsAreSubtotals="1" fieldPosition="0"/>
    </format>
    <format dxfId="156">
      <pivotArea field="0" type="button" dataOnly="0" labelOnly="1" outline="0" axis="axisRow" fieldPosition="0"/>
    </format>
    <format dxfId="155">
      <pivotArea dataOnly="0" labelOnly="1" outline="0" fieldPosition="0">
        <references count="1">
          <reference field="0" count="0"/>
        </references>
      </pivotArea>
    </format>
    <format dxfId="154">
      <pivotArea dataOnly="0" labelOnly="1" outline="0" fieldPosition="0">
        <references count="1">
          <reference field="4294967294" count="4">
            <x v="0"/>
            <x v="1"/>
            <x v="2"/>
            <x v="3"/>
          </reference>
        </references>
      </pivotArea>
    </format>
    <format dxfId="153">
      <pivotArea type="all" dataOnly="0" outline="0" fieldPosition="0"/>
    </format>
    <format dxfId="152">
      <pivotArea outline="0" collapsedLevelsAreSubtotals="1" fieldPosition="0"/>
    </format>
    <format dxfId="151">
      <pivotArea field="0" type="button" dataOnly="0" labelOnly="1" outline="0" axis="axisRow" fieldPosition="0"/>
    </format>
    <format dxfId="150">
      <pivotArea dataOnly="0" labelOnly="1" outline="0" fieldPosition="0">
        <references count="1">
          <reference field="0" count="0"/>
        </references>
      </pivotArea>
    </format>
    <format dxfId="149">
      <pivotArea dataOnly="0" labelOnly="1" outline="0" fieldPosition="0">
        <references count="1">
          <reference field="4294967294" count="4">
            <x v="0"/>
            <x v="1"/>
            <x v="2"/>
            <x v="3"/>
          </reference>
        </references>
      </pivotArea>
    </format>
  </formats>
  <chartFormats count="1">
    <chartFormat chart="1" format="3" series="1">
      <pivotArea type="data" outline="0" fieldPosition="0">
        <references count="1">
          <reference field="4294967294" count="1" selected="0">
            <x v="0"/>
          </reference>
        </references>
      </pivotArea>
    </chartFormat>
  </chartFormats>
  <pivotHierarchies count="53">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Total Sales"/>
    <pivotHierarchy dragToData="1"/>
    <pivotHierarchy dragToData="1" caption="Net Profit"/>
    <pivotHierarchy dragToData="1"/>
    <pivotHierarchy dragToData="1"/>
    <pivotHierarchy dragToData="1" caption="Shipping Cost"/>
    <pivotHierarchy dragToData="1"/>
    <pivotHierarchy dragToData="1" caption="All other Cost"/>
    <pivotHierarchy dragToData="1"/>
    <pivotHierarchy dragToData="1"/>
    <pivotHierarchy dragToData="1"/>
    <pivotHierarchy dragToData="1"/>
    <pivotHierarchy dragToData="1"/>
    <pivotHierarchy dragToData="1"/>
    <pivotHierarchy dragToData="1"/>
  </pivotHierarchies>
  <pivotTableStyleInfo showRowHeaders="1" showColHeaders="1" showRowStripes="0" showColStripes="0" showLastColumn="1"/>
  <rowHierarchiesUsage count="1">
    <rowHierarchyUsage hierarchyUsage="15"/>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able_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6869402-FFF3-47B4-B8EC-F322EEC3B66B}" name="Sales&amp;Profit_PercentageDial" cacheId="14" applyNumberFormats="0" applyBorderFormats="0" applyFontFormats="0" applyPatternFormats="0" applyAlignmentFormats="0" applyWidthHeightFormats="1" dataCaption="Values" tag="9556c826-6062-4dd0-a0dd-c5d2edd943cc" updatedVersion="8" minRefreshableVersion="3" subtotalHiddenItems="1" itemPrintTitles="1" createdVersion="8" indent="0" outline="1" outlineData="1" multipleFieldFilters="0" rowHeaderCaption="Product Sub-Category">
  <location ref="O5:P6" firstHeaderRow="0" firstDataRow="1" firstDataCol="0"/>
  <pivotFields count="3">
    <pivotField dataField="1" subtotalTop="0" showAll="0" defaultSubtotal="0"/>
    <pivotField dataField="1" subtotalTop="0" showAll="0" defaultSubtotal="0"/>
    <pivotField allDrilled="1" subtotalTop="0" showAll="0" dataSourceSort="1" defaultSubtotal="0" defaultAttributeDrillState="1"/>
  </pivotFields>
  <rowItems count="1">
    <i/>
  </rowItems>
  <colFields count="1">
    <field x="-2"/>
  </colFields>
  <colItems count="2">
    <i>
      <x/>
    </i>
    <i i="1">
      <x v="1"/>
    </i>
  </colItems>
  <dataFields count="2">
    <dataField name="Sales" fld="0" baseField="0" baseItem="0" numFmtId="165"/>
    <dataField name="Sum of Profit" fld="1" baseField="0" baseItem="1" numFmtId="165"/>
  </dataFields>
  <formats count="27">
    <format dxfId="232">
      <pivotArea outline="0" collapsedLevelsAreSubtotals="1" fieldPosition="0">
        <references count="1">
          <reference field="4294967294" count="1" selected="0">
            <x v="0"/>
          </reference>
        </references>
      </pivotArea>
    </format>
    <format dxfId="231">
      <pivotArea outline="0" fieldPosition="0">
        <references count="1">
          <reference field="4294967294" count="1">
            <x v="1"/>
          </reference>
        </references>
      </pivotArea>
    </format>
    <format dxfId="230">
      <pivotArea outline="0" collapsedLevelsAreSubtotals="1" fieldPosition="0">
        <references count="1">
          <reference field="4294967294" count="1" selected="0">
            <x v="1"/>
          </reference>
        </references>
      </pivotArea>
    </format>
    <format dxfId="229">
      <pivotArea type="all" dataOnly="0" outline="0" fieldPosition="0"/>
    </format>
    <format dxfId="228">
      <pivotArea outline="0" collapsedLevelsAreSubtotals="1" fieldPosition="0"/>
    </format>
    <format dxfId="227">
      <pivotArea dataOnly="0" labelOnly="1" outline="0" fieldPosition="0">
        <references count="1">
          <reference field="4294967294" count="2">
            <x v="0"/>
            <x v="1"/>
          </reference>
        </references>
      </pivotArea>
    </format>
    <format dxfId="226">
      <pivotArea type="all" dataOnly="0" outline="0" fieldPosition="0"/>
    </format>
    <format dxfId="225">
      <pivotArea outline="0" collapsedLevelsAreSubtotals="1" fieldPosition="0"/>
    </format>
    <format dxfId="224">
      <pivotArea dataOnly="0" labelOnly="1" outline="0" fieldPosition="0">
        <references count="1">
          <reference field="4294967294" count="2">
            <x v="0"/>
            <x v="1"/>
          </reference>
        </references>
      </pivotArea>
    </format>
    <format dxfId="223">
      <pivotArea type="all" dataOnly="0" outline="0" fieldPosition="0"/>
    </format>
    <format dxfId="222">
      <pivotArea outline="0" collapsedLevelsAreSubtotals="1" fieldPosition="0"/>
    </format>
    <format dxfId="221">
      <pivotArea dataOnly="0" labelOnly="1" outline="0" fieldPosition="0">
        <references count="1">
          <reference field="4294967294" count="2">
            <x v="0"/>
            <x v="1"/>
          </reference>
        </references>
      </pivotArea>
    </format>
    <format dxfId="220">
      <pivotArea type="all" dataOnly="0" outline="0" fieldPosition="0"/>
    </format>
    <format dxfId="219">
      <pivotArea outline="0" collapsedLevelsAreSubtotals="1" fieldPosition="0"/>
    </format>
    <format dxfId="218">
      <pivotArea dataOnly="0" labelOnly="1" outline="0" fieldPosition="0">
        <references count="1">
          <reference field="4294967294" count="2">
            <x v="0"/>
            <x v="1"/>
          </reference>
        </references>
      </pivotArea>
    </format>
    <format dxfId="217">
      <pivotArea type="all" dataOnly="0" outline="0" fieldPosition="0"/>
    </format>
    <format dxfId="216">
      <pivotArea outline="0" collapsedLevelsAreSubtotals="1" fieldPosition="0"/>
    </format>
    <format dxfId="215">
      <pivotArea dataOnly="0" labelOnly="1" outline="0" fieldPosition="0">
        <references count="1">
          <reference field="4294967294" count="2">
            <x v="0"/>
            <x v="1"/>
          </reference>
        </references>
      </pivotArea>
    </format>
    <format dxfId="214">
      <pivotArea type="all" dataOnly="0" outline="0" fieldPosition="0"/>
    </format>
    <format dxfId="213">
      <pivotArea outline="0" collapsedLevelsAreSubtotals="1" fieldPosition="0"/>
    </format>
    <format dxfId="212">
      <pivotArea dataOnly="0" labelOnly="1" outline="0" fieldPosition="0">
        <references count="1">
          <reference field="4294967294" count="2">
            <x v="0"/>
            <x v="1"/>
          </reference>
        </references>
      </pivotArea>
    </format>
    <format dxfId="211">
      <pivotArea type="all" dataOnly="0" outline="0" fieldPosition="0"/>
    </format>
    <format dxfId="210">
      <pivotArea outline="0" collapsedLevelsAreSubtotals="1" fieldPosition="0"/>
    </format>
    <format dxfId="209">
      <pivotArea dataOnly="0" labelOnly="1" outline="0" fieldPosition="0">
        <references count="1">
          <reference field="4294967294" count="2">
            <x v="0"/>
            <x v="1"/>
          </reference>
        </references>
      </pivotArea>
    </format>
    <format dxfId="208">
      <pivotArea type="all" dataOnly="0" outline="0" fieldPosition="0"/>
    </format>
    <format dxfId="207">
      <pivotArea outline="0" collapsedLevelsAreSubtotals="1" fieldPosition="0"/>
    </format>
    <format dxfId="206">
      <pivotArea dataOnly="0" labelOnly="1" outline="0" fieldPosition="0">
        <references count="1">
          <reference field="4294967294" count="2">
            <x v="0"/>
            <x v="1"/>
          </reference>
        </references>
      </pivotArea>
    </format>
  </formats>
  <pivotHierarchies count="53">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Sales %"/>
    <pivotHierarchy dragToData="1" caption="Quantity %"/>
    <pivotHierarchy dragToData="1" caption="Profit %"/>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7"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uperstore Raw Data.xlsx!Table_1">
        <x15:activeTabTopLevelEntity name="[Table_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454C3FC9-C493-43E8-B9CF-2CA2DD593070}" name="Distribution_TopSellingProducts" cacheId="12" applyNumberFormats="0" applyBorderFormats="0" applyFontFormats="0" applyPatternFormats="0" applyAlignmentFormats="0" applyWidthHeightFormats="1" dataCaption="Values" updatedVersion="8" minRefreshableVersion="3" useAutoFormatting="1" subtotalHiddenItems="1" rowGrandTotals="0" itemPrintTitles="1" createdVersion="8" indent="0" outline="1" outlineData="1" multipleFieldFilters="0" rowHeaderCaption="Product Name">
  <location ref="CJ5:CL8" firstHeaderRow="0" firstDataRow="1" firstDataCol="1"/>
  <pivotFields count="4">
    <pivotField axis="axisRow" allDrilled="1" subtotalTop="0" showAll="0" measureFilter="1" dataSourceSort="1" defaultSubtotal="0" defaultAttributeDrillState="1">
      <items count="3">
        <item x="0"/>
        <item x="1"/>
        <item x="2"/>
      </items>
    </pivotField>
    <pivotField dataField="1" subtotalTop="0" showAll="0" defaultSubtotal="0"/>
    <pivotField dataField="1" subtotalTop="0" showAll="0" defaultSubtotal="0"/>
    <pivotField allDrilled="1" subtotalTop="0" showAll="0" dataSourceSort="1" defaultSubtotal="0" defaultAttributeDrillState="1"/>
  </pivotFields>
  <rowFields count="1">
    <field x="0"/>
  </rowFields>
  <rowItems count="3">
    <i>
      <x/>
    </i>
    <i>
      <x v="1"/>
    </i>
    <i>
      <x v="2"/>
    </i>
  </rowItems>
  <colFields count="1">
    <field x="-2"/>
  </colFields>
  <colItems count="2">
    <i>
      <x/>
    </i>
    <i i="1">
      <x v="1"/>
    </i>
  </colItems>
  <dataFields count="2">
    <dataField name="Sales" fld="1" baseField="0" baseItem="0" numFmtId="168"/>
    <dataField name="Quantity" fld="2" baseField="0" baseItem="0"/>
  </dataFields>
  <formats count="17">
    <format dxfId="249">
      <pivotArea outline="0" collapsedLevelsAreSubtotals="1" fieldPosition="0">
        <references count="1">
          <reference field="4294967294" count="1" selected="0">
            <x v="0"/>
          </reference>
        </references>
      </pivotArea>
    </format>
    <format dxfId="248">
      <pivotArea dataOnly="0" labelOnly="1" outline="0" fieldPosition="0">
        <references count="1">
          <reference field="4294967294" count="1">
            <x v="0"/>
          </reference>
        </references>
      </pivotArea>
    </format>
    <format dxfId="247">
      <pivotArea type="all" dataOnly="0" outline="0" fieldPosition="0"/>
    </format>
    <format dxfId="246">
      <pivotArea outline="0" collapsedLevelsAreSubtotals="1" fieldPosition="0"/>
    </format>
    <format dxfId="245">
      <pivotArea field="0" type="button" dataOnly="0" labelOnly="1" outline="0" axis="axisRow" fieldPosition="0"/>
    </format>
    <format dxfId="244">
      <pivotArea dataOnly="0" labelOnly="1" fieldPosition="0">
        <references count="1">
          <reference field="0" count="0"/>
        </references>
      </pivotArea>
    </format>
    <format dxfId="243">
      <pivotArea dataOnly="0" labelOnly="1" outline="0" fieldPosition="0">
        <references count="1">
          <reference field="4294967294" count="2">
            <x v="0"/>
            <x v="1"/>
          </reference>
        </references>
      </pivotArea>
    </format>
    <format dxfId="242">
      <pivotArea type="all" dataOnly="0" outline="0" fieldPosition="0"/>
    </format>
    <format dxfId="241">
      <pivotArea outline="0" collapsedLevelsAreSubtotals="1" fieldPosition="0"/>
    </format>
    <format dxfId="240">
      <pivotArea field="0" type="button" dataOnly="0" labelOnly="1" outline="0" axis="axisRow" fieldPosition="0"/>
    </format>
    <format dxfId="239">
      <pivotArea dataOnly="0" labelOnly="1" fieldPosition="0">
        <references count="1">
          <reference field="0" count="0"/>
        </references>
      </pivotArea>
    </format>
    <format dxfId="238">
      <pivotArea dataOnly="0" labelOnly="1" outline="0" fieldPosition="0">
        <references count="1">
          <reference field="4294967294" count="2">
            <x v="0"/>
            <x v="1"/>
          </reference>
        </references>
      </pivotArea>
    </format>
    <format dxfId="237">
      <pivotArea type="all" dataOnly="0" outline="0" fieldPosition="0"/>
    </format>
    <format dxfId="236">
      <pivotArea outline="0" collapsedLevelsAreSubtotals="1" fieldPosition="0"/>
    </format>
    <format dxfId="235">
      <pivotArea field="0" type="button" dataOnly="0" labelOnly="1" outline="0" axis="axisRow" fieldPosition="0"/>
    </format>
    <format dxfId="234">
      <pivotArea dataOnly="0" labelOnly="1" fieldPosition="0">
        <references count="1">
          <reference field="0" count="0"/>
        </references>
      </pivotArea>
    </format>
    <format dxfId="233">
      <pivotArea dataOnly="0" labelOnly="1" outline="0" fieldPosition="0">
        <references count="1">
          <reference field="4294967294" count="2">
            <x v="0"/>
            <x v="1"/>
          </reference>
        </references>
      </pivotArea>
    </format>
  </formats>
  <pivotHierarchies count="53">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Sales"/>
    <pivotHierarchy dragToData="1" caption="Quantit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1">
    <filter fld="0" type="count" id="1" iMeasureHier="38">
      <autoFilter ref="A1">
        <filterColumn colId="0">
          <top10 val="3" filterVal="3"/>
        </filterColumn>
      </autoFilter>
    </filter>
  </filters>
  <rowHierarchiesUsage count="1">
    <rowHierarchyUsage hierarchyUsage="11"/>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able_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31F80C96-2041-4332-9973-CCEA26EB3F76}" name="Distribution_LeastProfitCities" cacheId="5" applyNumberFormats="0" applyBorderFormats="0" applyFontFormats="0" applyPatternFormats="0" applyAlignmentFormats="0" applyWidthHeightFormats="1" dataCaption="Values" updatedVersion="8" minRefreshableVersion="3" useAutoFormatting="1" subtotalHiddenItems="1" rowGrandTotals="0" itemPrintTitles="1" createdVersion="8" indent="0" outline="1" outlineData="1" multipleFieldFilters="0" rowHeaderCaption="City Name">
  <location ref="CJ47:CL50" firstHeaderRow="0" firstDataRow="1" firstDataCol="1"/>
  <pivotFields count="4">
    <pivotField axis="axisRow" allDrilled="1" subtotalTop="0" showAll="0" measureFilter="1" sortType="descending" defaultSubtotal="0" defaultAttributeDrillState="1">
      <items count="3">
        <item x="2"/>
        <item x="1"/>
        <item x="0"/>
      </items>
    </pivotField>
    <pivotField dataField="1" subtotalTop="0" showAll="0" defaultSubtotal="0"/>
    <pivotField dataField="1" subtotalTop="0" showAll="0" defaultSubtotal="0"/>
    <pivotField allDrilled="1" subtotalTop="0" showAll="0" dataSourceSort="1" defaultSubtotal="0" defaultAttributeDrillState="1"/>
  </pivotFields>
  <rowFields count="1">
    <field x="0"/>
  </rowFields>
  <rowItems count="3">
    <i>
      <x/>
    </i>
    <i>
      <x v="1"/>
    </i>
    <i>
      <x v="2"/>
    </i>
  </rowItems>
  <colFields count="1">
    <field x="-2"/>
  </colFields>
  <colItems count="2">
    <i>
      <x/>
    </i>
    <i i="1">
      <x v="1"/>
    </i>
  </colItems>
  <dataFields count="2">
    <dataField name="Profit" fld="2" baseField="0" baseItem="0" numFmtId="168"/>
    <dataField name="Quantity" fld="1" baseField="0" baseItem="0"/>
  </dataFields>
  <formats count="12">
    <format dxfId="261">
      <pivotArea outline="0" collapsedLevelsAreSubtotals="1" fieldPosition="0">
        <references count="1">
          <reference field="4294967294" count="1" selected="0">
            <x v="0"/>
          </reference>
        </references>
      </pivotArea>
    </format>
    <format dxfId="260">
      <pivotArea dataOnly="0" labelOnly="1" outline="0" fieldPosition="0">
        <references count="1">
          <reference field="4294967294" count="1">
            <x v="0"/>
          </reference>
        </references>
      </pivotArea>
    </format>
    <format dxfId="259">
      <pivotArea type="all" dataOnly="0" outline="0" fieldPosition="0"/>
    </format>
    <format dxfId="258">
      <pivotArea outline="0" collapsedLevelsAreSubtotals="1" fieldPosition="0"/>
    </format>
    <format dxfId="257">
      <pivotArea field="0" type="button" dataOnly="0" labelOnly="1" outline="0" axis="axisRow" fieldPosition="0"/>
    </format>
    <format dxfId="256">
      <pivotArea dataOnly="0" labelOnly="1" fieldPosition="0">
        <references count="1">
          <reference field="0" count="0"/>
        </references>
      </pivotArea>
    </format>
    <format dxfId="255">
      <pivotArea dataOnly="0" labelOnly="1" outline="0" fieldPosition="0">
        <references count="1">
          <reference field="4294967294" count="2">
            <x v="0"/>
            <x v="1"/>
          </reference>
        </references>
      </pivotArea>
    </format>
    <format dxfId="254">
      <pivotArea type="all" dataOnly="0" outline="0" fieldPosition="0"/>
    </format>
    <format dxfId="253">
      <pivotArea outline="0" collapsedLevelsAreSubtotals="1" fieldPosition="0"/>
    </format>
    <format dxfId="252">
      <pivotArea field="0" type="button" dataOnly="0" labelOnly="1" outline="0" axis="axisRow" fieldPosition="0"/>
    </format>
    <format dxfId="251">
      <pivotArea dataOnly="0" labelOnly="1" fieldPosition="0">
        <references count="1">
          <reference field="0" count="0"/>
        </references>
      </pivotArea>
    </format>
    <format dxfId="250">
      <pivotArea dataOnly="0" labelOnly="1" outline="0" fieldPosition="0">
        <references count="1">
          <reference field="4294967294" count="2">
            <x v="0"/>
            <x v="1"/>
          </reference>
        </references>
      </pivotArea>
    </format>
  </formats>
  <pivotHierarchies count="54">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caption="Quantity"/>
    <pivotHierarchy dragToData="1" caption="Profit"/>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1">
    <filter fld="0" type="count" id="2" iMeasureHier="38">
      <autoFilter ref="A1">
        <filterColumn colId="0">
          <top10 top="0" val="3" filterVal="3"/>
        </filterColumn>
      </autoFilter>
    </filter>
  </filters>
  <rowHierarchiesUsage count="1">
    <rowHierarchyUsage hierarchyUsage="16"/>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able_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474A3A94-4B9C-433A-B355-718015AA89AB}" name="Sales&amp;Profit_SmallDonut" cacheId="18" applyNumberFormats="0" applyBorderFormats="0" applyFontFormats="0" applyPatternFormats="0" applyAlignmentFormats="0" applyWidthHeightFormats="1" dataCaption="Values" tag="67243fc6-6827-43f3-99e8-096150c90107" updatedVersion="8" minRefreshableVersion="3" showDrill="0" subtotalHiddenItems="1" itemPrintTitles="1" createdVersion="8" indent="0" outline="1" outlineData="1" multipleFieldFilters="0" chartFormat="49" rowHeaderCaption="Product Sub-Category">
  <location ref="I27:J32" firstHeaderRow="1" firstDataRow="1" firstDataCol="1"/>
  <pivotFields count="3">
    <pivotField axis="axisRow" allDrilled="1" subtotalTop="0" showAll="0" dataSourceSort="1" defaultSubtotal="0" defaultAttributeDrillState="1">
      <items count="4">
        <item x="0"/>
        <item x="1"/>
        <item x="2"/>
        <item x="3"/>
      </items>
    </pivotField>
    <pivotField dataField="1" subtotalTop="0" showAll="0" defaultSubtotal="0"/>
    <pivotField allDrilled="1" subtotalTop="0" showAll="0" dataSourceSort="1" defaultSubtotal="0" defaultAttributeDrillState="1"/>
  </pivotFields>
  <rowFields count="1">
    <field x="0"/>
  </rowFields>
  <rowItems count="5">
    <i>
      <x/>
    </i>
    <i>
      <x v="1"/>
    </i>
    <i>
      <x v="2"/>
    </i>
    <i>
      <x v="3"/>
    </i>
    <i t="grand">
      <x/>
    </i>
  </rowItems>
  <colItems count="1">
    <i/>
  </colItems>
  <dataFields count="1">
    <dataField name="Sum of Profit" fld="1" baseField="0" baseItem="0"/>
  </dataFields>
  <formats count="55">
    <format dxfId="316">
      <pivotArea outline="0" collapsedLevelsAreSubtotals="1" fieldPosition="0"/>
    </format>
    <format dxfId="315">
      <pivotArea type="all" dataOnly="0" outline="0" fieldPosition="0"/>
    </format>
    <format dxfId="314">
      <pivotArea outline="0" collapsedLevelsAreSubtotals="1" fieldPosition="0"/>
    </format>
    <format dxfId="313">
      <pivotArea field="0" type="button" dataOnly="0" labelOnly="1" outline="0" axis="axisRow" fieldPosition="0"/>
    </format>
    <format dxfId="312">
      <pivotArea dataOnly="0" labelOnly="1" fieldPosition="0">
        <references count="1">
          <reference field="0" count="0"/>
        </references>
      </pivotArea>
    </format>
    <format dxfId="311">
      <pivotArea dataOnly="0" labelOnly="1" grandRow="1" outline="0" fieldPosition="0"/>
    </format>
    <format dxfId="310">
      <pivotArea dataOnly="0" labelOnly="1" outline="0" axis="axisValues" fieldPosition="0"/>
    </format>
    <format dxfId="309">
      <pivotArea type="all" dataOnly="0" outline="0" fieldPosition="0"/>
    </format>
    <format dxfId="308">
      <pivotArea outline="0" collapsedLevelsAreSubtotals="1" fieldPosition="0"/>
    </format>
    <format dxfId="307">
      <pivotArea field="0" type="button" dataOnly="0" labelOnly="1" outline="0" axis="axisRow" fieldPosition="0"/>
    </format>
    <format dxfId="306">
      <pivotArea dataOnly="0" labelOnly="1" fieldPosition="0">
        <references count="1">
          <reference field="0" count="0"/>
        </references>
      </pivotArea>
    </format>
    <format dxfId="305">
      <pivotArea dataOnly="0" labelOnly="1" grandRow="1" outline="0" fieldPosition="0"/>
    </format>
    <format dxfId="304">
      <pivotArea dataOnly="0" labelOnly="1" outline="0" axis="axisValues" fieldPosition="0"/>
    </format>
    <format dxfId="303">
      <pivotArea type="all" dataOnly="0" outline="0" fieldPosition="0"/>
    </format>
    <format dxfId="302">
      <pivotArea outline="0" collapsedLevelsAreSubtotals="1" fieldPosition="0"/>
    </format>
    <format dxfId="301">
      <pivotArea field="0" type="button" dataOnly="0" labelOnly="1" outline="0" axis="axisRow" fieldPosition="0"/>
    </format>
    <format dxfId="300">
      <pivotArea dataOnly="0" labelOnly="1" fieldPosition="0">
        <references count="1">
          <reference field="0" count="0"/>
        </references>
      </pivotArea>
    </format>
    <format dxfId="299">
      <pivotArea dataOnly="0" labelOnly="1" grandRow="1" outline="0" fieldPosition="0"/>
    </format>
    <format dxfId="298">
      <pivotArea dataOnly="0" labelOnly="1" outline="0" axis="axisValues" fieldPosition="0"/>
    </format>
    <format dxfId="297">
      <pivotArea type="all" dataOnly="0" outline="0" fieldPosition="0"/>
    </format>
    <format dxfId="296">
      <pivotArea outline="0" collapsedLevelsAreSubtotals="1" fieldPosition="0"/>
    </format>
    <format dxfId="295">
      <pivotArea field="0" type="button" dataOnly="0" labelOnly="1" outline="0" axis="axisRow" fieldPosition="0"/>
    </format>
    <format dxfId="294">
      <pivotArea dataOnly="0" labelOnly="1" fieldPosition="0">
        <references count="1">
          <reference field="0" count="0"/>
        </references>
      </pivotArea>
    </format>
    <format dxfId="293">
      <pivotArea dataOnly="0" labelOnly="1" grandRow="1" outline="0" fieldPosition="0"/>
    </format>
    <format dxfId="292">
      <pivotArea dataOnly="0" labelOnly="1" outline="0" axis="axisValues" fieldPosition="0"/>
    </format>
    <format dxfId="291">
      <pivotArea type="all" dataOnly="0" outline="0" fieldPosition="0"/>
    </format>
    <format dxfId="290">
      <pivotArea outline="0" collapsedLevelsAreSubtotals="1" fieldPosition="0"/>
    </format>
    <format dxfId="289">
      <pivotArea field="0" type="button" dataOnly="0" labelOnly="1" outline="0" axis="axisRow" fieldPosition="0"/>
    </format>
    <format dxfId="288">
      <pivotArea dataOnly="0" labelOnly="1" fieldPosition="0">
        <references count="1">
          <reference field="0" count="0"/>
        </references>
      </pivotArea>
    </format>
    <format dxfId="287">
      <pivotArea dataOnly="0" labelOnly="1" grandRow="1" outline="0" fieldPosition="0"/>
    </format>
    <format dxfId="286">
      <pivotArea dataOnly="0" labelOnly="1" outline="0" axis="axisValues" fieldPosition="0"/>
    </format>
    <format dxfId="285">
      <pivotArea type="all" dataOnly="0" outline="0" fieldPosition="0"/>
    </format>
    <format dxfId="284">
      <pivotArea outline="0" collapsedLevelsAreSubtotals="1" fieldPosition="0"/>
    </format>
    <format dxfId="283">
      <pivotArea field="0" type="button" dataOnly="0" labelOnly="1" outline="0" axis="axisRow" fieldPosition="0"/>
    </format>
    <format dxfId="282">
      <pivotArea dataOnly="0" labelOnly="1" fieldPosition="0">
        <references count="1">
          <reference field="0" count="0"/>
        </references>
      </pivotArea>
    </format>
    <format dxfId="281">
      <pivotArea dataOnly="0" labelOnly="1" grandRow="1" outline="0" fieldPosition="0"/>
    </format>
    <format dxfId="280">
      <pivotArea dataOnly="0" labelOnly="1" outline="0" axis="axisValues" fieldPosition="0"/>
    </format>
    <format dxfId="279">
      <pivotArea type="all" dataOnly="0" outline="0" fieldPosition="0"/>
    </format>
    <format dxfId="278">
      <pivotArea outline="0" collapsedLevelsAreSubtotals="1" fieldPosition="0"/>
    </format>
    <format dxfId="277">
      <pivotArea field="0" type="button" dataOnly="0" labelOnly="1" outline="0" axis="axisRow" fieldPosition="0"/>
    </format>
    <format dxfId="276">
      <pivotArea dataOnly="0" labelOnly="1" fieldPosition="0">
        <references count="1">
          <reference field="0" count="0"/>
        </references>
      </pivotArea>
    </format>
    <format dxfId="275">
      <pivotArea dataOnly="0" labelOnly="1" grandRow="1" outline="0" fieldPosition="0"/>
    </format>
    <format dxfId="274">
      <pivotArea dataOnly="0" labelOnly="1" outline="0" axis="axisValues" fieldPosition="0"/>
    </format>
    <format dxfId="273">
      <pivotArea type="all" dataOnly="0" outline="0" fieldPosition="0"/>
    </format>
    <format dxfId="272">
      <pivotArea outline="0" collapsedLevelsAreSubtotals="1" fieldPosition="0"/>
    </format>
    <format dxfId="271">
      <pivotArea field="0" type="button" dataOnly="0" labelOnly="1" outline="0" axis="axisRow" fieldPosition="0"/>
    </format>
    <format dxfId="270">
      <pivotArea dataOnly="0" labelOnly="1" fieldPosition="0">
        <references count="1">
          <reference field="0" count="0"/>
        </references>
      </pivotArea>
    </format>
    <format dxfId="269">
      <pivotArea dataOnly="0" labelOnly="1" grandRow="1" outline="0" fieldPosition="0"/>
    </format>
    <format dxfId="268">
      <pivotArea dataOnly="0" labelOnly="1" outline="0" axis="axisValues" fieldPosition="0"/>
    </format>
    <format dxfId="267">
      <pivotArea type="all" dataOnly="0" outline="0" fieldPosition="0"/>
    </format>
    <format dxfId="266">
      <pivotArea outline="0" collapsedLevelsAreSubtotals="1" fieldPosition="0"/>
    </format>
    <format dxfId="265">
      <pivotArea field="0" type="button" dataOnly="0" labelOnly="1" outline="0" axis="axisRow" fieldPosition="0"/>
    </format>
    <format dxfId="264">
      <pivotArea dataOnly="0" labelOnly="1" fieldPosition="0">
        <references count="1">
          <reference field="0" count="0"/>
        </references>
      </pivotArea>
    </format>
    <format dxfId="263">
      <pivotArea dataOnly="0" labelOnly="1" grandRow="1" outline="0" fieldPosition="0"/>
    </format>
    <format dxfId="262">
      <pivotArea dataOnly="0" labelOnly="1" outline="0" axis="axisValues" fieldPosition="0"/>
    </format>
  </formats>
  <chartFormats count="17">
    <chartFormat chart="30" format="0" series="1">
      <pivotArea type="data" outline="0" fieldPosition="0">
        <references count="1">
          <reference field="4294967294" count="1" selected="0">
            <x v="0"/>
          </reference>
        </references>
      </pivotArea>
    </chartFormat>
    <chartFormat chart="36" format="0" series="1">
      <pivotArea type="data" outline="0" fieldPosition="0">
        <references count="1">
          <reference field="4294967294" count="1" selected="0">
            <x v="0"/>
          </reference>
        </references>
      </pivotArea>
    </chartFormat>
    <chartFormat chart="37" format="1" series="1">
      <pivotArea type="data" outline="0" fieldPosition="0">
        <references count="1">
          <reference field="4294967294" count="1" selected="0">
            <x v="0"/>
          </reference>
        </references>
      </pivotArea>
    </chartFormat>
    <chartFormat chart="37" format="2">
      <pivotArea type="data" outline="0" fieldPosition="0">
        <references count="2">
          <reference field="4294967294" count="1" selected="0">
            <x v="0"/>
          </reference>
          <reference field="0" count="1" selected="0">
            <x v="0"/>
          </reference>
        </references>
      </pivotArea>
    </chartFormat>
    <chartFormat chart="37" format="3">
      <pivotArea type="data" outline="0" fieldPosition="0">
        <references count="2">
          <reference field="4294967294" count="1" selected="0">
            <x v="0"/>
          </reference>
          <reference field="0" count="1" selected="0">
            <x v="1"/>
          </reference>
        </references>
      </pivotArea>
    </chartFormat>
    <chartFormat chart="37" format="4">
      <pivotArea type="data" outline="0" fieldPosition="0">
        <references count="2">
          <reference field="4294967294" count="1" selected="0">
            <x v="0"/>
          </reference>
          <reference field="0" count="1" selected="0">
            <x v="2"/>
          </reference>
        </references>
      </pivotArea>
    </chartFormat>
    <chartFormat chart="37" format="5">
      <pivotArea type="data" outline="0" fieldPosition="0">
        <references count="2">
          <reference field="4294967294" count="1" selected="0">
            <x v="0"/>
          </reference>
          <reference field="0" count="1" selected="0">
            <x v="3"/>
          </reference>
        </references>
      </pivotArea>
    </chartFormat>
    <chartFormat chart="38" format="6" series="1">
      <pivotArea type="data" outline="0" fieldPosition="0">
        <references count="1">
          <reference field="4294967294" count="1" selected="0">
            <x v="0"/>
          </reference>
        </references>
      </pivotArea>
    </chartFormat>
    <chartFormat chart="38" format="7">
      <pivotArea type="data" outline="0" fieldPosition="0">
        <references count="2">
          <reference field="4294967294" count="1" selected="0">
            <x v="0"/>
          </reference>
          <reference field="0" count="1" selected="0">
            <x v="0"/>
          </reference>
        </references>
      </pivotArea>
    </chartFormat>
    <chartFormat chart="38" format="8">
      <pivotArea type="data" outline="0" fieldPosition="0">
        <references count="2">
          <reference field="4294967294" count="1" selected="0">
            <x v="0"/>
          </reference>
          <reference field="0" count="1" selected="0">
            <x v="1"/>
          </reference>
        </references>
      </pivotArea>
    </chartFormat>
    <chartFormat chart="38" format="9">
      <pivotArea type="data" outline="0" fieldPosition="0">
        <references count="2">
          <reference field="4294967294" count="1" selected="0">
            <x v="0"/>
          </reference>
          <reference field="0" count="1" selected="0">
            <x v="2"/>
          </reference>
        </references>
      </pivotArea>
    </chartFormat>
    <chartFormat chart="38" format="10">
      <pivotArea type="data" outline="0" fieldPosition="0">
        <references count="2">
          <reference field="4294967294" count="1" selected="0">
            <x v="0"/>
          </reference>
          <reference field="0" count="1" selected="0">
            <x v="3"/>
          </reference>
        </references>
      </pivotArea>
    </chartFormat>
    <chartFormat chart="39" format="6" series="1">
      <pivotArea type="data" outline="0" fieldPosition="0">
        <references count="1">
          <reference field="4294967294" count="1" selected="0">
            <x v="0"/>
          </reference>
        </references>
      </pivotArea>
    </chartFormat>
    <chartFormat chart="39" format="7">
      <pivotArea type="data" outline="0" fieldPosition="0">
        <references count="2">
          <reference field="4294967294" count="1" selected="0">
            <x v="0"/>
          </reference>
          <reference field="0" count="1" selected="0">
            <x v="0"/>
          </reference>
        </references>
      </pivotArea>
    </chartFormat>
    <chartFormat chart="39" format="8">
      <pivotArea type="data" outline="0" fieldPosition="0">
        <references count="2">
          <reference field="4294967294" count="1" selected="0">
            <x v="0"/>
          </reference>
          <reference field="0" count="1" selected="0">
            <x v="1"/>
          </reference>
        </references>
      </pivotArea>
    </chartFormat>
    <chartFormat chart="39" format="9">
      <pivotArea type="data" outline="0" fieldPosition="0">
        <references count="2">
          <reference field="4294967294" count="1" selected="0">
            <x v="0"/>
          </reference>
          <reference field="0" count="1" selected="0">
            <x v="2"/>
          </reference>
        </references>
      </pivotArea>
    </chartFormat>
    <chartFormat chart="39" format="10">
      <pivotArea type="data" outline="0" fieldPosition="0">
        <references count="2">
          <reference field="4294967294" count="1" selected="0">
            <x v="0"/>
          </reference>
          <reference field="0" count="1" selected="0">
            <x v="3"/>
          </reference>
        </references>
      </pivotArea>
    </chartFormat>
  </chartFormats>
  <pivotHierarchies count="53">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Sales %"/>
    <pivotHierarchy dragToData="1" caption="Quantity %"/>
    <pivotHierarchy dragToData="1" caption="Profit %"/>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7" showRowHeaders="1" showColHeaders="1" showRowStripes="0" showColStripes="0" showLastColumn="1"/>
  <rowHierarchiesUsage count="1">
    <rowHierarchyUsage hierarchyUsage="1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uperstore Raw Data.xlsx!Table_1">
        <x15:activeTabTopLevelEntity name="[Table_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91B94722-0470-49B3-94AE-CB3C09F55F33}" name="Distribution_TopLossProducts" cacheId="8" applyNumberFormats="0" applyBorderFormats="0" applyFontFormats="0" applyPatternFormats="0" applyAlignmentFormats="0" applyWidthHeightFormats="1" dataCaption="Values" updatedVersion="8" minRefreshableVersion="3" useAutoFormatting="1" subtotalHiddenItems="1" rowGrandTotals="0" itemPrintTitles="1" createdVersion="8" indent="0" outline="1" outlineData="1" multipleFieldFilters="0" rowHeaderCaption="Product Name">
  <location ref="CJ23:CL26" firstHeaderRow="0" firstDataRow="1" firstDataCol="1"/>
  <pivotFields count="4">
    <pivotField axis="axisRow" allDrilled="1" subtotalTop="0" showAll="0" measureFilter="1" sortType="ascending" defaultSubtotal="0" defaultAttributeDrillState="1">
      <items count="3">
        <item x="0"/>
        <item x="1"/>
        <item x="2"/>
      </items>
      <autoSortScope>
        <pivotArea dataOnly="0" outline="0" fieldPosition="0">
          <references count="1">
            <reference field="4294967294" count="1" selected="0">
              <x v="0"/>
            </reference>
          </references>
        </pivotArea>
      </autoSortScope>
    </pivotField>
    <pivotField dataField="1" subtotalTop="0" showAll="0" defaultSubtotal="0"/>
    <pivotField dataField="1" subtotalTop="0" showAll="0" defaultSubtotal="0"/>
    <pivotField allDrilled="1" subtotalTop="0" showAll="0" dataSourceSort="1" defaultSubtotal="0" defaultAttributeDrillState="1"/>
  </pivotFields>
  <rowFields count="1">
    <field x="0"/>
  </rowFields>
  <rowItems count="3">
    <i>
      <x v="2"/>
    </i>
    <i>
      <x/>
    </i>
    <i>
      <x v="1"/>
    </i>
  </rowItems>
  <colFields count="1">
    <field x="-2"/>
  </colFields>
  <colItems count="2">
    <i>
      <x/>
    </i>
    <i i="1">
      <x v="1"/>
    </i>
  </colItems>
  <dataFields count="2">
    <dataField name="Profit" fld="2" baseField="0" baseItem="0" numFmtId="168"/>
    <dataField name="Quantity" fld="1" baseField="0" baseItem="0"/>
  </dataFields>
  <formats count="17">
    <format dxfId="333">
      <pivotArea outline="0" collapsedLevelsAreSubtotals="1" fieldPosition="0">
        <references count="1">
          <reference field="4294967294" count="1" selected="0">
            <x v="0"/>
          </reference>
        </references>
      </pivotArea>
    </format>
    <format dxfId="332">
      <pivotArea dataOnly="0" labelOnly="1" outline="0" fieldPosition="0">
        <references count="1">
          <reference field="4294967294" count="1">
            <x v="0"/>
          </reference>
        </references>
      </pivotArea>
    </format>
    <format dxfId="331">
      <pivotArea type="all" dataOnly="0" outline="0" fieldPosition="0"/>
    </format>
    <format dxfId="330">
      <pivotArea outline="0" collapsedLevelsAreSubtotals="1" fieldPosition="0"/>
    </format>
    <format dxfId="329">
      <pivotArea field="0" type="button" dataOnly="0" labelOnly="1" outline="0" axis="axisRow" fieldPosition="0"/>
    </format>
    <format dxfId="328">
      <pivotArea dataOnly="0" labelOnly="1" fieldPosition="0">
        <references count="1">
          <reference field="0" count="0"/>
        </references>
      </pivotArea>
    </format>
    <format dxfId="327">
      <pivotArea dataOnly="0" labelOnly="1" outline="0" fieldPosition="0">
        <references count="1">
          <reference field="4294967294" count="2">
            <x v="0"/>
            <x v="1"/>
          </reference>
        </references>
      </pivotArea>
    </format>
    <format dxfId="326">
      <pivotArea type="all" dataOnly="0" outline="0" fieldPosition="0"/>
    </format>
    <format dxfId="325">
      <pivotArea outline="0" collapsedLevelsAreSubtotals="1" fieldPosition="0"/>
    </format>
    <format dxfId="324">
      <pivotArea field="0" type="button" dataOnly="0" labelOnly="1" outline="0" axis="axisRow" fieldPosition="0"/>
    </format>
    <format dxfId="323">
      <pivotArea dataOnly="0" labelOnly="1" fieldPosition="0">
        <references count="1">
          <reference field="0" count="0"/>
        </references>
      </pivotArea>
    </format>
    <format dxfId="322">
      <pivotArea dataOnly="0" labelOnly="1" outline="0" fieldPosition="0">
        <references count="1">
          <reference field="4294967294" count="2">
            <x v="0"/>
            <x v="1"/>
          </reference>
        </references>
      </pivotArea>
    </format>
    <format dxfId="321">
      <pivotArea type="all" dataOnly="0" outline="0" fieldPosition="0"/>
    </format>
    <format dxfId="320">
      <pivotArea outline="0" collapsedLevelsAreSubtotals="1" fieldPosition="0"/>
    </format>
    <format dxfId="319">
      <pivotArea field="0" type="button" dataOnly="0" labelOnly="1" outline="0" axis="axisRow" fieldPosition="0"/>
    </format>
    <format dxfId="318">
      <pivotArea dataOnly="0" labelOnly="1" fieldPosition="0">
        <references count="1">
          <reference field="0" count="0"/>
        </references>
      </pivotArea>
    </format>
    <format dxfId="317">
      <pivotArea dataOnly="0" labelOnly="1" outline="0" fieldPosition="0">
        <references count="1">
          <reference field="4294967294" count="2">
            <x v="0"/>
            <x v="1"/>
          </reference>
        </references>
      </pivotArea>
    </format>
  </formats>
  <pivotHierarchies count="53">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caption="Quantity"/>
    <pivotHierarchy dragToData="1" caption="Profit"/>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1">
    <filter fld="0" type="count" id="3" iMeasureHier="40">
      <autoFilter ref="A1">
        <filterColumn colId="0">
          <top10 top="0" val="3" filterVal="3"/>
        </filterColumn>
      </autoFilter>
    </filter>
  </filters>
  <rowHierarchiesUsage count="1">
    <rowHierarchyUsage hierarchyUsage="11"/>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able_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D98F7B23-6170-416C-B638-C60923186402}" name="Sales&amp;Profit_BarChart" cacheId="17" applyNumberFormats="0" applyBorderFormats="0" applyFontFormats="0" applyPatternFormats="0" applyAlignmentFormats="0" applyWidthHeightFormats="1" dataCaption="Values" tag="c6d8c68b-c2ed-46c6-92a7-0edbcf960931" updatedVersion="8" minRefreshableVersion="3" subtotalHiddenItems="1" itemPrintTitles="1" createdVersion="8" indent="0" outline="1" outlineData="1" multipleFieldFilters="0" chartFormat="37" rowHeaderCaption="Product Sub-Category">
  <location ref="F27:G34" firstHeaderRow="1" firstDataRow="1" firstDataCol="1"/>
  <pivotFields count="3">
    <pivotField axis="axisRow" allDrilled="1" subtotalTop="0" showAll="0" dataSourceSort="1" defaultSubtotal="0" defaultAttributeDrillState="1">
      <items count="6">
        <item x="0"/>
        <item x="1"/>
        <item x="2"/>
        <item x="3"/>
        <item x="4"/>
        <item x="5"/>
      </items>
    </pivotField>
    <pivotField dataField="1" subtotalTop="0" showAll="0" defaultSubtotal="0"/>
    <pivotField allDrilled="1" subtotalTop="0" showAll="0" dataSourceSort="1" defaultSubtotal="0" defaultAttributeDrillState="1"/>
  </pivotFields>
  <rowFields count="1">
    <field x="0"/>
  </rowFields>
  <rowItems count="7">
    <i>
      <x/>
    </i>
    <i>
      <x v="1"/>
    </i>
    <i>
      <x v="2"/>
    </i>
    <i>
      <x v="3"/>
    </i>
    <i>
      <x v="4"/>
    </i>
    <i>
      <x v="5"/>
    </i>
    <i t="grand">
      <x/>
    </i>
  </rowItems>
  <colItems count="1">
    <i/>
  </colItems>
  <dataFields count="1">
    <dataField name="Sum of Profit" fld="1" baseField="0" baseItem="0" numFmtId="165"/>
  </dataFields>
  <formats count="56">
    <format dxfId="389">
      <pivotArea collapsedLevelsAreSubtotals="1" fieldPosition="0">
        <references count="1">
          <reference field="0" count="1">
            <x v="2"/>
          </reference>
        </references>
      </pivotArea>
    </format>
    <format dxfId="388">
      <pivotArea outline="0" collapsedLevelsAreSubtotals="1" fieldPosition="0"/>
    </format>
    <format dxfId="387">
      <pivotArea type="all" dataOnly="0" outline="0" fieldPosition="0"/>
    </format>
    <format dxfId="386">
      <pivotArea outline="0" collapsedLevelsAreSubtotals="1" fieldPosition="0"/>
    </format>
    <format dxfId="385">
      <pivotArea field="0" type="button" dataOnly="0" labelOnly="1" outline="0" axis="axisRow" fieldPosition="0"/>
    </format>
    <format dxfId="384">
      <pivotArea dataOnly="0" labelOnly="1" fieldPosition="0">
        <references count="1">
          <reference field="0" count="0"/>
        </references>
      </pivotArea>
    </format>
    <format dxfId="383">
      <pivotArea dataOnly="0" labelOnly="1" grandRow="1" outline="0" fieldPosition="0"/>
    </format>
    <format dxfId="382">
      <pivotArea dataOnly="0" labelOnly="1" outline="0" axis="axisValues" fieldPosition="0"/>
    </format>
    <format dxfId="381">
      <pivotArea type="all" dataOnly="0" outline="0" fieldPosition="0"/>
    </format>
    <format dxfId="380">
      <pivotArea outline="0" collapsedLevelsAreSubtotals="1" fieldPosition="0"/>
    </format>
    <format dxfId="379">
      <pivotArea field="0" type="button" dataOnly="0" labelOnly="1" outline="0" axis="axisRow" fieldPosition="0"/>
    </format>
    <format dxfId="378">
      <pivotArea dataOnly="0" labelOnly="1" fieldPosition="0">
        <references count="1">
          <reference field="0" count="0"/>
        </references>
      </pivotArea>
    </format>
    <format dxfId="377">
      <pivotArea dataOnly="0" labelOnly="1" grandRow="1" outline="0" fieldPosition="0"/>
    </format>
    <format dxfId="376">
      <pivotArea dataOnly="0" labelOnly="1" outline="0" axis="axisValues" fieldPosition="0"/>
    </format>
    <format dxfId="375">
      <pivotArea type="all" dataOnly="0" outline="0" fieldPosition="0"/>
    </format>
    <format dxfId="374">
      <pivotArea outline="0" collapsedLevelsAreSubtotals="1" fieldPosition="0"/>
    </format>
    <format dxfId="373">
      <pivotArea field="0" type="button" dataOnly="0" labelOnly="1" outline="0" axis="axisRow" fieldPosition="0"/>
    </format>
    <format dxfId="372">
      <pivotArea dataOnly="0" labelOnly="1" fieldPosition="0">
        <references count="1">
          <reference field="0" count="0"/>
        </references>
      </pivotArea>
    </format>
    <format dxfId="371">
      <pivotArea dataOnly="0" labelOnly="1" grandRow="1" outline="0" fieldPosition="0"/>
    </format>
    <format dxfId="370">
      <pivotArea dataOnly="0" labelOnly="1" outline="0" axis="axisValues" fieldPosition="0"/>
    </format>
    <format dxfId="369">
      <pivotArea type="all" dataOnly="0" outline="0" fieldPosition="0"/>
    </format>
    <format dxfId="368">
      <pivotArea outline="0" collapsedLevelsAreSubtotals="1" fieldPosition="0"/>
    </format>
    <format dxfId="367">
      <pivotArea field="0" type="button" dataOnly="0" labelOnly="1" outline="0" axis="axisRow" fieldPosition="0"/>
    </format>
    <format dxfId="366">
      <pivotArea dataOnly="0" labelOnly="1" fieldPosition="0">
        <references count="1">
          <reference field="0" count="1">
            <x v="1"/>
          </reference>
        </references>
      </pivotArea>
    </format>
    <format dxfId="365">
      <pivotArea dataOnly="0" labelOnly="1" grandRow="1" outline="0" fieldPosition="0"/>
    </format>
    <format dxfId="364">
      <pivotArea dataOnly="0" labelOnly="1" outline="0" axis="axisValues" fieldPosition="0"/>
    </format>
    <format dxfId="363">
      <pivotArea type="all" dataOnly="0" outline="0" fieldPosition="0"/>
    </format>
    <format dxfId="362">
      <pivotArea outline="0" collapsedLevelsAreSubtotals="1" fieldPosition="0"/>
    </format>
    <format dxfId="361">
      <pivotArea field="0" type="button" dataOnly="0" labelOnly="1" outline="0" axis="axisRow" fieldPosition="0"/>
    </format>
    <format dxfId="360">
      <pivotArea dataOnly="0" labelOnly="1" fieldPosition="0">
        <references count="1">
          <reference field="0" count="0"/>
        </references>
      </pivotArea>
    </format>
    <format dxfId="359">
      <pivotArea dataOnly="0" labelOnly="1" grandRow="1" outline="0" fieldPosition="0"/>
    </format>
    <format dxfId="358">
      <pivotArea dataOnly="0" labelOnly="1" outline="0" axis="axisValues" fieldPosition="0"/>
    </format>
    <format dxfId="357">
      <pivotArea type="all" dataOnly="0" outline="0" fieldPosition="0"/>
    </format>
    <format dxfId="356">
      <pivotArea outline="0" collapsedLevelsAreSubtotals="1" fieldPosition="0"/>
    </format>
    <format dxfId="355">
      <pivotArea field="0" type="button" dataOnly="0" labelOnly="1" outline="0" axis="axisRow" fieldPosition="0"/>
    </format>
    <format dxfId="354">
      <pivotArea dataOnly="0" labelOnly="1" fieldPosition="0">
        <references count="1">
          <reference field="0" count="0"/>
        </references>
      </pivotArea>
    </format>
    <format dxfId="353">
      <pivotArea dataOnly="0" labelOnly="1" grandRow="1" outline="0" fieldPosition="0"/>
    </format>
    <format dxfId="352">
      <pivotArea dataOnly="0" labelOnly="1" outline="0" axis="axisValues" fieldPosition="0"/>
    </format>
    <format dxfId="351">
      <pivotArea type="all" dataOnly="0" outline="0" fieldPosition="0"/>
    </format>
    <format dxfId="350">
      <pivotArea outline="0" collapsedLevelsAreSubtotals="1" fieldPosition="0"/>
    </format>
    <format dxfId="349">
      <pivotArea field="0" type="button" dataOnly="0" labelOnly="1" outline="0" axis="axisRow" fieldPosition="0"/>
    </format>
    <format dxfId="348">
      <pivotArea dataOnly="0" labelOnly="1" fieldPosition="0">
        <references count="1">
          <reference field="0" count="0"/>
        </references>
      </pivotArea>
    </format>
    <format dxfId="347">
      <pivotArea dataOnly="0" labelOnly="1" grandRow="1" outline="0" fieldPosition="0"/>
    </format>
    <format dxfId="346">
      <pivotArea dataOnly="0" labelOnly="1" outline="0" axis="axisValues" fieldPosition="0"/>
    </format>
    <format dxfId="345">
      <pivotArea type="all" dataOnly="0" outline="0" fieldPosition="0"/>
    </format>
    <format dxfId="344">
      <pivotArea outline="0" collapsedLevelsAreSubtotals="1" fieldPosition="0"/>
    </format>
    <format dxfId="343">
      <pivotArea field="0" type="button" dataOnly="0" labelOnly="1" outline="0" axis="axisRow" fieldPosition="0"/>
    </format>
    <format dxfId="342">
      <pivotArea dataOnly="0" labelOnly="1" fieldPosition="0">
        <references count="1">
          <reference field="0" count="0"/>
        </references>
      </pivotArea>
    </format>
    <format dxfId="341">
      <pivotArea dataOnly="0" labelOnly="1" grandRow="1" outline="0" fieldPosition="0"/>
    </format>
    <format dxfId="340">
      <pivotArea dataOnly="0" labelOnly="1" outline="0" axis="axisValues" fieldPosition="0"/>
    </format>
    <format dxfId="339">
      <pivotArea type="all" dataOnly="0" outline="0" fieldPosition="0"/>
    </format>
    <format dxfId="338">
      <pivotArea outline="0" collapsedLevelsAreSubtotals="1" fieldPosition="0"/>
    </format>
    <format dxfId="337">
      <pivotArea field="0" type="button" dataOnly="0" labelOnly="1" outline="0" axis="axisRow" fieldPosition="0"/>
    </format>
    <format dxfId="336">
      <pivotArea dataOnly="0" labelOnly="1" fieldPosition="0">
        <references count="1">
          <reference field="0" count="0"/>
        </references>
      </pivotArea>
    </format>
    <format dxfId="335">
      <pivotArea dataOnly="0" labelOnly="1" grandRow="1" outline="0" fieldPosition="0"/>
    </format>
    <format dxfId="334">
      <pivotArea dataOnly="0" labelOnly="1" outline="0" axis="axisValues" fieldPosition="0"/>
    </format>
  </formats>
  <chartFormats count="2">
    <chartFormat chart="24" format="2" series="1">
      <pivotArea type="data" outline="0" fieldPosition="0">
        <references count="1">
          <reference field="4294967294" count="1" selected="0">
            <x v="0"/>
          </reference>
        </references>
      </pivotArea>
    </chartFormat>
    <chartFormat chart="27" format="4" series="1">
      <pivotArea type="data" outline="0" fieldPosition="0">
        <references count="1">
          <reference field="4294967294" count="1" selected="0">
            <x v="0"/>
          </reference>
        </references>
      </pivotArea>
    </chartFormat>
  </chartFormats>
  <pivotHierarchies count="53">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Sales %"/>
    <pivotHierarchy dragToData="1" caption="Quantity %"/>
    <pivotHierarchy dragToData="1" caption="Profit %"/>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7" showRowHeaders="1" showColHeaders="1" showRowStripes="0" showColStripes="0" showLastColumn="1"/>
  <rowHierarchiesUsage count="1">
    <rowHierarchyUsage hierarchyUsage="3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uperstore Raw Data.xlsx!Table_1">
        <x15:activeTabTopLevelEntity name="[Table_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C69972ED-67BF-4A81-BC99-F7CA01873D35}" name="Trends_LineChart+Matrix" cacheId="1" dataPosition="0" applyNumberFormats="0" applyBorderFormats="0" applyFontFormats="0" applyPatternFormats="0" applyAlignmentFormats="0" applyWidthHeightFormats="1" dataCaption="Values" tag="1395335c-2faa-47d5-aefa-2e3b6844d6d4" updatedVersion="8" minRefreshableVersion="3" subtotalHiddenItems="1" rowGrandTotals="0" itemPrintTitles="1" createdVersion="8" indent="0" compact="0" compactData="0" gridDropZones="1" multipleFieldFilters="0" chartFormat="12" rowHeaderCaption="Month/Date">
  <location ref="AL5:AP185" firstHeaderRow="1" firstDataRow="2" firstDataCol="2"/>
  <pivotFields count="6">
    <pivotField axis="axisRow" compact="0" allDrilled="1" outline="0" subtotalTop="0" showAll="0" dataSourceSort="1" defaultSubtotal="0" defaultAttributeDrillState="1">
      <items count="6">
        <item x="0"/>
        <item x="1"/>
        <item x="2"/>
        <item x="3"/>
        <item x="4"/>
        <item x="5"/>
      </items>
    </pivotField>
    <pivotField axis="axisRow" compact="0" allDrilled="1" outline="0" subtotalTop="0" showAll="0" dataSourceSort="1" defaultSubtotal="0" defaultAttributeDrillState="1">
      <items count="17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s>
    </pivotField>
    <pivotField dataField="1" compact="0" outline="0" subtotalTop="0" showAll="0" defaultSubtotal="0"/>
    <pivotField dataField="1" compact="0" outline="0" subtotalTop="0" showAll="0" defaultSubtotal="0"/>
    <pivotField dataField="1" compact="0" outline="0" subtotalTop="0" showAll="0" defaultSubtotal="0"/>
    <pivotField compact="0" allDrilled="1" outline="0" subtotalTop="0" showAll="0" dataSourceSort="1" defaultSubtotal="0" defaultAttributeDrillState="1"/>
  </pivotFields>
  <rowFields count="2">
    <field x="0"/>
    <field x="1"/>
  </rowFields>
  <rowItems count="179">
    <i>
      <x/>
      <x/>
    </i>
    <i r="1">
      <x v="1"/>
    </i>
    <i r="1">
      <x v="2"/>
    </i>
    <i r="1">
      <x v="3"/>
    </i>
    <i r="1">
      <x v="4"/>
    </i>
    <i r="1">
      <x v="5"/>
    </i>
    <i r="1">
      <x v="6"/>
    </i>
    <i r="1">
      <x v="7"/>
    </i>
    <i r="1">
      <x v="8"/>
    </i>
    <i r="1">
      <x v="9"/>
    </i>
    <i r="1">
      <x v="10"/>
    </i>
    <i r="1">
      <x v="11"/>
    </i>
    <i r="1">
      <x v="12"/>
    </i>
    <i r="1">
      <x v="13"/>
    </i>
    <i r="1">
      <x v="14"/>
    </i>
    <i r="1">
      <x v="15"/>
    </i>
    <i r="1">
      <x v="16"/>
    </i>
    <i r="1">
      <x v="17"/>
    </i>
    <i r="1">
      <x v="18"/>
    </i>
    <i r="1">
      <x v="19"/>
    </i>
    <i r="1">
      <x v="20"/>
    </i>
    <i r="1">
      <x v="21"/>
    </i>
    <i r="1">
      <x v="22"/>
    </i>
    <i r="1">
      <x v="23"/>
    </i>
    <i r="1">
      <x v="24"/>
    </i>
    <i r="1">
      <x v="25"/>
    </i>
    <i r="1">
      <x v="26"/>
    </i>
    <i r="1">
      <x v="27"/>
    </i>
    <i r="1">
      <x v="28"/>
    </i>
    <i r="1">
      <x v="29"/>
    </i>
    <i r="1">
      <x v="30"/>
    </i>
    <i>
      <x v="1"/>
      <x v="31"/>
    </i>
    <i r="1">
      <x v="32"/>
    </i>
    <i r="1">
      <x v="33"/>
    </i>
    <i r="1">
      <x v="34"/>
    </i>
    <i r="1">
      <x v="35"/>
    </i>
    <i r="1">
      <x v="36"/>
    </i>
    <i r="1">
      <x v="37"/>
    </i>
    <i r="1">
      <x v="38"/>
    </i>
    <i r="1">
      <x v="39"/>
    </i>
    <i r="1">
      <x v="40"/>
    </i>
    <i r="1">
      <x v="41"/>
    </i>
    <i r="1">
      <x v="42"/>
    </i>
    <i r="1">
      <x v="43"/>
    </i>
    <i r="1">
      <x v="44"/>
    </i>
    <i r="1">
      <x v="45"/>
    </i>
    <i r="1">
      <x v="46"/>
    </i>
    <i r="1">
      <x v="47"/>
    </i>
    <i r="1">
      <x v="48"/>
    </i>
    <i r="1">
      <x v="49"/>
    </i>
    <i r="1">
      <x v="50"/>
    </i>
    <i r="1">
      <x v="51"/>
    </i>
    <i r="1">
      <x v="52"/>
    </i>
    <i r="1">
      <x v="53"/>
    </i>
    <i r="1">
      <x v="54"/>
    </i>
    <i r="1">
      <x v="55"/>
    </i>
    <i r="1">
      <x v="56"/>
    </i>
    <i r="1">
      <x v="57"/>
    </i>
    <i r="1">
      <x v="58"/>
    </i>
    <i>
      <x v="2"/>
      <x v="59"/>
    </i>
    <i r="1">
      <x v="60"/>
    </i>
    <i r="1">
      <x v="61"/>
    </i>
    <i r="1">
      <x v="62"/>
    </i>
    <i r="1">
      <x v="63"/>
    </i>
    <i r="1">
      <x v="64"/>
    </i>
    <i r="1">
      <x v="65"/>
    </i>
    <i r="1">
      <x v="66"/>
    </i>
    <i r="1">
      <x v="67"/>
    </i>
    <i r="1">
      <x v="68"/>
    </i>
    <i r="1">
      <x v="69"/>
    </i>
    <i r="1">
      <x v="70"/>
    </i>
    <i r="1">
      <x v="71"/>
    </i>
    <i r="1">
      <x v="72"/>
    </i>
    <i r="1">
      <x v="73"/>
    </i>
    <i r="1">
      <x v="74"/>
    </i>
    <i r="1">
      <x v="75"/>
    </i>
    <i r="1">
      <x v="76"/>
    </i>
    <i r="1">
      <x v="77"/>
    </i>
    <i r="1">
      <x v="78"/>
    </i>
    <i r="1">
      <x v="79"/>
    </i>
    <i r="1">
      <x v="80"/>
    </i>
    <i r="1">
      <x v="81"/>
    </i>
    <i r="1">
      <x v="82"/>
    </i>
    <i r="1">
      <x v="83"/>
    </i>
    <i r="1">
      <x v="84"/>
    </i>
    <i r="1">
      <x v="85"/>
    </i>
    <i r="1">
      <x v="86"/>
    </i>
    <i r="1">
      <x v="87"/>
    </i>
    <i r="1">
      <x v="88"/>
    </i>
    <i r="1">
      <x v="89"/>
    </i>
    <i>
      <x v="3"/>
      <x v="90"/>
    </i>
    <i r="1">
      <x v="91"/>
    </i>
    <i r="1">
      <x v="92"/>
    </i>
    <i r="1">
      <x v="93"/>
    </i>
    <i r="1">
      <x v="94"/>
    </i>
    <i r="1">
      <x v="95"/>
    </i>
    <i r="1">
      <x v="96"/>
    </i>
    <i r="1">
      <x v="97"/>
    </i>
    <i r="1">
      <x v="98"/>
    </i>
    <i r="1">
      <x v="99"/>
    </i>
    <i r="1">
      <x v="100"/>
    </i>
    <i r="1">
      <x v="101"/>
    </i>
    <i r="1">
      <x v="102"/>
    </i>
    <i r="1">
      <x v="103"/>
    </i>
    <i r="1">
      <x v="104"/>
    </i>
    <i r="1">
      <x v="105"/>
    </i>
    <i r="1">
      <x v="106"/>
    </i>
    <i r="1">
      <x v="107"/>
    </i>
    <i r="1">
      <x v="108"/>
    </i>
    <i r="1">
      <x v="109"/>
    </i>
    <i r="1">
      <x v="110"/>
    </i>
    <i r="1">
      <x v="111"/>
    </i>
    <i r="1">
      <x v="112"/>
    </i>
    <i r="1">
      <x v="113"/>
    </i>
    <i r="1">
      <x v="114"/>
    </i>
    <i r="1">
      <x v="115"/>
    </i>
    <i r="1">
      <x v="116"/>
    </i>
    <i r="1">
      <x v="117"/>
    </i>
    <i r="1">
      <x v="118"/>
    </i>
    <i>
      <x v="4"/>
      <x v="119"/>
    </i>
    <i r="1">
      <x v="120"/>
    </i>
    <i r="1">
      <x v="121"/>
    </i>
    <i r="1">
      <x v="122"/>
    </i>
    <i r="1">
      <x v="123"/>
    </i>
    <i r="1">
      <x v="124"/>
    </i>
    <i r="1">
      <x v="125"/>
    </i>
    <i r="1">
      <x v="126"/>
    </i>
    <i r="1">
      <x v="127"/>
    </i>
    <i r="1">
      <x v="128"/>
    </i>
    <i r="1">
      <x v="129"/>
    </i>
    <i r="1">
      <x v="130"/>
    </i>
    <i r="1">
      <x v="131"/>
    </i>
    <i r="1">
      <x v="132"/>
    </i>
    <i r="1">
      <x v="133"/>
    </i>
    <i r="1">
      <x v="134"/>
    </i>
    <i r="1">
      <x v="135"/>
    </i>
    <i r="1">
      <x v="136"/>
    </i>
    <i r="1">
      <x v="137"/>
    </i>
    <i r="1">
      <x v="138"/>
    </i>
    <i r="1">
      <x v="139"/>
    </i>
    <i r="1">
      <x v="140"/>
    </i>
    <i r="1">
      <x v="141"/>
    </i>
    <i r="1">
      <x v="142"/>
    </i>
    <i r="1">
      <x v="143"/>
    </i>
    <i r="1">
      <x v="144"/>
    </i>
    <i r="1">
      <x v="145"/>
    </i>
    <i r="1">
      <x v="146"/>
    </i>
    <i r="1">
      <x v="147"/>
    </i>
    <i r="1">
      <x v="148"/>
    </i>
    <i>
      <x v="5"/>
      <x v="149"/>
    </i>
    <i r="1">
      <x v="150"/>
    </i>
    <i r="1">
      <x v="151"/>
    </i>
    <i r="1">
      <x v="152"/>
    </i>
    <i r="1">
      <x v="153"/>
    </i>
    <i r="1">
      <x v="154"/>
    </i>
    <i r="1">
      <x v="155"/>
    </i>
    <i r="1">
      <x v="156"/>
    </i>
    <i r="1">
      <x v="157"/>
    </i>
    <i r="1">
      <x v="158"/>
    </i>
    <i r="1">
      <x v="159"/>
    </i>
    <i r="1">
      <x v="160"/>
    </i>
    <i r="1">
      <x v="161"/>
    </i>
    <i r="1">
      <x v="162"/>
    </i>
    <i r="1">
      <x v="163"/>
    </i>
    <i r="1">
      <x v="164"/>
    </i>
    <i r="1">
      <x v="165"/>
    </i>
    <i r="1">
      <x v="166"/>
    </i>
    <i r="1">
      <x v="167"/>
    </i>
    <i r="1">
      <x v="168"/>
    </i>
    <i r="1">
      <x v="169"/>
    </i>
    <i r="1">
      <x v="170"/>
    </i>
    <i r="1">
      <x v="171"/>
    </i>
    <i r="1">
      <x v="172"/>
    </i>
    <i r="1">
      <x v="173"/>
    </i>
    <i r="1">
      <x v="174"/>
    </i>
    <i r="1">
      <x v="175"/>
    </i>
    <i r="1">
      <x v="176"/>
    </i>
    <i r="1">
      <x v="177"/>
    </i>
    <i r="1">
      <x v="178"/>
    </i>
  </rowItems>
  <colFields count="1">
    <field x="-2"/>
  </colFields>
  <colItems count="3">
    <i>
      <x/>
    </i>
    <i i="1">
      <x v="1"/>
    </i>
    <i i="2">
      <x v="2"/>
    </i>
  </colItems>
  <dataFields count="3">
    <dataField name="Sales" fld="2" baseField="0" baseItem="0"/>
    <dataField name="Profit" fld="3" baseField="0" baseItem="0"/>
    <dataField name="Sold Quantity" fld="4" baseField="0" baseItem="0"/>
  </dataFields>
  <formats count="156">
    <format dxfId="545">
      <pivotArea type="all" dataOnly="0" outline="0" fieldPosition="0"/>
    </format>
    <format dxfId="544">
      <pivotArea outline="0" collapsedLevelsAreSubtotals="1" fieldPosition="0"/>
    </format>
    <format dxfId="543">
      <pivotArea type="origin" dataOnly="0" labelOnly="1" outline="0" fieldPosition="0"/>
    </format>
    <format dxfId="542">
      <pivotArea field="-2" type="button" dataOnly="0" labelOnly="1" outline="0" axis="axisCol" fieldPosition="0"/>
    </format>
    <format dxfId="541">
      <pivotArea type="topRight" dataOnly="0" labelOnly="1" outline="0" fieldPosition="0"/>
    </format>
    <format dxfId="540">
      <pivotArea field="0" type="button" dataOnly="0" labelOnly="1" outline="0" axis="axisRow" fieldPosition="0"/>
    </format>
    <format dxfId="539">
      <pivotArea field="1" type="button" dataOnly="0" labelOnly="1" outline="0" axis="axisRow" fieldPosition="1"/>
    </format>
    <format dxfId="538">
      <pivotArea dataOnly="0" labelOnly="1" outline="0" fieldPosition="0">
        <references count="1">
          <reference field="0" count="0"/>
        </references>
      </pivotArea>
    </format>
    <format dxfId="537">
      <pivotArea dataOnly="0" labelOnly="1" grandRow="1" outline="0" fieldPosition="0"/>
    </format>
    <format dxfId="536">
      <pivotArea dataOnly="0" labelOnly="1" outline="0" fieldPosition="0">
        <references count="2">
          <reference field="0" count="1" selected="0">
            <x v="0"/>
          </reference>
          <reference field="1" count="31">
            <x v="0"/>
            <x v="1"/>
            <x v="2"/>
            <x v="3"/>
            <x v="4"/>
            <x v="5"/>
            <x v="6"/>
            <x v="7"/>
            <x v="8"/>
            <x v="9"/>
            <x v="10"/>
            <x v="11"/>
            <x v="12"/>
            <x v="13"/>
            <x v="14"/>
            <x v="15"/>
            <x v="16"/>
            <x v="17"/>
            <x v="18"/>
            <x v="19"/>
            <x v="20"/>
            <x v="21"/>
            <x v="22"/>
            <x v="23"/>
            <x v="24"/>
            <x v="25"/>
            <x v="26"/>
            <x v="27"/>
            <x v="28"/>
            <x v="29"/>
            <x v="30"/>
          </reference>
        </references>
      </pivotArea>
    </format>
    <format dxfId="535">
      <pivotArea dataOnly="0" labelOnly="1" outline="0" fieldPosition="0">
        <references count="2">
          <reference field="0" count="1" selected="0">
            <x v="1"/>
          </reference>
          <reference field="1" count="28">
            <x v="31"/>
            <x v="32"/>
            <x v="33"/>
            <x v="34"/>
            <x v="35"/>
            <x v="36"/>
            <x v="37"/>
            <x v="38"/>
            <x v="39"/>
            <x v="40"/>
            <x v="41"/>
            <x v="42"/>
            <x v="43"/>
            <x v="44"/>
            <x v="45"/>
            <x v="46"/>
            <x v="47"/>
            <x v="48"/>
            <x v="49"/>
            <x v="50"/>
            <x v="51"/>
            <x v="52"/>
            <x v="53"/>
            <x v="54"/>
            <x v="55"/>
            <x v="56"/>
            <x v="57"/>
            <x v="58"/>
          </reference>
        </references>
      </pivotArea>
    </format>
    <format dxfId="534">
      <pivotArea dataOnly="0" labelOnly="1" outline="0" fieldPosition="0">
        <references count="2">
          <reference field="0" count="1" selected="0">
            <x v="2"/>
          </reference>
          <reference field="1" count="31">
            <x v="59"/>
            <x v="60"/>
            <x v="61"/>
            <x v="62"/>
            <x v="63"/>
            <x v="64"/>
            <x v="65"/>
            <x v="66"/>
            <x v="67"/>
            <x v="68"/>
            <x v="69"/>
            <x v="70"/>
            <x v="71"/>
            <x v="72"/>
            <x v="73"/>
            <x v="74"/>
            <x v="75"/>
            <x v="76"/>
            <x v="77"/>
            <x v="78"/>
            <x v="79"/>
            <x v="80"/>
            <x v="81"/>
            <x v="82"/>
            <x v="83"/>
            <x v="84"/>
            <x v="85"/>
            <x v="86"/>
            <x v="87"/>
            <x v="88"/>
            <x v="89"/>
          </reference>
        </references>
      </pivotArea>
    </format>
    <format dxfId="533">
      <pivotArea dataOnly="0" labelOnly="1" outline="0" fieldPosition="0">
        <references count="2">
          <reference field="0" count="1" selected="0">
            <x v="3"/>
          </reference>
          <reference field="1" count="29">
            <x v="90"/>
            <x v="91"/>
            <x v="92"/>
            <x v="93"/>
            <x v="94"/>
            <x v="95"/>
            <x v="96"/>
            <x v="97"/>
            <x v="98"/>
            <x v="99"/>
            <x v="100"/>
            <x v="101"/>
            <x v="102"/>
            <x v="103"/>
            <x v="104"/>
            <x v="105"/>
            <x v="106"/>
            <x v="107"/>
            <x v="108"/>
            <x v="109"/>
            <x v="110"/>
            <x v="111"/>
            <x v="112"/>
            <x v="113"/>
            <x v="114"/>
            <x v="115"/>
            <x v="116"/>
            <x v="117"/>
            <x v="118"/>
          </reference>
        </references>
      </pivotArea>
    </format>
    <format dxfId="532">
      <pivotArea dataOnly="0" labelOnly="1" outline="0" fieldPosition="0">
        <references count="2">
          <reference field="0" count="1" selected="0">
            <x v="4"/>
          </reference>
          <reference field="1" count="30">
            <x v="119"/>
            <x v="120"/>
            <x v="121"/>
            <x v="122"/>
            <x v="123"/>
            <x v="124"/>
            <x v="125"/>
            <x v="126"/>
            <x v="127"/>
            <x v="128"/>
            <x v="129"/>
            <x v="130"/>
            <x v="131"/>
            <x v="132"/>
            <x v="133"/>
            <x v="134"/>
            <x v="135"/>
            <x v="136"/>
            <x v="137"/>
            <x v="138"/>
            <x v="139"/>
            <x v="140"/>
            <x v="141"/>
            <x v="142"/>
            <x v="143"/>
            <x v="144"/>
            <x v="145"/>
            <x v="146"/>
            <x v="147"/>
            <x v="148"/>
          </reference>
        </references>
      </pivotArea>
    </format>
    <format dxfId="531">
      <pivotArea dataOnly="0" labelOnly="1" outline="0" fieldPosition="0">
        <references count="2">
          <reference field="0" count="1" selected="0">
            <x v="5"/>
          </reference>
          <reference field="1" count="30">
            <x v="149"/>
            <x v="150"/>
            <x v="151"/>
            <x v="152"/>
            <x v="153"/>
            <x v="154"/>
            <x v="155"/>
            <x v="156"/>
            <x v="157"/>
            <x v="158"/>
            <x v="159"/>
            <x v="160"/>
            <x v="161"/>
            <x v="162"/>
            <x v="163"/>
            <x v="164"/>
            <x v="165"/>
            <x v="166"/>
            <x v="167"/>
            <x v="168"/>
            <x v="169"/>
            <x v="170"/>
            <x v="171"/>
            <x v="172"/>
            <x v="173"/>
            <x v="174"/>
            <x v="175"/>
            <x v="176"/>
            <x v="177"/>
            <x v="178"/>
          </reference>
        </references>
      </pivotArea>
    </format>
    <format dxfId="530">
      <pivotArea dataOnly="0" labelOnly="1" outline="0" fieldPosition="0">
        <references count="1">
          <reference field="4294967294" count="3">
            <x v="0"/>
            <x v="1"/>
            <x v="2"/>
          </reference>
        </references>
      </pivotArea>
    </format>
    <format dxfId="529">
      <pivotArea type="all" dataOnly="0" outline="0" fieldPosition="0"/>
    </format>
    <format dxfId="528">
      <pivotArea outline="0" collapsedLevelsAreSubtotals="1" fieldPosition="0"/>
    </format>
    <format dxfId="527">
      <pivotArea type="origin" dataOnly="0" labelOnly="1" outline="0" fieldPosition="0"/>
    </format>
    <format dxfId="526">
      <pivotArea field="-2" type="button" dataOnly="0" labelOnly="1" outline="0" axis="axisCol" fieldPosition="0"/>
    </format>
    <format dxfId="525">
      <pivotArea type="topRight" dataOnly="0" labelOnly="1" outline="0" fieldPosition="0"/>
    </format>
    <format dxfId="524">
      <pivotArea field="0" type="button" dataOnly="0" labelOnly="1" outline="0" axis="axisRow" fieldPosition="0"/>
    </format>
    <format dxfId="523">
      <pivotArea field="1" type="button" dataOnly="0" labelOnly="1" outline="0" axis="axisRow" fieldPosition="1"/>
    </format>
    <format dxfId="522">
      <pivotArea dataOnly="0" labelOnly="1" outline="0" fieldPosition="0">
        <references count="1">
          <reference field="0" count="0"/>
        </references>
      </pivotArea>
    </format>
    <format dxfId="521">
      <pivotArea dataOnly="0" labelOnly="1" grandRow="1" outline="0" fieldPosition="0"/>
    </format>
    <format dxfId="520">
      <pivotArea dataOnly="0" labelOnly="1" outline="0" fieldPosition="0">
        <references count="2">
          <reference field="0" count="1" selected="0">
            <x v="0"/>
          </reference>
          <reference field="1" count="31">
            <x v="0"/>
            <x v="1"/>
            <x v="2"/>
            <x v="3"/>
            <x v="4"/>
            <x v="5"/>
            <x v="6"/>
            <x v="7"/>
            <x v="8"/>
            <x v="9"/>
            <x v="10"/>
            <x v="11"/>
            <x v="12"/>
            <x v="13"/>
            <x v="14"/>
            <x v="15"/>
            <x v="16"/>
            <x v="17"/>
            <x v="18"/>
            <x v="19"/>
            <x v="20"/>
            <x v="21"/>
            <x v="22"/>
            <x v="23"/>
            <x v="24"/>
            <x v="25"/>
            <x v="26"/>
            <x v="27"/>
            <x v="28"/>
            <x v="29"/>
            <x v="30"/>
          </reference>
        </references>
      </pivotArea>
    </format>
    <format dxfId="519">
      <pivotArea dataOnly="0" labelOnly="1" outline="0" fieldPosition="0">
        <references count="2">
          <reference field="0" count="1" selected="0">
            <x v="1"/>
          </reference>
          <reference field="1" count="28">
            <x v="31"/>
            <x v="32"/>
            <x v="33"/>
            <x v="34"/>
            <x v="35"/>
            <x v="36"/>
            <x v="37"/>
            <x v="38"/>
            <x v="39"/>
            <x v="40"/>
            <x v="41"/>
            <x v="42"/>
            <x v="43"/>
            <x v="44"/>
            <x v="45"/>
            <x v="46"/>
            <x v="47"/>
            <x v="48"/>
            <x v="49"/>
            <x v="50"/>
            <x v="51"/>
            <x v="52"/>
            <x v="53"/>
            <x v="54"/>
            <x v="55"/>
            <x v="56"/>
            <x v="57"/>
            <x v="58"/>
          </reference>
        </references>
      </pivotArea>
    </format>
    <format dxfId="518">
      <pivotArea dataOnly="0" labelOnly="1" outline="0" fieldPosition="0">
        <references count="2">
          <reference field="0" count="1" selected="0">
            <x v="2"/>
          </reference>
          <reference field="1" count="31">
            <x v="59"/>
            <x v="60"/>
            <x v="61"/>
            <x v="62"/>
            <x v="63"/>
            <x v="64"/>
            <x v="65"/>
            <x v="66"/>
            <x v="67"/>
            <x v="68"/>
            <x v="69"/>
            <x v="70"/>
            <x v="71"/>
            <x v="72"/>
            <x v="73"/>
            <x v="74"/>
            <x v="75"/>
            <x v="76"/>
            <x v="77"/>
            <x v="78"/>
            <x v="79"/>
            <x v="80"/>
            <x v="81"/>
            <x v="82"/>
            <x v="83"/>
            <x v="84"/>
            <x v="85"/>
            <x v="86"/>
            <x v="87"/>
            <x v="88"/>
            <x v="89"/>
          </reference>
        </references>
      </pivotArea>
    </format>
    <format dxfId="517">
      <pivotArea dataOnly="0" labelOnly="1" outline="0" fieldPosition="0">
        <references count="2">
          <reference field="0" count="1" selected="0">
            <x v="3"/>
          </reference>
          <reference field="1" count="29">
            <x v="90"/>
            <x v="91"/>
            <x v="92"/>
            <x v="93"/>
            <x v="94"/>
            <x v="95"/>
            <x v="96"/>
            <x v="97"/>
            <x v="98"/>
            <x v="99"/>
            <x v="100"/>
            <x v="101"/>
            <x v="102"/>
            <x v="103"/>
            <x v="104"/>
            <x v="105"/>
            <x v="106"/>
            <x v="107"/>
            <x v="108"/>
            <x v="109"/>
            <x v="110"/>
            <x v="111"/>
            <x v="112"/>
            <x v="113"/>
            <x v="114"/>
            <x v="115"/>
            <x v="116"/>
            <x v="117"/>
            <x v="118"/>
          </reference>
        </references>
      </pivotArea>
    </format>
    <format dxfId="516">
      <pivotArea dataOnly="0" labelOnly="1" outline="0" fieldPosition="0">
        <references count="2">
          <reference field="0" count="1" selected="0">
            <x v="4"/>
          </reference>
          <reference field="1" count="30">
            <x v="119"/>
            <x v="120"/>
            <x v="121"/>
            <x v="122"/>
            <x v="123"/>
            <x v="124"/>
            <x v="125"/>
            <x v="126"/>
            <x v="127"/>
            <x v="128"/>
            <x v="129"/>
            <x v="130"/>
            <x v="131"/>
            <x v="132"/>
            <x v="133"/>
            <x v="134"/>
            <x v="135"/>
            <x v="136"/>
            <x v="137"/>
            <x v="138"/>
            <x v="139"/>
            <x v="140"/>
            <x v="141"/>
            <x v="142"/>
            <x v="143"/>
            <x v="144"/>
            <x v="145"/>
            <x v="146"/>
            <x v="147"/>
            <x v="148"/>
          </reference>
        </references>
      </pivotArea>
    </format>
    <format dxfId="515">
      <pivotArea dataOnly="0" labelOnly="1" outline="0" fieldPosition="0">
        <references count="2">
          <reference field="0" count="1" selected="0">
            <x v="5"/>
          </reference>
          <reference field="1" count="30">
            <x v="149"/>
            <x v="150"/>
            <x v="151"/>
            <x v="152"/>
            <x v="153"/>
            <x v="154"/>
            <x v="155"/>
            <x v="156"/>
            <x v="157"/>
            <x v="158"/>
            <x v="159"/>
            <x v="160"/>
            <x v="161"/>
            <x v="162"/>
            <x v="163"/>
            <x v="164"/>
            <x v="165"/>
            <x v="166"/>
            <x v="167"/>
            <x v="168"/>
            <x v="169"/>
            <x v="170"/>
            <x v="171"/>
            <x v="172"/>
            <x v="173"/>
            <x v="174"/>
            <x v="175"/>
            <x v="176"/>
            <x v="177"/>
            <x v="178"/>
          </reference>
        </references>
      </pivotArea>
    </format>
    <format dxfId="514">
      <pivotArea dataOnly="0" labelOnly="1" outline="0" fieldPosition="0">
        <references count="1">
          <reference field="4294967294" count="3">
            <x v="0"/>
            <x v="1"/>
            <x v="2"/>
          </reference>
        </references>
      </pivotArea>
    </format>
    <format dxfId="513">
      <pivotArea type="all" dataOnly="0" outline="0" fieldPosition="0"/>
    </format>
    <format dxfId="512">
      <pivotArea outline="0" collapsedLevelsAreSubtotals="1" fieldPosition="0"/>
    </format>
    <format dxfId="511">
      <pivotArea field="-2" type="button" dataOnly="0" labelOnly="1" outline="0" axis="axisCol" fieldPosition="0"/>
    </format>
    <format dxfId="510">
      <pivotArea type="topRight" dataOnly="0" labelOnly="1" outline="0" fieldPosition="0"/>
    </format>
    <format dxfId="509">
      <pivotArea dataOnly="0" labelOnly="1" outline="0" fieldPosition="0">
        <references count="1">
          <reference field="0" count="0"/>
        </references>
      </pivotArea>
    </format>
    <format dxfId="508">
      <pivotArea dataOnly="0" labelOnly="1" grandRow="1" outline="0" fieldPosition="0"/>
    </format>
    <format dxfId="507">
      <pivotArea dataOnly="0" labelOnly="1" outline="0" fieldPosition="0">
        <references count="2">
          <reference field="0" count="1" selected="0">
            <x v="1"/>
          </reference>
          <reference field="1" count="28">
            <x v="31"/>
            <x v="32"/>
            <x v="33"/>
            <x v="34"/>
            <x v="35"/>
            <x v="36"/>
            <x v="37"/>
            <x v="38"/>
            <x v="39"/>
            <x v="40"/>
            <x v="41"/>
            <x v="42"/>
            <x v="43"/>
            <x v="44"/>
            <x v="45"/>
            <x v="46"/>
            <x v="47"/>
            <x v="48"/>
            <x v="49"/>
            <x v="50"/>
            <x v="51"/>
            <x v="52"/>
            <x v="53"/>
            <x v="54"/>
            <x v="55"/>
            <x v="56"/>
            <x v="57"/>
            <x v="58"/>
          </reference>
        </references>
      </pivotArea>
    </format>
    <format dxfId="506">
      <pivotArea dataOnly="0" labelOnly="1" outline="0" fieldPosition="0">
        <references count="2">
          <reference field="0" count="1" selected="0">
            <x v="2"/>
          </reference>
          <reference field="1" count="31">
            <x v="59"/>
            <x v="60"/>
            <x v="61"/>
            <x v="62"/>
            <x v="63"/>
            <x v="64"/>
            <x v="65"/>
            <x v="66"/>
            <x v="67"/>
            <x v="68"/>
            <x v="69"/>
            <x v="70"/>
            <x v="71"/>
            <x v="72"/>
            <x v="73"/>
            <x v="74"/>
            <x v="75"/>
            <x v="76"/>
            <x v="77"/>
            <x v="78"/>
            <x v="79"/>
            <x v="80"/>
            <x v="81"/>
            <x v="82"/>
            <x v="83"/>
            <x v="84"/>
            <x v="85"/>
            <x v="86"/>
            <x v="87"/>
            <x v="88"/>
            <x v="89"/>
          </reference>
        </references>
      </pivotArea>
    </format>
    <format dxfId="505">
      <pivotArea dataOnly="0" labelOnly="1" outline="0" fieldPosition="0">
        <references count="2">
          <reference field="0" count="1" selected="0">
            <x v="3"/>
          </reference>
          <reference field="1" count="29">
            <x v="90"/>
            <x v="91"/>
            <x v="92"/>
            <x v="93"/>
            <x v="94"/>
            <x v="95"/>
            <x v="96"/>
            <x v="97"/>
            <x v="98"/>
            <x v="99"/>
            <x v="100"/>
            <x v="101"/>
            <x v="102"/>
            <x v="103"/>
            <x v="104"/>
            <x v="105"/>
            <x v="106"/>
            <x v="107"/>
            <x v="108"/>
            <x v="109"/>
            <x v="110"/>
            <x v="111"/>
            <x v="112"/>
            <x v="113"/>
            <x v="114"/>
            <x v="115"/>
            <x v="116"/>
            <x v="117"/>
            <x v="118"/>
          </reference>
        </references>
      </pivotArea>
    </format>
    <format dxfId="504">
      <pivotArea dataOnly="0" labelOnly="1" outline="0" fieldPosition="0">
        <references count="2">
          <reference field="0" count="1" selected="0">
            <x v="4"/>
          </reference>
          <reference field="1" count="30">
            <x v="119"/>
            <x v="120"/>
            <x v="121"/>
            <x v="122"/>
            <x v="123"/>
            <x v="124"/>
            <x v="125"/>
            <x v="126"/>
            <x v="127"/>
            <x v="128"/>
            <x v="129"/>
            <x v="130"/>
            <x v="131"/>
            <x v="132"/>
            <x v="133"/>
            <x v="134"/>
            <x v="135"/>
            <x v="136"/>
            <x v="137"/>
            <x v="138"/>
            <x v="139"/>
            <x v="140"/>
            <x v="141"/>
            <x v="142"/>
            <x v="143"/>
            <x v="144"/>
            <x v="145"/>
            <x v="146"/>
            <x v="147"/>
            <x v="148"/>
          </reference>
        </references>
      </pivotArea>
    </format>
    <format dxfId="503">
      <pivotArea dataOnly="0" labelOnly="1" outline="0" fieldPosition="0">
        <references count="2">
          <reference field="0" count="1" selected="0">
            <x v="5"/>
          </reference>
          <reference field="1" count="30">
            <x v="149"/>
            <x v="150"/>
            <x v="151"/>
            <x v="152"/>
            <x v="153"/>
            <x v="154"/>
            <x v="155"/>
            <x v="156"/>
            <x v="157"/>
            <x v="158"/>
            <x v="159"/>
            <x v="160"/>
            <x v="161"/>
            <x v="162"/>
            <x v="163"/>
            <x v="164"/>
            <x v="165"/>
            <x v="166"/>
            <x v="167"/>
            <x v="168"/>
            <x v="169"/>
            <x v="170"/>
            <x v="171"/>
            <x v="172"/>
            <x v="173"/>
            <x v="174"/>
            <x v="175"/>
            <x v="176"/>
            <x v="177"/>
            <x v="178"/>
          </reference>
        </references>
      </pivotArea>
    </format>
    <format dxfId="502">
      <pivotArea dataOnly="0" labelOnly="1" outline="0" fieldPosition="0">
        <references count="1">
          <reference field="4294967294" count="3">
            <x v="0"/>
            <x v="1"/>
            <x v="2"/>
          </reference>
        </references>
      </pivotArea>
    </format>
    <format dxfId="501">
      <pivotArea outline="0" collapsedLevelsAreSubtotals="1" fieldPosition="0"/>
    </format>
    <format dxfId="500">
      <pivotArea field="-2" type="button" dataOnly="0" labelOnly="1" outline="0" axis="axisCol" fieldPosition="0"/>
    </format>
    <format dxfId="499">
      <pivotArea type="topRight" dataOnly="0" labelOnly="1" outline="0" fieldPosition="0"/>
    </format>
    <format dxfId="498">
      <pivotArea dataOnly="0" labelOnly="1" outline="0" fieldPosition="0">
        <references count="1">
          <reference field="4294967294" count="3">
            <x v="0"/>
            <x v="1"/>
            <x v="2"/>
          </reference>
        </references>
      </pivotArea>
    </format>
    <format dxfId="497">
      <pivotArea type="all" dataOnly="0" outline="0" fieldPosition="0"/>
    </format>
    <format dxfId="496">
      <pivotArea outline="0" collapsedLevelsAreSubtotals="1" fieldPosition="0"/>
    </format>
    <format dxfId="495">
      <pivotArea type="origin" dataOnly="0" labelOnly="1" outline="0" fieldPosition="0"/>
    </format>
    <format dxfId="494">
      <pivotArea field="-2" type="button" dataOnly="0" labelOnly="1" outline="0" axis="axisCol" fieldPosition="0"/>
    </format>
    <format dxfId="493">
      <pivotArea type="topRight" dataOnly="0" labelOnly="1" outline="0" fieldPosition="0"/>
    </format>
    <format dxfId="492">
      <pivotArea field="0" type="button" dataOnly="0" labelOnly="1" outline="0" axis="axisRow" fieldPosition="0"/>
    </format>
    <format dxfId="491">
      <pivotArea field="1" type="button" dataOnly="0" labelOnly="1" outline="0" axis="axisRow" fieldPosition="1"/>
    </format>
    <format dxfId="490">
      <pivotArea dataOnly="0" labelOnly="1" outline="0" fieldPosition="0">
        <references count="1">
          <reference field="0" count="1">
            <x v="0"/>
          </reference>
        </references>
      </pivotArea>
    </format>
    <format dxfId="489">
      <pivotArea dataOnly="0" labelOnly="1" outline="0" fieldPosition="0">
        <references count="2">
          <reference field="0" count="1" selected="0">
            <x v="0"/>
          </reference>
          <reference field="1" count="31">
            <x v="0"/>
            <x v="1"/>
            <x v="2"/>
            <x v="3"/>
            <x v="4"/>
            <x v="5"/>
            <x v="6"/>
            <x v="7"/>
            <x v="8"/>
            <x v="9"/>
            <x v="10"/>
            <x v="11"/>
            <x v="12"/>
            <x v="13"/>
            <x v="14"/>
            <x v="15"/>
            <x v="16"/>
            <x v="17"/>
            <x v="18"/>
            <x v="19"/>
            <x v="20"/>
            <x v="21"/>
            <x v="22"/>
            <x v="23"/>
            <x v="24"/>
            <x v="25"/>
            <x v="26"/>
            <x v="27"/>
            <x v="28"/>
            <x v="29"/>
            <x v="30"/>
          </reference>
        </references>
      </pivotArea>
    </format>
    <format dxfId="488">
      <pivotArea dataOnly="0" labelOnly="1" outline="0" fieldPosition="0">
        <references count="1">
          <reference field="4294967294" count="3">
            <x v="0"/>
            <x v="1"/>
            <x v="2"/>
          </reference>
        </references>
      </pivotArea>
    </format>
    <format dxfId="487">
      <pivotArea type="all" dataOnly="0" outline="0" fieldPosition="0"/>
    </format>
    <format dxfId="486">
      <pivotArea outline="0" collapsedLevelsAreSubtotals="1" fieldPosition="0"/>
    </format>
    <format dxfId="485">
      <pivotArea type="origin" dataOnly="0" labelOnly="1" outline="0" fieldPosition="0"/>
    </format>
    <format dxfId="484">
      <pivotArea field="-2" type="button" dataOnly="0" labelOnly="1" outline="0" axis="axisCol" fieldPosition="0"/>
    </format>
    <format dxfId="483">
      <pivotArea type="topRight" dataOnly="0" labelOnly="1" outline="0" fieldPosition="0"/>
    </format>
    <format dxfId="482">
      <pivotArea field="0" type="button" dataOnly="0" labelOnly="1" outline="0" axis="axisRow" fieldPosition="0"/>
    </format>
    <format dxfId="481">
      <pivotArea field="1" type="button" dataOnly="0" labelOnly="1" outline="0" axis="axisRow" fieldPosition="1"/>
    </format>
    <format dxfId="480">
      <pivotArea dataOnly="0" labelOnly="1" outline="0" fieldPosition="0">
        <references count="1">
          <reference field="0" count="1">
            <x v="0"/>
          </reference>
        </references>
      </pivotArea>
    </format>
    <format dxfId="479">
      <pivotArea dataOnly="0" labelOnly="1" outline="0" fieldPosition="0">
        <references count="2">
          <reference field="0" count="1" selected="0">
            <x v="0"/>
          </reference>
          <reference field="1" count="31">
            <x v="0"/>
            <x v="1"/>
            <x v="2"/>
            <x v="3"/>
            <x v="4"/>
            <x v="5"/>
            <x v="6"/>
            <x v="7"/>
            <x v="8"/>
            <x v="9"/>
            <x v="10"/>
            <x v="11"/>
            <x v="12"/>
            <x v="13"/>
            <x v="14"/>
            <x v="15"/>
            <x v="16"/>
            <x v="17"/>
            <x v="18"/>
            <x v="19"/>
            <x v="20"/>
            <x v="21"/>
            <x v="22"/>
            <x v="23"/>
            <x v="24"/>
            <x v="25"/>
            <x v="26"/>
            <x v="27"/>
            <x v="28"/>
            <x v="29"/>
            <x v="30"/>
          </reference>
        </references>
      </pivotArea>
    </format>
    <format dxfId="478">
      <pivotArea dataOnly="0" labelOnly="1" outline="0" fieldPosition="0">
        <references count="1">
          <reference field="4294967294" count="3">
            <x v="0"/>
            <x v="1"/>
            <x v="2"/>
          </reference>
        </references>
      </pivotArea>
    </format>
    <format dxfId="477">
      <pivotArea type="all" dataOnly="0" outline="0" fieldPosition="0"/>
    </format>
    <format dxfId="476">
      <pivotArea outline="0" collapsedLevelsAreSubtotals="1" fieldPosition="0"/>
    </format>
    <format dxfId="475">
      <pivotArea type="origin" dataOnly="0" labelOnly="1" outline="0" fieldPosition="0"/>
    </format>
    <format dxfId="474">
      <pivotArea field="-2" type="button" dataOnly="0" labelOnly="1" outline="0" axis="axisCol" fieldPosition="0"/>
    </format>
    <format dxfId="473">
      <pivotArea type="topRight" dataOnly="0" labelOnly="1" outline="0" fieldPosition="0"/>
    </format>
    <format dxfId="472">
      <pivotArea field="0" type="button" dataOnly="0" labelOnly="1" outline="0" axis="axisRow" fieldPosition="0"/>
    </format>
    <format dxfId="471">
      <pivotArea field="1" type="button" dataOnly="0" labelOnly="1" outline="0" axis="axisRow" fieldPosition="1"/>
    </format>
    <format dxfId="470">
      <pivotArea dataOnly="0" labelOnly="1" outline="0" fieldPosition="0">
        <references count="1">
          <reference field="0" count="1">
            <x v="0"/>
          </reference>
        </references>
      </pivotArea>
    </format>
    <format dxfId="469">
      <pivotArea dataOnly="0" labelOnly="1" outline="0" fieldPosition="0">
        <references count="2">
          <reference field="0" count="1" selected="0">
            <x v="0"/>
          </reference>
          <reference field="1" count="31">
            <x v="0"/>
            <x v="1"/>
            <x v="2"/>
            <x v="3"/>
            <x v="4"/>
            <x v="5"/>
            <x v="6"/>
            <x v="7"/>
            <x v="8"/>
            <x v="9"/>
            <x v="10"/>
            <x v="11"/>
            <x v="12"/>
            <x v="13"/>
            <x v="14"/>
            <x v="15"/>
            <x v="16"/>
            <x v="17"/>
            <x v="18"/>
            <x v="19"/>
            <x v="20"/>
            <x v="21"/>
            <x v="22"/>
            <x v="23"/>
            <x v="24"/>
            <x v="25"/>
            <x v="26"/>
            <x v="27"/>
            <x v="28"/>
            <x v="29"/>
            <x v="30"/>
          </reference>
        </references>
      </pivotArea>
    </format>
    <format dxfId="468">
      <pivotArea dataOnly="0" labelOnly="1" outline="0" fieldPosition="0">
        <references count="1">
          <reference field="4294967294" count="3">
            <x v="0"/>
            <x v="1"/>
            <x v="2"/>
          </reference>
        </references>
      </pivotArea>
    </format>
    <format dxfId="467">
      <pivotArea type="all" dataOnly="0" outline="0" fieldPosition="0"/>
    </format>
    <format dxfId="466">
      <pivotArea outline="0" collapsedLevelsAreSubtotals="1" fieldPosition="0"/>
    </format>
    <format dxfId="465">
      <pivotArea type="origin" dataOnly="0" labelOnly="1" outline="0" fieldPosition="0"/>
    </format>
    <format dxfId="464">
      <pivotArea field="-2" type="button" dataOnly="0" labelOnly="1" outline="0" axis="axisCol" fieldPosition="0"/>
    </format>
    <format dxfId="463">
      <pivotArea type="topRight" dataOnly="0" labelOnly="1" outline="0" fieldPosition="0"/>
    </format>
    <format dxfId="462">
      <pivotArea field="0" type="button" dataOnly="0" labelOnly="1" outline="0" axis="axisRow" fieldPosition="0"/>
    </format>
    <format dxfId="461">
      <pivotArea field="1" type="button" dataOnly="0" labelOnly="1" outline="0" axis="axisRow" fieldPosition="1"/>
    </format>
    <format dxfId="460">
      <pivotArea dataOnly="0" labelOnly="1" outline="0" fieldPosition="0">
        <references count="1">
          <reference field="0" count="0"/>
        </references>
      </pivotArea>
    </format>
    <format dxfId="459">
      <pivotArea dataOnly="0" labelOnly="1" outline="0" fieldPosition="0">
        <references count="2">
          <reference field="0" count="1" selected="0">
            <x v="0"/>
          </reference>
          <reference field="1" count="31">
            <x v="0"/>
            <x v="1"/>
            <x v="2"/>
            <x v="3"/>
            <x v="4"/>
            <x v="5"/>
            <x v="6"/>
            <x v="7"/>
            <x v="8"/>
            <x v="9"/>
            <x v="10"/>
            <x v="11"/>
            <x v="12"/>
            <x v="13"/>
            <x v="14"/>
            <x v="15"/>
            <x v="16"/>
            <x v="17"/>
            <x v="18"/>
            <x v="19"/>
            <x v="20"/>
            <x v="21"/>
            <x v="22"/>
            <x v="23"/>
            <x v="24"/>
            <x v="25"/>
            <x v="26"/>
            <x v="27"/>
            <x v="28"/>
            <x v="29"/>
            <x v="30"/>
          </reference>
        </references>
      </pivotArea>
    </format>
    <format dxfId="458">
      <pivotArea dataOnly="0" labelOnly="1" outline="0" fieldPosition="0">
        <references count="2">
          <reference field="0" count="1" selected="0">
            <x v="1"/>
          </reference>
          <reference field="1" count="28">
            <x v="31"/>
            <x v="32"/>
            <x v="33"/>
            <x v="34"/>
            <x v="35"/>
            <x v="36"/>
            <x v="37"/>
            <x v="38"/>
            <x v="39"/>
            <x v="40"/>
            <x v="41"/>
            <x v="42"/>
            <x v="43"/>
            <x v="44"/>
            <x v="45"/>
            <x v="46"/>
            <x v="47"/>
            <x v="48"/>
            <x v="49"/>
            <x v="50"/>
            <x v="51"/>
            <x v="52"/>
            <x v="53"/>
            <x v="54"/>
            <x v="55"/>
            <x v="56"/>
            <x v="57"/>
            <x v="58"/>
          </reference>
        </references>
      </pivotArea>
    </format>
    <format dxfId="457">
      <pivotArea dataOnly="0" labelOnly="1" outline="0" fieldPosition="0">
        <references count="2">
          <reference field="0" count="1" selected="0">
            <x v="2"/>
          </reference>
          <reference field="1" count="31">
            <x v="59"/>
            <x v="60"/>
            <x v="61"/>
            <x v="62"/>
            <x v="63"/>
            <x v="64"/>
            <x v="65"/>
            <x v="66"/>
            <x v="67"/>
            <x v="68"/>
            <x v="69"/>
            <x v="70"/>
            <x v="71"/>
            <x v="72"/>
            <x v="73"/>
            <x v="74"/>
            <x v="75"/>
            <x v="76"/>
            <x v="77"/>
            <x v="78"/>
            <x v="79"/>
            <x v="80"/>
            <x v="81"/>
            <x v="82"/>
            <x v="83"/>
            <x v="84"/>
            <x v="85"/>
            <x v="86"/>
            <x v="87"/>
            <x v="88"/>
            <x v="89"/>
          </reference>
        </references>
      </pivotArea>
    </format>
    <format dxfId="456">
      <pivotArea dataOnly="0" labelOnly="1" outline="0" fieldPosition="0">
        <references count="2">
          <reference field="0" count="1" selected="0">
            <x v="3"/>
          </reference>
          <reference field="1" count="29">
            <x v="90"/>
            <x v="91"/>
            <x v="92"/>
            <x v="93"/>
            <x v="94"/>
            <x v="95"/>
            <x v="96"/>
            <x v="97"/>
            <x v="98"/>
            <x v="99"/>
            <x v="100"/>
            <x v="101"/>
            <x v="102"/>
            <x v="103"/>
            <x v="104"/>
            <x v="105"/>
            <x v="106"/>
            <x v="107"/>
            <x v="108"/>
            <x v="109"/>
            <x v="110"/>
            <x v="111"/>
            <x v="112"/>
            <x v="113"/>
            <x v="114"/>
            <x v="115"/>
            <x v="116"/>
            <x v="117"/>
            <x v="118"/>
          </reference>
        </references>
      </pivotArea>
    </format>
    <format dxfId="455">
      <pivotArea dataOnly="0" labelOnly="1" outline="0" fieldPosition="0">
        <references count="2">
          <reference field="0" count="1" selected="0">
            <x v="4"/>
          </reference>
          <reference field="1" count="30">
            <x v="119"/>
            <x v="120"/>
            <x v="121"/>
            <x v="122"/>
            <x v="123"/>
            <x v="124"/>
            <x v="125"/>
            <x v="126"/>
            <x v="127"/>
            <x v="128"/>
            <x v="129"/>
            <x v="130"/>
            <x v="131"/>
            <x v="132"/>
            <x v="133"/>
            <x v="134"/>
            <x v="135"/>
            <x v="136"/>
            <x v="137"/>
            <x v="138"/>
            <x v="139"/>
            <x v="140"/>
            <x v="141"/>
            <x v="142"/>
            <x v="143"/>
            <x v="144"/>
            <x v="145"/>
            <x v="146"/>
            <x v="147"/>
            <x v="148"/>
          </reference>
        </references>
      </pivotArea>
    </format>
    <format dxfId="454">
      <pivotArea dataOnly="0" labelOnly="1" outline="0" fieldPosition="0">
        <references count="2">
          <reference field="0" count="1" selected="0">
            <x v="5"/>
          </reference>
          <reference field="1" count="30">
            <x v="149"/>
            <x v="150"/>
            <x v="151"/>
            <x v="152"/>
            <x v="153"/>
            <x v="154"/>
            <x v="155"/>
            <x v="156"/>
            <x v="157"/>
            <x v="158"/>
            <x v="159"/>
            <x v="160"/>
            <x v="161"/>
            <x v="162"/>
            <x v="163"/>
            <x v="164"/>
            <x v="165"/>
            <x v="166"/>
            <x v="167"/>
            <x v="168"/>
            <x v="169"/>
            <x v="170"/>
            <x v="171"/>
            <x v="172"/>
            <x v="173"/>
            <x v="174"/>
            <x v="175"/>
            <x v="176"/>
            <x v="177"/>
            <x v="178"/>
          </reference>
        </references>
      </pivotArea>
    </format>
    <format dxfId="453">
      <pivotArea dataOnly="0" labelOnly="1" outline="0" fieldPosition="0">
        <references count="1">
          <reference field="4294967294" count="3">
            <x v="0"/>
            <x v="1"/>
            <x v="2"/>
          </reference>
        </references>
      </pivotArea>
    </format>
    <format dxfId="452">
      <pivotArea type="all" dataOnly="0" outline="0" fieldPosition="0"/>
    </format>
    <format dxfId="451">
      <pivotArea outline="0" collapsedLevelsAreSubtotals="1" fieldPosition="0"/>
    </format>
    <format dxfId="450">
      <pivotArea type="origin" dataOnly="0" labelOnly="1" outline="0" fieldPosition="0"/>
    </format>
    <format dxfId="449">
      <pivotArea field="-2" type="button" dataOnly="0" labelOnly="1" outline="0" axis="axisCol" fieldPosition="0"/>
    </format>
    <format dxfId="448">
      <pivotArea type="topRight" dataOnly="0" labelOnly="1" outline="0" fieldPosition="0"/>
    </format>
    <format dxfId="447">
      <pivotArea field="0" type="button" dataOnly="0" labelOnly="1" outline="0" axis="axisRow" fieldPosition="0"/>
    </format>
    <format dxfId="446">
      <pivotArea field="1" type="button" dataOnly="0" labelOnly="1" outline="0" axis="axisRow" fieldPosition="1"/>
    </format>
    <format dxfId="445">
      <pivotArea dataOnly="0" labelOnly="1" outline="0" fieldPosition="0">
        <references count="1">
          <reference field="0" count="0"/>
        </references>
      </pivotArea>
    </format>
    <format dxfId="444">
      <pivotArea dataOnly="0" labelOnly="1" outline="0" fieldPosition="0">
        <references count="2">
          <reference field="0" count="1" selected="0">
            <x v="0"/>
          </reference>
          <reference field="1" count="31">
            <x v="0"/>
            <x v="1"/>
            <x v="2"/>
            <x v="3"/>
            <x v="4"/>
            <x v="5"/>
            <x v="6"/>
            <x v="7"/>
            <x v="8"/>
            <x v="9"/>
            <x v="10"/>
            <x v="11"/>
            <x v="12"/>
            <x v="13"/>
            <x v="14"/>
            <x v="15"/>
            <x v="16"/>
            <x v="17"/>
            <x v="18"/>
            <x v="19"/>
            <x v="20"/>
            <x v="21"/>
            <x v="22"/>
            <x v="23"/>
            <x v="24"/>
            <x v="25"/>
            <x v="26"/>
            <x v="27"/>
            <x v="28"/>
            <x v="29"/>
            <x v="30"/>
          </reference>
        </references>
      </pivotArea>
    </format>
    <format dxfId="443">
      <pivotArea dataOnly="0" labelOnly="1" outline="0" fieldPosition="0">
        <references count="2">
          <reference field="0" count="1" selected="0">
            <x v="1"/>
          </reference>
          <reference field="1" count="28">
            <x v="31"/>
            <x v="32"/>
            <x v="33"/>
            <x v="34"/>
            <x v="35"/>
            <x v="36"/>
            <x v="37"/>
            <x v="38"/>
            <x v="39"/>
            <x v="40"/>
            <x v="41"/>
            <x v="42"/>
            <x v="43"/>
            <x v="44"/>
            <x v="45"/>
            <x v="46"/>
            <x v="47"/>
            <x v="48"/>
            <x v="49"/>
            <x v="50"/>
            <x v="51"/>
            <x v="52"/>
            <x v="53"/>
            <x v="54"/>
            <x v="55"/>
            <x v="56"/>
            <x v="57"/>
            <x v="58"/>
          </reference>
        </references>
      </pivotArea>
    </format>
    <format dxfId="442">
      <pivotArea dataOnly="0" labelOnly="1" outline="0" fieldPosition="0">
        <references count="2">
          <reference field="0" count="1" selected="0">
            <x v="2"/>
          </reference>
          <reference field="1" count="31">
            <x v="59"/>
            <x v="60"/>
            <x v="61"/>
            <x v="62"/>
            <x v="63"/>
            <x v="64"/>
            <x v="65"/>
            <x v="66"/>
            <x v="67"/>
            <x v="68"/>
            <x v="69"/>
            <x v="70"/>
            <x v="71"/>
            <x v="72"/>
            <x v="73"/>
            <x v="74"/>
            <x v="75"/>
            <x v="76"/>
            <x v="77"/>
            <x v="78"/>
            <x v="79"/>
            <x v="80"/>
            <x v="81"/>
            <x v="82"/>
            <x v="83"/>
            <x v="84"/>
            <x v="85"/>
            <x v="86"/>
            <x v="87"/>
            <x v="88"/>
            <x v="89"/>
          </reference>
        </references>
      </pivotArea>
    </format>
    <format dxfId="441">
      <pivotArea dataOnly="0" labelOnly="1" outline="0" fieldPosition="0">
        <references count="2">
          <reference field="0" count="1" selected="0">
            <x v="3"/>
          </reference>
          <reference field="1" count="29">
            <x v="90"/>
            <x v="91"/>
            <x v="92"/>
            <x v="93"/>
            <x v="94"/>
            <x v="95"/>
            <x v="96"/>
            <x v="97"/>
            <x v="98"/>
            <x v="99"/>
            <x v="100"/>
            <x v="101"/>
            <x v="102"/>
            <x v="103"/>
            <x v="104"/>
            <x v="105"/>
            <x v="106"/>
            <x v="107"/>
            <x v="108"/>
            <x v="109"/>
            <x v="110"/>
            <x v="111"/>
            <x v="112"/>
            <x v="113"/>
            <x v="114"/>
            <x v="115"/>
            <x v="116"/>
            <x v="117"/>
            <x v="118"/>
          </reference>
        </references>
      </pivotArea>
    </format>
    <format dxfId="440">
      <pivotArea dataOnly="0" labelOnly="1" outline="0" fieldPosition="0">
        <references count="2">
          <reference field="0" count="1" selected="0">
            <x v="4"/>
          </reference>
          <reference field="1" count="30">
            <x v="119"/>
            <x v="120"/>
            <x v="121"/>
            <x v="122"/>
            <x v="123"/>
            <x v="124"/>
            <x v="125"/>
            <x v="126"/>
            <x v="127"/>
            <x v="128"/>
            <x v="129"/>
            <x v="130"/>
            <x v="131"/>
            <x v="132"/>
            <x v="133"/>
            <x v="134"/>
            <x v="135"/>
            <x v="136"/>
            <x v="137"/>
            <x v="138"/>
            <x v="139"/>
            <x v="140"/>
            <x v="141"/>
            <x v="142"/>
            <x v="143"/>
            <x v="144"/>
            <x v="145"/>
            <x v="146"/>
            <x v="147"/>
            <x v="148"/>
          </reference>
        </references>
      </pivotArea>
    </format>
    <format dxfId="439">
      <pivotArea dataOnly="0" labelOnly="1" outline="0" fieldPosition="0">
        <references count="2">
          <reference field="0" count="1" selected="0">
            <x v="5"/>
          </reference>
          <reference field="1" count="30">
            <x v="149"/>
            <x v="150"/>
            <x v="151"/>
            <x v="152"/>
            <x v="153"/>
            <x v="154"/>
            <x v="155"/>
            <x v="156"/>
            <x v="157"/>
            <x v="158"/>
            <x v="159"/>
            <x v="160"/>
            <x v="161"/>
            <x v="162"/>
            <x v="163"/>
            <x v="164"/>
            <x v="165"/>
            <x v="166"/>
            <x v="167"/>
            <x v="168"/>
            <x v="169"/>
            <x v="170"/>
            <x v="171"/>
            <x v="172"/>
            <x v="173"/>
            <x v="174"/>
            <x v="175"/>
            <x v="176"/>
            <x v="177"/>
            <x v="178"/>
          </reference>
        </references>
      </pivotArea>
    </format>
    <format dxfId="438">
      <pivotArea dataOnly="0" labelOnly="1" outline="0" fieldPosition="0">
        <references count="1">
          <reference field="4294967294" count="3">
            <x v="0"/>
            <x v="1"/>
            <x v="2"/>
          </reference>
        </references>
      </pivotArea>
    </format>
    <format dxfId="437">
      <pivotArea type="all" dataOnly="0" outline="0" fieldPosition="0"/>
    </format>
    <format dxfId="436">
      <pivotArea outline="0" collapsedLevelsAreSubtotals="1" fieldPosition="0"/>
    </format>
    <format dxfId="435">
      <pivotArea type="origin" dataOnly="0" labelOnly="1" outline="0" fieldPosition="0"/>
    </format>
    <format dxfId="434">
      <pivotArea field="-2" type="button" dataOnly="0" labelOnly="1" outline="0" axis="axisCol" fieldPosition="0"/>
    </format>
    <format dxfId="433">
      <pivotArea type="topRight" dataOnly="0" labelOnly="1" outline="0" fieldPosition="0"/>
    </format>
    <format dxfId="432">
      <pivotArea field="0" type="button" dataOnly="0" labelOnly="1" outline="0" axis="axisRow" fieldPosition="0"/>
    </format>
    <format dxfId="431">
      <pivotArea field="1" type="button" dataOnly="0" labelOnly="1" outline="0" axis="axisRow" fieldPosition="1"/>
    </format>
    <format dxfId="430">
      <pivotArea dataOnly="0" labelOnly="1" outline="0" fieldPosition="0">
        <references count="1">
          <reference field="0" count="0"/>
        </references>
      </pivotArea>
    </format>
    <format dxfId="429">
      <pivotArea dataOnly="0" labelOnly="1" outline="0" fieldPosition="0">
        <references count="2">
          <reference field="0" count="1" selected="0">
            <x v="0"/>
          </reference>
          <reference field="1" count="31">
            <x v="0"/>
            <x v="1"/>
            <x v="2"/>
            <x v="3"/>
            <x v="4"/>
            <x v="5"/>
            <x v="6"/>
            <x v="7"/>
            <x v="8"/>
            <x v="9"/>
            <x v="10"/>
            <x v="11"/>
            <x v="12"/>
            <x v="13"/>
            <x v="14"/>
            <x v="15"/>
            <x v="16"/>
            <x v="17"/>
            <x v="18"/>
            <x v="19"/>
            <x v="20"/>
            <x v="21"/>
            <x v="22"/>
            <x v="23"/>
            <x v="24"/>
            <x v="25"/>
            <x v="26"/>
            <x v="27"/>
            <x v="28"/>
            <x v="29"/>
            <x v="30"/>
          </reference>
        </references>
      </pivotArea>
    </format>
    <format dxfId="428">
      <pivotArea dataOnly="0" labelOnly="1" outline="0" fieldPosition="0">
        <references count="2">
          <reference field="0" count="1" selected="0">
            <x v="1"/>
          </reference>
          <reference field="1" count="28">
            <x v="31"/>
            <x v="32"/>
            <x v="33"/>
            <x v="34"/>
            <x v="35"/>
            <x v="36"/>
            <x v="37"/>
            <x v="38"/>
            <x v="39"/>
            <x v="40"/>
            <x v="41"/>
            <x v="42"/>
            <x v="43"/>
            <x v="44"/>
            <x v="45"/>
            <x v="46"/>
            <x v="47"/>
            <x v="48"/>
            <x v="49"/>
            <x v="50"/>
            <x v="51"/>
            <x v="52"/>
            <x v="53"/>
            <x v="54"/>
            <x v="55"/>
            <x v="56"/>
            <x v="57"/>
            <x v="58"/>
          </reference>
        </references>
      </pivotArea>
    </format>
    <format dxfId="427">
      <pivotArea dataOnly="0" labelOnly="1" outline="0" fieldPosition="0">
        <references count="2">
          <reference field="0" count="1" selected="0">
            <x v="2"/>
          </reference>
          <reference field="1" count="31">
            <x v="59"/>
            <x v="60"/>
            <x v="61"/>
            <x v="62"/>
            <x v="63"/>
            <x v="64"/>
            <x v="65"/>
            <x v="66"/>
            <x v="67"/>
            <x v="68"/>
            <x v="69"/>
            <x v="70"/>
            <x v="71"/>
            <x v="72"/>
            <x v="73"/>
            <x v="74"/>
            <x v="75"/>
            <x v="76"/>
            <x v="77"/>
            <x v="78"/>
            <x v="79"/>
            <x v="80"/>
            <x v="81"/>
            <x v="82"/>
            <x v="83"/>
            <x v="84"/>
            <x v="85"/>
            <x v="86"/>
            <x v="87"/>
            <x v="88"/>
            <x v="89"/>
          </reference>
        </references>
      </pivotArea>
    </format>
    <format dxfId="426">
      <pivotArea dataOnly="0" labelOnly="1" outline="0" fieldPosition="0">
        <references count="2">
          <reference field="0" count="1" selected="0">
            <x v="3"/>
          </reference>
          <reference field="1" count="29">
            <x v="90"/>
            <x v="91"/>
            <x v="92"/>
            <x v="93"/>
            <x v="94"/>
            <x v="95"/>
            <x v="96"/>
            <x v="97"/>
            <x v="98"/>
            <x v="99"/>
            <x v="100"/>
            <x v="101"/>
            <x v="102"/>
            <x v="103"/>
            <x v="104"/>
            <x v="105"/>
            <x v="106"/>
            <x v="107"/>
            <x v="108"/>
            <x v="109"/>
            <x v="110"/>
            <x v="111"/>
            <x v="112"/>
            <x v="113"/>
            <x v="114"/>
            <x v="115"/>
            <x v="116"/>
            <x v="117"/>
            <x v="118"/>
          </reference>
        </references>
      </pivotArea>
    </format>
    <format dxfId="425">
      <pivotArea dataOnly="0" labelOnly="1" outline="0" fieldPosition="0">
        <references count="2">
          <reference field="0" count="1" selected="0">
            <x v="4"/>
          </reference>
          <reference field="1" count="30">
            <x v="119"/>
            <x v="120"/>
            <x v="121"/>
            <x v="122"/>
            <x v="123"/>
            <x v="124"/>
            <x v="125"/>
            <x v="126"/>
            <x v="127"/>
            <x v="128"/>
            <x v="129"/>
            <x v="130"/>
            <x v="131"/>
            <x v="132"/>
            <x v="133"/>
            <x v="134"/>
            <x v="135"/>
            <x v="136"/>
            <x v="137"/>
            <x v="138"/>
            <x v="139"/>
            <x v="140"/>
            <x v="141"/>
            <x v="142"/>
            <x v="143"/>
            <x v="144"/>
            <x v="145"/>
            <x v="146"/>
            <x v="147"/>
            <x v="148"/>
          </reference>
        </references>
      </pivotArea>
    </format>
    <format dxfId="424">
      <pivotArea dataOnly="0" labelOnly="1" outline="0" fieldPosition="0">
        <references count="2">
          <reference field="0" count="1" selected="0">
            <x v="5"/>
          </reference>
          <reference field="1" count="30">
            <x v="149"/>
            <x v="150"/>
            <x v="151"/>
            <x v="152"/>
            <x v="153"/>
            <x v="154"/>
            <x v="155"/>
            <x v="156"/>
            <x v="157"/>
            <x v="158"/>
            <x v="159"/>
            <x v="160"/>
            <x v="161"/>
            <x v="162"/>
            <x v="163"/>
            <x v="164"/>
            <x v="165"/>
            <x v="166"/>
            <x v="167"/>
            <x v="168"/>
            <x v="169"/>
            <x v="170"/>
            <x v="171"/>
            <x v="172"/>
            <x v="173"/>
            <x v="174"/>
            <x v="175"/>
            <x v="176"/>
            <x v="177"/>
            <x v="178"/>
          </reference>
        </references>
      </pivotArea>
    </format>
    <format dxfId="423">
      <pivotArea dataOnly="0" labelOnly="1" outline="0" fieldPosition="0">
        <references count="1">
          <reference field="4294967294" count="3">
            <x v="0"/>
            <x v="1"/>
            <x v="2"/>
          </reference>
        </references>
      </pivotArea>
    </format>
    <format dxfId="422">
      <pivotArea outline="0" fieldPosition="0">
        <references count="2">
          <reference field="0" count="1" selected="0">
            <x v="1"/>
          </reference>
          <reference field="1" count="1" selected="0">
            <x v="40"/>
          </reference>
        </references>
      </pivotArea>
    </format>
    <format dxfId="421">
      <pivotArea outline="0" fieldPosition="0">
        <references count="2">
          <reference field="0" count="1" selected="0">
            <x v="1"/>
          </reference>
          <reference field="1" count="1" selected="0">
            <x v="40"/>
          </reference>
        </references>
      </pivotArea>
    </format>
    <format dxfId="420">
      <pivotArea outline="0" fieldPosition="0">
        <references count="2">
          <reference field="0" count="1" selected="0">
            <x v="1"/>
          </reference>
          <reference field="1" count="1" selected="0">
            <x v="40"/>
          </reference>
        </references>
      </pivotArea>
    </format>
    <format dxfId="419">
      <pivotArea type="all" dataOnly="0" outline="0" fieldPosition="0"/>
    </format>
    <format dxfId="418">
      <pivotArea outline="0" collapsedLevelsAreSubtotals="1" fieldPosition="0"/>
    </format>
    <format dxfId="417">
      <pivotArea type="origin" dataOnly="0" labelOnly="1" outline="0" fieldPosition="0"/>
    </format>
    <format dxfId="416">
      <pivotArea field="-2" type="button" dataOnly="0" labelOnly="1" outline="0" axis="axisCol" fieldPosition="0"/>
    </format>
    <format dxfId="415">
      <pivotArea type="topRight" dataOnly="0" labelOnly="1" outline="0" fieldPosition="0"/>
    </format>
    <format dxfId="414">
      <pivotArea field="0" type="button" dataOnly="0" labelOnly="1" outline="0" axis="axisRow" fieldPosition="0"/>
    </format>
    <format dxfId="413">
      <pivotArea field="1" type="button" dataOnly="0" labelOnly="1" outline="0" axis="axisRow" fieldPosition="1"/>
    </format>
    <format dxfId="412">
      <pivotArea dataOnly="0" labelOnly="1" outline="0" fieldPosition="0">
        <references count="1">
          <reference field="0" count="0"/>
        </references>
      </pivotArea>
    </format>
    <format dxfId="411">
      <pivotArea dataOnly="0" labelOnly="1" outline="0" fieldPosition="0">
        <references count="2">
          <reference field="0" count="1" selected="0">
            <x v="0"/>
          </reference>
          <reference field="1" count="31">
            <x v="0"/>
            <x v="1"/>
            <x v="2"/>
            <x v="3"/>
            <x v="4"/>
            <x v="5"/>
            <x v="6"/>
            <x v="7"/>
            <x v="8"/>
            <x v="9"/>
            <x v="10"/>
            <x v="11"/>
            <x v="12"/>
            <x v="13"/>
            <x v="14"/>
            <x v="15"/>
            <x v="16"/>
            <x v="17"/>
            <x v="18"/>
            <x v="19"/>
            <x v="20"/>
            <x v="21"/>
            <x v="22"/>
            <x v="23"/>
            <x v="24"/>
            <x v="25"/>
            <x v="26"/>
            <x v="27"/>
            <x v="28"/>
            <x v="29"/>
            <x v="30"/>
          </reference>
        </references>
      </pivotArea>
    </format>
    <format dxfId="410">
      <pivotArea dataOnly="0" labelOnly="1" outline="0" fieldPosition="0">
        <references count="2">
          <reference field="0" count="1" selected="0">
            <x v="1"/>
          </reference>
          <reference field="1" count="28">
            <x v="31"/>
            <x v="32"/>
            <x v="33"/>
            <x v="34"/>
            <x v="35"/>
            <x v="36"/>
            <x v="37"/>
            <x v="38"/>
            <x v="39"/>
            <x v="40"/>
            <x v="41"/>
            <x v="42"/>
            <x v="43"/>
            <x v="44"/>
            <x v="45"/>
            <x v="46"/>
            <x v="47"/>
            <x v="48"/>
            <x v="49"/>
            <x v="50"/>
            <x v="51"/>
            <x v="52"/>
            <x v="53"/>
            <x v="54"/>
            <x v="55"/>
            <x v="56"/>
            <x v="57"/>
            <x v="58"/>
          </reference>
        </references>
      </pivotArea>
    </format>
    <format dxfId="409">
      <pivotArea dataOnly="0" labelOnly="1" outline="0" fieldPosition="0">
        <references count="2">
          <reference field="0" count="1" selected="0">
            <x v="2"/>
          </reference>
          <reference field="1" count="31">
            <x v="59"/>
            <x v="60"/>
            <x v="61"/>
            <x v="62"/>
            <x v="63"/>
            <x v="64"/>
            <x v="65"/>
            <x v="66"/>
            <x v="67"/>
            <x v="68"/>
            <x v="69"/>
            <x v="70"/>
            <x v="71"/>
            <x v="72"/>
            <x v="73"/>
            <x v="74"/>
            <x v="75"/>
            <x v="76"/>
            <x v="77"/>
            <x v="78"/>
            <x v="79"/>
            <x v="80"/>
            <x v="81"/>
            <x v="82"/>
            <x v="83"/>
            <x v="84"/>
            <x v="85"/>
            <x v="86"/>
            <x v="87"/>
            <x v="88"/>
            <x v="89"/>
          </reference>
        </references>
      </pivotArea>
    </format>
    <format dxfId="408">
      <pivotArea dataOnly="0" labelOnly="1" outline="0" fieldPosition="0">
        <references count="2">
          <reference field="0" count="1" selected="0">
            <x v="3"/>
          </reference>
          <reference field="1" count="29">
            <x v="90"/>
            <x v="91"/>
            <x v="92"/>
            <x v="93"/>
            <x v="94"/>
            <x v="95"/>
            <x v="96"/>
            <x v="97"/>
            <x v="98"/>
            <x v="99"/>
            <x v="100"/>
            <x v="101"/>
            <x v="102"/>
            <x v="103"/>
            <x v="104"/>
            <x v="105"/>
            <x v="106"/>
            <x v="107"/>
            <x v="108"/>
            <x v="109"/>
            <x v="110"/>
            <x v="111"/>
            <x v="112"/>
            <x v="113"/>
            <x v="114"/>
            <x v="115"/>
            <x v="116"/>
            <x v="117"/>
            <x v="118"/>
          </reference>
        </references>
      </pivotArea>
    </format>
    <format dxfId="407">
      <pivotArea dataOnly="0" labelOnly="1" outline="0" fieldPosition="0">
        <references count="2">
          <reference field="0" count="1" selected="0">
            <x v="4"/>
          </reference>
          <reference field="1" count="30">
            <x v="119"/>
            <x v="120"/>
            <x v="121"/>
            <x v="122"/>
            <x v="123"/>
            <x v="124"/>
            <x v="125"/>
            <x v="126"/>
            <x v="127"/>
            <x v="128"/>
            <x v="129"/>
            <x v="130"/>
            <x v="131"/>
            <x v="132"/>
            <x v="133"/>
            <x v="134"/>
            <x v="135"/>
            <x v="136"/>
            <x v="137"/>
            <x v="138"/>
            <x v="139"/>
            <x v="140"/>
            <x v="141"/>
            <x v="142"/>
            <x v="143"/>
            <x v="144"/>
            <x v="145"/>
            <x v="146"/>
            <x v="147"/>
            <x v="148"/>
          </reference>
        </references>
      </pivotArea>
    </format>
    <format dxfId="406">
      <pivotArea dataOnly="0" labelOnly="1" outline="0" fieldPosition="0">
        <references count="2">
          <reference field="0" count="1" selected="0">
            <x v="5"/>
          </reference>
          <reference field="1" count="30">
            <x v="149"/>
            <x v="150"/>
            <x v="151"/>
            <x v="152"/>
            <x v="153"/>
            <x v="154"/>
            <x v="155"/>
            <x v="156"/>
            <x v="157"/>
            <x v="158"/>
            <x v="159"/>
            <x v="160"/>
            <x v="161"/>
            <x v="162"/>
            <x v="163"/>
            <x v="164"/>
            <x v="165"/>
            <x v="166"/>
            <x v="167"/>
            <x v="168"/>
            <x v="169"/>
            <x v="170"/>
            <x v="171"/>
            <x v="172"/>
            <x v="173"/>
            <x v="174"/>
            <x v="175"/>
            <x v="176"/>
            <x v="177"/>
            <x v="178"/>
          </reference>
        </references>
      </pivotArea>
    </format>
    <format dxfId="405">
      <pivotArea dataOnly="0" labelOnly="1" outline="0" fieldPosition="0">
        <references count="1">
          <reference field="4294967294" count="3">
            <x v="0"/>
            <x v="1"/>
            <x v="2"/>
          </reference>
        </references>
      </pivotArea>
    </format>
    <format dxfId="404">
      <pivotArea type="all" dataOnly="0" outline="0" fieldPosition="0"/>
    </format>
    <format dxfId="403">
      <pivotArea outline="0" collapsedLevelsAreSubtotals="1" fieldPosition="0"/>
    </format>
    <format dxfId="402">
      <pivotArea type="origin" dataOnly="0" labelOnly="1" outline="0" fieldPosition="0"/>
    </format>
    <format dxfId="401">
      <pivotArea field="-2" type="button" dataOnly="0" labelOnly="1" outline="0" axis="axisCol" fieldPosition="0"/>
    </format>
    <format dxfId="400">
      <pivotArea type="topRight" dataOnly="0" labelOnly="1" outline="0" fieldPosition="0"/>
    </format>
    <format dxfId="399">
      <pivotArea field="0" type="button" dataOnly="0" labelOnly="1" outline="0" axis="axisRow" fieldPosition="0"/>
    </format>
    <format dxfId="398">
      <pivotArea field="1" type="button" dataOnly="0" labelOnly="1" outline="0" axis="axisRow" fieldPosition="1"/>
    </format>
    <format dxfId="397">
      <pivotArea dataOnly="0" labelOnly="1" outline="0" fieldPosition="0">
        <references count="1">
          <reference field="0" count="0"/>
        </references>
      </pivotArea>
    </format>
    <format dxfId="396">
      <pivotArea dataOnly="0" labelOnly="1" outline="0" fieldPosition="0">
        <references count="2">
          <reference field="0" count="1" selected="0">
            <x v="0"/>
          </reference>
          <reference field="1" count="31">
            <x v="0"/>
            <x v="1"/>
            <x v="2"/>
            <x v="3"/>
            <x v="4"/>
            <x v="5"/>
            <x v="6"/>
            <x v="7"/>
            <x v="8"/>
            <x v="9"/>
            <x v="10"/>
            <x v="11"/>
            <x v="12"/>
            <x v="13"/>
            <x v="14"/>
            <x v="15"/>
            <x v="16"/>
            <x v="17"/>
            <x v="18"/>
            <x v="19"/>
            <x v="20"/>
            <x v="21"/>
            <x v="22"/>
            <x v="23"/>
            <x v="24"/>
            <x v="25"/>
            <x v="26"/>
            <x v="27"/>
            <x v="28"/>
            <x v="29"/>
            <x v="30"/>
          </reference>
        </references>
      </pivotArea>
    </format>
    <format dxfId="395">
      <pivotArea dataOnly="0" labelOnly="1" outline="0" fieldPosition="0">
        <references count="2">
          <reference field="0" count="1" selected="0">
            <x v="1"/>
          </reference>
          <reference field="1" count="28">
            <x v="31"/>
            <x v="32"/>
            <x v="33"/>
            <x v="34"/>
            <x v="35"/>
            <x v="36"/>
            <x v="37"/>
            <x v="38"/>
            <x v="39"/>
            <x v="40"/>
            <x v="41"/>
            <x v="42"/>
            <x v="43"/>
            <x v="44"/>
            <x v="45"/>
            <x v="46"/>
            <x v="47"/>
            <x v="48"/>
            <x v="49"/>
            <x v="50"/>
            <x v="51"/>
            <x v="52"/>
            <x v="53"/>
            <x v="54"/>
            <x v="55"/>
            <x v="56"/>
            <x v="57"/>
            <x v="58"/>
          </reference>
        </references>
      </pivotArea>
    </format>
    <format dxfId="394">
      <pivotArea dataOnly="0" labelOnly="1" outline="0" fieldPosition="0">
        <references count="2">
          <reference field="0" count="1" selected="0">
            <x v="2"/>
          </reference>
          <reference field="1" count="31">
            <x v="59"/>
            <x v="60"/>
            <x v="61"/>
            <x v="62"/>
            <x v="63"/>
            <x v="64"/>
            <x v="65"/>
            <x v="66"/>
            <x v="67"/>
            <x v="68"/>
            <x v="69"/>
            <x v="70"/>
            <x v="71"/>
            <x v="72"/>
            <x v="73"/>
            <x v="74"/>
            <x v="75"/>
            <x v="76"/>
            <x v="77"/>
            <x v="78"/>
            <x v="79"/>
            <x v="80"/>
            <x v="81"/>
            <x v="82"/>
            <x v="83"/>
            <x v="84"/>
            <x v="85"/>
            <x v="86"/>
            <x v="87"/>
            <x v="88"/>
            <x v="89"/>
          </reference>
        </references>
      </pivotArea>
    </format>
    <format dxfId="393">
      <pivotArea dataOnly="0" labelOnly="1" outline="0" fieldPosition="0">
        <references count="2">
          <reference field="0" count="1" selected="0">
            <x v="3"/>
          </reference>
          <reference field="1" count="29">
            <x v="90"/>
            <x v="91"/>
            <x v="92"/>
            <x v="93"/>
            <x v="94"/>
            <x v="95"/>
            <x v="96"/>
            <x v="97"/>
            <x v="98"/>
            <x v="99"/>
            <x v="100"/>
            <x v="101"/>
            <x v="102"/>
            <x v="103"/>
            <x v="104"/>
            <x v="105"/>
            <x v="106"/>
            <x v="107"/>
            <x v="108"/>
            <x v="109"/>
            <x v="110"/>
            <x v="111"/>
            <x v="112"/>
            <x v="113"/>
            <x v="114"/>
            <x v="115"/>
            <x v="116"/>
            <x v="117"/>
            <x v="118"/>
          </reference>
        </references>
      </pivotArea>
    </format>
    <format dxfId="392">
      <pivotArea dataOnly="0" labelOnly="1" outline="0" fieldPosition="0">
        <references count="2">
          <reference field="0" count="1" selected="0">
            <x v="4"/>
          </reference>
          <reference field="1" count="30">
            <x v="119"/>
            <x v="120"/>
            <x v="121"/>
            <x v="122"/>
            <x v="123"/>
            <x v="124"/>
            <x v="125"/>
            <x v="126"/>
            <x v="127"/>
            <x v="128"/>
            <x v="129"/>
            <x v="130"/>
            <x v="131"/>
            <x v="132"/>
            <x v="133"/>
            <x v="134"/>
            <x v="135"/>
            <x v="136"/>
            <x v="137"/>
            <x v="138"/>
            <x v="139"/>
            <x v="140"/>
            <x v="141"/>
            <x v="142"/>
            <x v="143"/>
            <x v="144"/>
            <x v="145"/>
            <x v="146"/>
            <x v="147"/>
            <x v="148"/>
          </reference>
        </references>
      </pivotArea>
    </format>
    <format dxfId="391">
      <pivotArea dataOnly="0" labelOnly="1" outline="0" fieldPosition="0">
        <references count="2">
          <reference field="0" count="1" selected="0">
            <x v="5"/>
          </reference>
          <reference field="1" count="30">
            <x v="149"/>
            <x v="150"/>
            <x v="151"/>
            <x v="152"/>
            <x v="153"/>
            <x v="154"/>
            <x v="155"/>
            <x v="156"/>
            <x v="157"/>
            <x v="158"/>
            <x v="159"/>
            <x v="160"/>
            <x v="161"/>
            <x v="162"/>
            <x v="163"/>
            <x v="164"/>
            <x v="165"/>
            <x v="166"/>
            <x v="167"/>
            <x v="168"/>
            <x v="169"/>
            <x v="170"/>
            <x v="171"/>
            <x v="172"/>
            <x v="173"/>
            <x v="174"/>
            <x v="175"/>
            <x v="176"/>
            <x v="177"/>
            <x v="178"/>
          </reference>
        </references>
      </pivotArea>
    </format>
    <format dxfId="390">
      <pivotArea dataOnly="0" labelOnly="1" outline="0" fieldPosition="0">
        <references count="1">
          <reference field="4294967294" count="3">
            <x v="0"/>
            <x v="1"/>
            <x v="2"/>
          </reference>
        </references>
      </pivotArea>
    </format>
  </formats>
  <chartFormats count="179">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3">
          <reference field="4294967294" count="1" selected="0">
            <x v="0"/>
          </reference>
          <reference field="0" count="1" selected="0">
            <x v="0"/>
          </reference>
          <reference field="1" count="1" selected="0">
            <x v="2"/>
          </reference>
        </references>
      </pivotArea>
    </chartFormat>
    <chartFormat chart="0" format="3" series="1">
      <pivotArea type="data" outline="0" fieldPosition="0">
        <references count="3">
          <reference field="4294967294" count="1" selected="0">
            <x v="0"/>
          </reference>
          <reference field="0" count="1" selected="0">
            <x v="0"/>
          </reference>
          <reference field="1" count="1" selected="0">
            <x v="3"/>
          </reference>
        </references>
      </pivotArea>
    </chartFormat>
    <chartFormat chart="0" format="4" series="1">
      <pivotArea type="data" outline="0" fieldPosition="0">
        <references count="3">
          <reference field="4294967294" count="1" selected="0">
            <x v="0"/>
          </reference>
          <reference field="0" count="1" selected="0">
            <x v="0"/>
          </reference>
          <reference field="1" count="1" selected="0">
            <x v="4"/>
          </reference>
        </references>
      </pivotArea>
    </chartFormat>
    <chartFormat chart="0" format="5" series="1">
      <pivotArea type="data" outline="0" fieldPosition="0">
        <references count="3">
          <reference field="4294967294" count="1" selected="0">
            <x v="0"/>
          </reference>
          <reference field="0" count="1" selected="0">
            <x v="0"/>
          </reference>
          <reference field="1" count="1" selected="0">
            <x v="5"/>
          </reference>
        </references>
      </pivotArea>
    </chartFormat>
    <chartFormat chart="0" format="6" series="1">
      <pivotArea type="data" outline="0" fieldPosition="0">
        <references count="3">
          <reference field="4294967294" count="1" selected="0">
            <x v="0"/>
          </reference>
          <reference field="0" count="1" selected="0">
            <x v="0"/>
          </reference>
          <reference field="1" count="1" selected="0">
            <x v="6"/>
          </reference>
        </references>
      </pivotArea>
    </chartFormat>
    <chartFormat chart="0" format="7" series="1">
      <pivotArea type="data" outline="0" fieldPosition="0">
        <references count="3">
          <reference field="4294967294" count="1" selected="0">
            <x v="0"/>
          </reference>
          <reference field="0" count="1" selected="0">
            <x v="0"/>
          </reference>
          <reference field="1" count="1" selected="0">
            <x v="7"/>
          </reference>
        </references>
      </pivotArea>
    </chartFormat>
    <chartFormat chart="0" format="8" series="1">
      <pivotArea type="data" outline="0" fieldPosition="0">
        <references count="3">
          <reference field="4294967294" count="1" selected="0">
            <x v="0"/>
          </reference>
          <reference field="0" count="1" selected="0">
            <x v="0"/>
          </reference>
          <reference field="1" count="1" selected="0">
            <x v="8"/>
          </reference>
        </references>
      </pivotArea>
    </chartFormat>
    <chartFormat chart="0" format="9" series="1">
      <pivotArea type="data" outline="0" fieldPosition="0">
        <references count="3">
          <reference field="4294967294" count="1" selected="0">
            <x v="0"/>
          </reference>
          <reference field="0" count="1" selected="0">
            <x v="0"/>
          </reference>
          <reference field="1" count="1" selected="0">
            <x v="9"/>
          </reference>
        </references>
      </pivotArea>
    </chartFormat>
    <chartFormat chart="0" format="10" series="1">
      <pivotArea type="data" outline="0" fieldPosition="0">
        <references count="3">
          <reference field="4294967294" count="1" selected="0">
            <x v="0"/>
          </reference>
          <reference field="0" count="1" selected="0">
            <x v="0"/>
          </reference>
          <reference field="1" count="1" selected="0">
            <x v="10"/>
          </reference>
        </references>
      </pivotArea>
    </chartFormat>
    <chartFormat chart="0" format="11" series="1">
      <pivotArea type="data" outline="0" fieldPosition="0">
        <references count="3">
          <reference field="4294967294" count="1" selected="0">
            <x v="0"/>
          </reference>
          <reference field="0" count="1" selected="0">
            <x v="0"/>
          </reference>
          <reference field="1" count="1" selected="0">
            <x v="11"/>
          </reference>
        </references>
      </pivotArea>
    </chartFormat>
    <chartFormat chart="0" format="12" series="1">
      <pivotArea type="data" outline="0" fieldPosition="0">
        <references count="3">
          <reference field="4294967294" count="1" selected="0">
            <x v="0"/>
          </reference>
          <reference field="0" count="1" selected="0">
            <x v="0"/>
          </reference>
          <reference field="1" count="1" selected="0">
            <x v="12"/>
          </reference>
        </references>
      </pivotArea>
    </chartFormat>
    <chartFormat chart="0" format="13" series="1">
      <pivotArea type="data" outline="0" fieldPosition="0">
        <references count="3">
          <reference field="4294967294" count="1" selected="0">
            <x v="0"/>
          </reference>
          <reference field="0" count="1" selected="0">
            <x v="0"/>
          </reference>
          <reference field="1" count="1" selected="0">
            <x v="13"/>
          </reference>
        </references>
      </pivotArea>
    </chartFormat>
    <chartFormat chart="0" format="14" series="1">
      <pivotArea type="data" outline="0" fieldPosition="0">
        <references count="3">
          <reference field="4294967294" count="1" selected="0">
            <x v="0"/>
          </reference>
          <reference field="0" count="1" selected="0">
            <x v="0"/>
          </reference>
          <reference field="1" count="1" selected="0">
            <x v="14"/>
          </reference>
        </references>
      </pivotArea>
    </chartFormat>
    <chartFormat chart="0" format="15" series="1">
      <pivotArea type="data" outline="0" fieldPosition="0">
        <references count="3">
          <reference field="4294967294" count="1" selected="0">
            <x v="0"/>
          </reference>
          <reference field="0" count="1" selected="0">
            <x v="0"/>
          </reference>
          <reference field="1" count="1" selected="0">
            <x v="15"/>
          </reference>
        </references>
      </pivotArea>
    </chartFormat>
    <chartFormat chart="0" format="16" series="1">
      <pivotArea type="data" outline="0" fieldPosition="0">
        <references count="3">
          <reference field="4294967294" count="1" selected="0">
            <x v="0"/>
          </reference>
          <reference field="0" count="1" selected="0">
            <x v="0"/>
          </reference>
          <reference field="1" count="1" selected="0">
            <x v="16"/>
          </reference>
        </references>
      </pivotArea>
    </chartFormat>
    <chartFormat chart="0" format="17" series="1">
      <pivotArea type="data" outline="0" fieldPosition="0">
        <references count="3">
          <reference field="4294967294" count="1" selected="0">
            <x v="0"/>
          </reference>
          <reference field="0" count="1" selected="0">
            <x v="0"/>
          </reference>
          <reference field="1" count="1" selected="0">
            <x v="17"/>
          </reference>
        </references>
      </pivotArea>
    </chartFormat>
    <chartFormat chart="0" format="18" series="1">
      <pivotArea type="data" outline="0" fieldPosition="0">
        <references count="3">
          <reference field="4294967294" count="1" selected="0">
            <x v="0"/>
          </reference>
          <reference field="0" count="1" selected="0">
            <x v="0"/>
          </reference>
          <reference field="1" count="1" selected="0">
            <x v="18"/>
          </reference>
        </references>
      </pivotArea>
    </chartFormat>
    <chartFormat chart="0" format="19" series="1">
      <pivotArea type="data" outline="0" fieldPosition="0">
        <references count="3">
          <reference field="4294967294" count="1" selected="0">
            <x v="0"/>
          </reference>
          <reference field="0" count="1" selected="0">
            <x v="0"/>
          </reference>
          <reference field="1" count="1" selected="0">
            <x v="19"/>
          </reference>
        </references>
      </pivotArea>
    </chartFormat>
    <chartFormat chart="0" format="20" series="1">
      <pivotArea type="data" outline="0" fieldPosition="0">
        <references count="3">
          <reference field="4294967294" count="1" selected="0">
            <x v="0"/>
          </reference>
          <reference field="0" count="1" selected="0">
            <x v="0"/>
          </reference>
          <reference field="1" count="1" selected="0">
            <x v="20"/>
          </reference>
        </references>
      </pivotArea>
    </chartFormat>
    <chartFormat chart="0" format="21" series="1">
      <pivotArea type="data" outline="0" fieldPosition="0">
        <references count="3">
          <reference field="4294967294" count="1" selected="0">
            <x v="0"/>
          </reference>
          <reference field="0" count="1" selected="0">
            <x v="0"/>
          </reference>
          <reference field="1" count="1" selected="0">
            <x v="21"/>
          </reference>
        </references>
      </pivotArea>
    </chartFormat>
    <chartFormat chart="0" format="22" series="1">
      <pivotArea type="data" outline="0" fieldPosition="0">
        <references count="3">
          <reference field="4294967294" count="1" selected="0">
            <x v="0"/>
          </reference>
          <reference field="0" count="1" selected="0">
            <x v="0"/>
          </reference>
          <reference field="1" count="1" selected="0">
            <x v="22"/>
          </reference>
        </references>
      </pivotArea>
    </chartFormat>
    <chartFormat chart="0" format="23" series="1">
      <pivotArea type="data" outline="0" fieldPosition="0">
        <references count="3">
          <reference field="4294967294" count="1" selected="0">
            <x v="0"/>
          </reference>
          <reference field="0" count="1" selected="0">
            <x v="0"/>
          </reference>
          <reference field="1" count="1" selected="0">
            <x v="23"/>
          </reference>
        </references>
      </pivotArea>
    </chartFormat>
    <chartFormat chart="0" format="24" series="1">
      <pivotArea type="data" outline="0" fieldPosition="0">
        <references count="3">
          <reference field="4294967294" count="1" selected="0">
            <x v="0"/>
          </reference>
          <reference field="0" count="1" selected="0">
            <x v="0"/>
          </reference>
          <reference field="1" count="1" selected="0">
            <x v="24"/>
          </reference>
        </references>
      </pivotArea>
    </chartFormat>
    <chartFormat chart="0" format="25" series="1">
      <pivotArea type="data" outline="0" fieldPosition="0">
        <references count="3">
          <reference field="4294967294" count="1" selected="0">
            <x v="0"/>
          </reference>
          <reference field="0" count="1" selected="0">
            <x v="0"/>
          </reference>
          <reference field="1" count="1" selected="0">
            <x v="25"/>
          </reference>
        </references>
      </pivotArea>
    </chartFormat>
    <chartFormat chart="0" format="26" series="1">
      <pivotArea type="data" outline="0" fieldPosition="0">
        <references count="3">
          <reference field="4294967294" count="1" selected="0">
            <x v="0"/>
          </reference>
          <reference field="0" count="1" selected="0">
            <x v="0"/>
          </reference>
          <reference field="1" count="1" selected="0">
            <x v="26"/>
          </reference>
        </references>
      </pivotArea>
    </chartFormat>
    <chartFormat chart="0" format="27" series="1">
      <pivotArea type="data" outline="0" fieldPosition="0">
        <references count="3">
          <reference field="4294967294" count="1" selected="0">
            <x v="0"/>
          </reference>
          <reference field="0" count="1" selected="0">
            <x v="0"/>
          </reference>
          <reference field="1" count="1" selected="0">
            <x v="27"/>
          </reference>
        </references>
      </pivotArea>
    </chartFormat>
    <chartFormat chart="0" format="28" series="1">
      <pivotArea type="data" outline="0" fieldPosition="0">
        <references count="3">
          <reference field="4294967294" count="1" selected="0">
            <x v="0"/>
          </reference>
          <reference field="0" count="1" selected="0">
            <x v="0"/>
          </reference>
          <reference field="1" count="1" selected="0">
            <x v="28"/>
          </reference>
        </references>
      </pivotArea>
    </chartFormat>
    <chartFormat chart="0" format="29" series="1">
      <pivotArea type="data" outline="0" fieldPosition="0">
        <references count="3">
          <reference field="4294967294" count="1" selected="0">
            <x v="0"/>
          </reference>
          <reference field="0" count="1" selected="0">
            <x v="0"/>
          </reference>
          <reference field="1" count="1" selected="0">
            <x v="29"/>
          </reference>
        </references>
      </pivotArea>
    </chartFormat>
    <chartFormat chart="0" format="30" series="1">
      <pivotArea type="data" outline="0" fieldPosition="0">
        <references count="3">
          <reference field="4294967294" count="1" selected="0">
            <x v="0"/>
          </reference>
          <reference field="0" count="1" selected="0">
            <x v="0"/>
          </reference>
          <reference field="1" count="1" selected="0">
            <x v="30"/>
          </reference>
        </references>
      </pivotArea>
    </chartFormat>
    <chartFormat chart="0" format="31" series="1">
      <pivotArea type="data" outline="0" fieldPosition="0">
        <references count="3">
          <reference field="4294967294" count="1" selected="0">
            <x v="0"/>
          </reference>
          <reference field="0" count="1" selected="0">
            <x v="1"/>
          </reference>
          <reference field="1" count="1" selected="0">
            <x v="31"/>
          </reference>
        </references>
      </pivotArea>
    </chartFormat>
    <chartFormat chart="0" format="32" series="1">
      <pivotArea type="data" outline="0" fieldPosition="0">
        <references count="3">
          <reference field="4294967294" count="1" selected="0">
            <x v="0"/>
          </reference>
          <reference field="0" count="1" selected="0">
            <x v="1"/>
          </reference>
          <reference field="1" count="1" selected="0">
            <x v="32"/>
          </reference>
        </references>
      </pivotArea>
    </chartFormat>
    <chartFormat chart="0" format="33" series="1">
      <pivotArea type="data" outline="0" fieldPosition="0">
        <references count="3">
          <reference field="4294967294" count="1" selected="0">
            <x v="0"/>
          </reference>
          <reference field="0" count="1" selected="0">
            <x v="1"/>
          </reference>
          <reference field="1" count="1" selected="0">
            <x v="33"/>
          </reference>
        </references>
      </pivotArea>
    </chartFormat>
    <chartFormat chart="0" format="34" series="1">
      <pivotArea type="data" outline="0" fieldPosition="0">
        <references count="3">
          <reference field="4294967294" count="1" selected="0">
            <x v="0"/>
          </reference>
          <reference field="0" count="1" selected="0">
            <x v="1"/>
          </reference>
          <reference field="1" count="1" selected="0">
            <x v="34"/>
          </reference>
        </references>
      </pivotArea>
    </chartFormat>
    <chartFormat chart="0" format="35" series="1">
      <pivotArea type="data" outline="0" fieldPosition="0">
        <references count="3">
          <reference field="4294967294" count="1" selected="0">
            <x v="0"/>
          </reference>
          <reference field="0" count="1" selected="0">
            <x v="1"/>
          </reference>
          <reference field="1" count="1" selected="0">
            <x v="35"/>
          </reference>
        </references>
      </pivotArea>
    </chartFormat>
    <chartFormat chart="0" format="36" series="1">
      <pivotArea type="data" outline="0" fieldPosition="0">
        <references count="3">
          <reference field="4294967294" count="1" selected="0">
            <x v="0"/>
          </reference>
          <reference field="0" count="1" selected="0">
            <x v="1"/>
          </reference>
          <reference field="1" count="1" selected="0">
            <x v="36"/>
          </reference>
        </references>
      </pivotArea>
    </chartFormat>
    <chartFormat chart="0" format="37" series="1">
      <pivotArea type="data" outline="0" fieldPosition="0">
        <references count="3">
          <reference field="4294967294" count="1" selected="0">
            <x v="0"/>
          </reference>
          <reference field="0" count="1" selected="0">
            <x v="1"/>
          </reference>
          <reference field="1" count="1" selected="0">
            <x v="37"/>
          </reference>
        </references>
      </pivotArea>
    </chartFormat>
    <chartFormat chart="0" format="38" series="1">
      <pivotArea type="data" outline="0" fieldPosition="0">
        <references count="3">
          <reference field="4294967294" count="1" selected="0">
            <x v="0"/>
          </reference>
          <reference field="0" count="1" selected="0">
            <x v="1"/>
          </reference>
          <reference field="1" count="1" selected="0">
            <x v="38"/>
          </reference>
        </references>
      </pivotArea>
    </chartFormat>
    <chartFormat chart="0" format="39" series="1">
      <pivotArea type="data" outline="0" fieldPosition="0">
        <references count="3">
          <reference field="4294967294" count="1" selected="0">
            <x v="0"/>
          </reference>
          <reference field="0" count="1" selected="0">
            <x v="1"/>
          </reference>
          <reference field="1" count="1" selected="0">
            <x v="39"/>
          </reference>
        </references>
      </pivotArea>
    </chartFormat>
    <chartFormat chart="0" format="40" series="1">
      <pivotArea type="data" outline="0" fieldPosition="0">
        <references count="3">
          <reference field="4294967294" count="1" selected="0">
            <x v="0"/>
          </reference>
          <reference field="0" count="1" selected="0">
            <x v="1"/>
          </reference>
          <reference field="1" count="1" selected="0">
            <x v="40"/>
          </reference>
        </references>
      </pivotArea>
    </chartFormat>
    <chartFormat chart="0" format="41" series="1">
      <pivotArea type="data" outline="0" fieldPosition="0">
        <references count="3">
          <reference field="4294967294" count="1" selected="0">
            <x v="0"/>
          </reference>
          <reference field="0" count="1" selected="0">
            <x v="1"/>
          </reference>
          <reference field="1" count="1" selected="0">
            <x v="41"/>
          </reference>
        </references>
      </pivotArea>
    </chartFormat>
    <chartFormat chart="0" format="42" series="1">
      <pivotArea type="data" outline="0" fieldPosition="0">
        <references count="3">
          <reference field="4294967294" count="1" selected="0">
            <x v="0"/>
          </reference>
          <reference field="0" count="1" selected="0">
            <x v="1"/>
          </reference>
          <reference field="1" count="1" selected="0">
            <x v="42"/>
          </reference>
        </references>
      </pivotArea>
    </chartFormat>
    <chartFormat chart="0" format="43" series="1">
      <pivotArea type="data" outline="0" fieldPosition="0">
        <references count="3">
          <reference field="4294967294" count="1" selected="0">
            <x v="0"/>
          </reference>
          <reference field="0" count="1" selected="0">
            <x v="1"/>
          </reference>
          <reference field="1" count="1" selected="0">
            <x v="43"/>
          </reference>
        </references>
      </pivotArea>
    </chartFormat>
    <chartFormat chart="0" format="44" series="1">
      <pivotArea type="data" outline="0" fieldPosition="0">
        <references count="3">
          <reference field="4294967294" count="1" selected="0">
            <x v="0"/>
          </reference>
          <reference field="0" count="1" selected="0">
            <x v="1"/>
          </reference>
          <reference field="1" count="1" selected="0">
            <x v="44"/>
          </reference>
        </references>
      </pivotArea>
    </chartFormat>
    <chartFormat chart="0" format="45" series="1">
      <pivotArea type="data" outline="0" fieldPosition="0">
        <references count="3">
          <reference field="4294967294" count="1" selected="0">
            <x v="0"/>
          </reference>
          <reference field="0" count="1" selected="0">
            <x v="1"/>
          </reference>
          <reference field="1" count="1" selected="0">
            <x v="45"/>
          </reference>
        </references>
      </pivotArea>
    </chartFormat>
    <chartFormat chart="0" format="46" series="1">
      <pivotArea type="data" outline="0" fieldPosition="0">
        <references count="3">
          <reference field="4294967294" count="1" selected="0">
            <x v="0"/>
          </reference>
          <reference field="0" count="1" selected="0">
            <x v="1"/>
          </reference>
          <reference field="1" count="1" selected="0">
            <x v="46"/>
          </reference>
        </references>
      </pivotArea>
    </chartFormat>
    <chartFormat chart="0" format="47" series="1">
      <pivotArea type="data" outline="0" fieldPosition="0">
        <references count="3">
          <reference field="4294967294" count="1" selected="0">
            <x v="0"/>
          </reference>
          <reference field="0" count="1" selected="0">
            <x v="1"/>
          </reference>
          <reference field="1" count="1" selected="0">
            <x v="47"/>
          </reference>
        </references>
      </pivotArea>
    </chartFormat>
    <chartFormat chart="0" format="48" series="1">
      <pivotArea type="data" outline="0" fieldPosition="0">
        <references count="3">
          <reference field="4294967294" count="1" selected="0">
            <x v="0"/>
          </reference>
          <reference field="0" count="1" selected="0">
            <x v="1"/>
          </reference>
          <reference field="1" count="1" selected="0">
            <x v="48"/>
          </reference>
        </references>
      </pivotArea>
    </chartFormat>
    <chartFormat chart="0" format="49" series="1">
      <pivotArea type="data" outline="0" fieldPosition="0">
        <references count="3">
          <reference field="4294967294" count="1" selected="0">
            <x v="0"/>
          </reference>
          <reference field="0" count="1" selected="0">
            <x v="1"/>
          </reference>
          <reference field="1" count="1" selected="0">
            <x v="49"/>
          </reference>
        </references>
      </pivotArea>
    </chartFormat>
    <chartFormat chart="0" format="50" series="1">
      <pivotArea type="data" outline="0" fieldPosition="0">
        <references count="3">
          <reference field="4294967294" count="1" selected="0">
            <x v="0"/>
          </reference>
          <reference field="0" count="1" selected="0">
            <x v="1"/>
          </reference>
          <reference field="1" count="1" selected="0">
            <x v="50"/>
          </reference>
        </references>
      </pivotArea>
    </chartFormat>
    <chartFormat chart="0" format="51" series="1">
      <pivotArea type="data" outline="0" fieldPosition="0">
        <references count="3">
          <reference field="4294967294" count="1" selected="0">
            <x v="0"/>
          </reference>
          <reference field="0" count="1" selected="0">
            <x v="1"/>
          </reference>
          <reference field="1" count="1" selected="0">
            <x v="51"/>
          </reference>
        </references>
      </pivotArea>
    </chartFormat>
    <chartFormat chart="0" format="52" series="1">
      <pivotArea type="data" outline="0" fieldPosition="0">
        <references count="3">
          <reference field="4294967294" count="1" selected="0">
            <x v="0"/>
          </reference>
          <reference field="0" count="1" selected="0">
            <x v="1"/>
          </reference>
          <reference field="1" count="1" selected="0">
            <x v="52"/>
          </reference>
        </references>
      </pivotArea>
    </chartFormat>
    <chartFormat chart="0" format="53" series="1">
      <pivotArea type="data" outline="0" fieldPosition="0">
        <references count="3">
          <reference field="4294967294" count="1" selected="0">
            <x v="0"/>
          </reference>
          <reference field="0" count="1" selected="0">
            <x v="1"/>
          </reference>
          <reference field="1" count="1" selected="0">
            <x v="53"/>
          </reference>
        </references>
      </pivotArea>
    </chartFormat>
    <chartFormat chart="0" format="54" series="1">
      <pivotArea type="data" outline="0" fieldPosition="0">
        <references count="3">
          <reference field="4294967294" count="1" selected="0">
            <x v="0"/>
          </reference>
          <reference field="0" count="1" selected="0">
            <x v="1"/>
          </reference>
          <reference field="1" count="1" selected="0">
            <x v="54"/>
          </reference>
        </references>
      </pivotArea>
    </chartFormat>
    <chartFormat chart="0" format="55" series="1">
      <pivotArea type="data" outline="0" fieldPosition="0">
        <references count="3">
          <reference field="4294967294" count="1" selected="0">
            <x v="0"/>
          </reference>
          <reference field="0" count="1" selected="0">
            <x v="1"/>
          </reference>
          <reference field="1" count="1" selected="0">
            <x v="55"/>
          </reference>
        </references>
      </pivotArea>
    </chartFormat>
    <chartFormat chart="0" format="56" series="1">
      <pivotArea type="data" outline="0" fieldPosition="0">
        <references count="3">
          <reference field="4294967294" count="1" selected="0">
            <x v="0"/>
          </reference>
          <reference field="0" count="1" selected="0">
            <x v="1"/>
          </reference>
          <reference field="1" count="1" selected="0">
            <x v="56"/>
          </reference>
        </references>
      </pivotArea>
    </chartFormat>
    <chartFormat chart="0" format="57" series="1">
      <pivotArea type="data" outline="0" fieldPosition="0">
        <references count="3">
          <reference field="4294967294" count="1" selected="0">
            <x v="0"/>
          </reference>
          <reference field="0" count="1" selected="0">
            <x v="1"/>
          </reference>
          <reference field="1" count="1" selected="0">
            <x v="57"/>
          </reference>
        </references>
      </pivotArea>
    </chartFormat>
    <chartFormat chart="0" format="58" series="1">
      <pivotArea type="data" outline="0" fieldPosition="0">
        <references count="3">
          <reference field="4294967294" count="1" selected="0">
            <x v="0"/>
          </reference>
          <reference field="0" count="1" selected="0">
            <x v="1"/>
          </reference>
          <reference field="1" count="1" selected="0">
            <x v="58"/>
          </reference>
        </references>
      </pivotArea>
    </chartFormat>
    <chartFormat chart="0" format="59" series="1">
      <pivotArea type="data" outline="0" fieldPosition="0">
        <references count="3">
          <reference field="4294967294" count="1" selected="0">
            <x v="0"/>
          </reference>
          <reference field="0" count="1" selected="0">
            <x v="2"/>
          </reference>
          <reference field="1" count="1" selected="0">
            <x v="59"/>
          </reference>
        </references>
      </pivotArea>
    </chartFormat>
    <chartFormat chart="0" format="60" series="1">
      <pivotArea type="data" outline="0" fieldPosition="0">
        <references count="3">
          <reference field="4294967294" count="1" selected="0">
            <x v="0"/>
          </reference>
          <reference field="0" count="1" selected="0">
            <x v="2"/>
          </reference>
          <reference field="1" count="1" selected="0">
            <x v="60"/>
          </reference>
        </references>
      </pivotArea>
    </chartFormat>
    <chartFormat chart="0" format="61" series="1">
      <pivotArea type="data" outline="0" fieldPosition="0">
        <references count="3">
          <reference field="4294967294" count="1" selected="0">
            <x v="0"/>
          </reference>
          <reference field="0" count="1" selected="0">
            <x v="2"/>
          </reference>
          <reference field="1" count="1" selected="0">
            <x v="61"/>
          </reference>
        </references>
      </pivotArea>
    </chartFormat>
    <chartFormat chart="0" format="62" series="1">
      <pivotArea type="data" outline="0" fieldPosition="0">
        <references count="3">
          <reference field="4294967294" count="1" selected="0">
            <x v="0"/>
          </reference>
          <reference field="0" count="1" selected="0">
            <x v="2"/>
          </reference>
          <reference field="1" count="1" selected="0">
            <x v="62"/>
          </reference>
        </references>
      </pivotArea>
    </chartFormat>
    <chartFormat chart="0" format="63" series="1">
      <pivotArea type="data" outline="0" fieldPosition="0">
        <references count="3">
          <reference field="4294967294" count="1" selected="0">
            <x v="0"/>
          </reference>
          <reference field="0" count="1" selected="0">
            <x v="2"/>
          </reference>
          <reference field="1" count="1" selected="0">
            <x v="63"/>
          </reference>
        </references>
      </pivotArea>
    </chartFormat>
    <chartFormat chart="0" format="64" series="1">
      <pivotArea type="data" outline="0" fieldPosition="0">
        <references count="3">
          <reference field="4294967294" count="1" selected="0">
            <x v="0"/>
          </reference>
          <reference field="0" count="1" selected="0">
            <x v="2"/>
          </reference>
          <reference field="1" count="1" selected="0">
            <x v="64"/>
          </reference>
        </references>
      </pivotArea>
    </chartFormat>
    <chartFormat chart="0" format="65" series="1">
      <pivotArea type="data" outline="0" fieldPosition="0">
        <references count="3">
          <reference field="4294967294" count="1" selected="0">
            <x v="0"/>
          </reference>
          <reference field="0" count="1" selected="0">
            <x v="2"/>
          </reference>
          <reference field="1" count="1" selected="0">
            <x v="65"/>
          </reference>
        </references>
      </pivotArea>
    </chartFormat>
    <chartFormat chart="0" format="66" series="1">
      <pivotArea type="data" outline="0" fieldPosition="0">
        <references count="3">
          <reference field="4294967294" count="1" selected="0">
            <x v="0"/>
          </reference>
          <reference field="0" count="1" selected="0">
            <x v="2"/>
          </reference>
          <reference field="1" count="1" selected="0">
            <x v="66"/>
          </reference>
        </references>
      </pivotArea>
    </chartFormat>
    <chartFormat chart="0" format="67" series="1">
      <pivotArea type="data" outline="0" fieldPosition="0">
        <references count="3">
          <reference field="4294967294" count="1" selected="0">
            <x v="0"/>
          </reference>
          <reference field="0" count="1" selected="0">
            <x v="2"/>
          </reference>
          <reference field="1" count="1" selected="0">
            <x v="67"/>
          </reference>
        </references>
      </pivotArea>
    </chartFormat>
    <chartFormat chart="0" format="68" series="1">
      <pivotArea type="data" outline="0" fieldPosition="0">
        <references count="3">
          <reference field="4294967294" count="1" selected="0">
            <x v="0"/>
          </reference>
          <reference field="0" count="1" selected="0">
            <x v="2"/>
          </reference>
          <reference field="1" count="1" selected="0">
            <x v="68"/>
          </reference>
        </references>
      </pivotArea>
    </chartFormat>
    <chartFormat chart="0" format="69" series="1">
      <pivotArea type="data" outline="0" fieldPosition="0">
        <references count="3">
          <reference field="4294967294" count="1" selected="0">
            <x v="0"/>
          </reference>
          <reference field="0" count="1" selected="0">
            <x v="2"/>
          </reference>
          <reference field="1" count="1" selected="0">
            <x v="69"/>
          </reference>
        </references>
      </pivotArea>
    </chartFormat>
    <chartFormat chart="0" format="70" series="1">
      <pivotArea type="data" outline="0" fieldPosition="0">
        <references count="3">
          <reference field="4294967294" count="1" selected="0">
            <x v="0"/>
          </reference>
          <reference field="0" count="1" selected="0">
            <x v="2"/>
          </reference>
          <reference field="1" count="1" selected="0">
            <x v="70"/>
          </reference>
        </references>
      </pivotArea>
    </chartFormat>
    <chartFormat chart="0" format="71" series="1">
      <pivotArea type="data" outline="0" fieldPosition="0">
        <references count="3">
          <reference field="4294967294" count="1" selected="0">
            <x v="0"/>
          </reference>
          <reference field="0" count="1" selected="0">
            <x v="2"/>
          </reference>
          <reference field="1" count="1" selected="0">
            <x v="71"/>
          </reference>
        </references>
      </pivotArea>
    </chartFormat>
    <chartFormat chart="0" format="72" series="1">
      <pivotArea type="data" outline="0" fieldPosition="0">
        <references count="3">
          <reference field="4294967294" count="1" selected="0">
            <x v="0"/>
          </reference>
          <reference field="0" count="1" selected="0">
            <x v="2"/>
          </reference>
          <reference field="1" count="1" selected="0">
            <x v="72"/>
          </reference>
        </references>
      </pivotArea>
    </chartFormat>
    <chartFormat chart="0" format="73" series="1">
      <pivotArea type="data" outline="0" fieldPosition="0">
        <references count="3">
          <reference field="4294967294" count="1" selected="0">
            <x v="0"/>
          </reference>
          <reference field="0" count="1" selected="0">
            <x v="2"/>
          </reference>
          <reference field="1" count="1" selected="0">
            <x v="73"/>
          </reference>
        </references>
      </pivotArea>
    </chartFormat>
    <chartFormat chart="0" format="74" series="1">
      <pivotArea type="data" outline="0" fieldPosition="0">
        <references count="3">
          <reference field="4294967294" count="1" selected="0">
            <x v="0"/>
          </reference>
          <reference field="0" count="1" selected="0">
            <x v="2"/>
          </reference>
          <reference field="1" count="1" selected="0">
            <x v="74"/>
          </reference>
        </references>
      </pivotArea>
    </chartFormat>
    <chartFormat chart="0" format="75" series="1">
      <pivotArea type="data" outline="0" fieldPosition="0">
        <references count="3">
          <reference field="4294967294" count="1" selected="0">
            <x v="0"/>
          </reference>
          <reference field="0" count="1" selected="0">
            <x v="2"/>
          </reference>
          <reference field="1" count="1" selected="0">
            <x v="75"/>
          </reference>
        </references>
      </pivotArea>
    </chartFormat>
    <chartFormat chart="0" format="76" series="1">
      <pivotArea type="data" outline="0" fieldPosition="0">
        <references count="3">
          <reference field="4294967294" count="1" selected="0">
            <x v="0"/>
          </reference>
          <reference field="0" count="1" selected="0">
            <x v="2"/>
          </reference>
          <reference field="1" count="1" selected="0">
            <x v="76"/>
          </reference>
        </references>
      </pivotArea>
    </chartFormat>
    <chartFormat chart="0" format="77" series="1">
      <pivotArea type="data" outline="0" fieldPosition="0">
        <references count="3">
          <reference field="4294967294" count="1" selected="0">
            <x v="0"/>
          </reference>
          <reference field="0" count="1" selected="0">
            <x v="2"/>
          </reference>
          <reference field="1" count="1" selected="0">
            <x v="77"/>
          </reference>
        </references>
      </pivotArea>
    </chartFormat>
    <chartFormat chart="0" format="78" series="1">
      <pivotArea type="data" outline="0" fieldPosition="0">
        <references count="3">
          <reference field="4294967294" count="1" selected="0">
            <x v="0"/>
          </reference>
          <reference field="0" count="1" selected="0">
            <x v="2"/>
          </reference>
          <reference field="1" count="1" selected="0">
            <x v="78"/>
          </reference>
        </references>
      </pivotArea>
    </chartFormat>
    <chartFormat chart="0" format="79" series="1">
      <pivotArea type="data" outline="0" fieldPosition="0">
        <references count="3">
          <reference field="4294967294" count="1" selected="0">
            <x v="0"/>
          </reference>
          <reference field="0" count="1" selected="0">
            <x v="2"/>
          </reference>
          <reference field="1" count="1" selected="0">
            <x v="79"/>
          </reference>
        </references>
      </pivotArea>
    </chartFormat>
    <chartFormat chart="0" format="80" series="1">
      <pivotArea type="data" outline="0" fieldPosition="0">
        <references count="3">
          <reference field="4294967294" count="1" selected="0">
            <x v="0"/>
          </reference>
          <reference field="0" count="1" selected="0">
            <x v="2"/>
          </reference>
          <reference field="1" count="1" selected="0">
            <x v="80"/>
          </reference>
        </references>
      </pivotArea>
    </chartFormat>
    <chartFormat chart="0" format="81" series="1">
      <pivotArea type="data" outline="0" fieldPosition="0">
        <references count="3">
          <reference field="4294967294" count="1" selected="0">
            <x v="0"/>
          </reference>
          <reference field="0" count="1" selected="0">
            <x v="2"/>
          </reference>
          <reference field="1" count="1" selected="0">
            <x v="81"/>
          </reference>
        </references>
      </pivotArea>
    </chartFormat>
    <chartFormat chart="0" format="82" series="1">
      <pivotArea type="data" outline="0" fieldPosition="0">
        <references count="3">
          <reference field="4294967294" count="1" selected="0">
            <x v="0"/>
          </reference>
          <reference field="0" count="1" selected="0">
            <x v="2"/>
          </reference>
          <reference field="1" count="1" selected="0">
            <x v="82"/>
          </reference>
        </references>
      </pivotArea>
    </chartFormat>
    <chartFormat chart="0" format="83" series="1">
      <pivotArea type="data" outline="0" fieldPosition="0">
        <references count="3">
          <reference field="4294967294" count="1" selected="0">
            <x v="0"/>
          </reference>
          <reference field="0" count="1" selected="0">
            <x v="2"/>
          </reference>
          <reference field="1" count="1" selected="0">
            <x v="83"/>
          </reference>
        </references>
      </pivotArea>
    </chartFormat>
    <chartFormat chart="0" format="84" series="1">
      <pivotArea type="data" outline="0" fieldPosition="0">
        <references count="3">
          <reference field="4294967294" count="1" selected="0">
            <x v="0"/>
          </reference>
          <reference field="0" count="1" selected="0">
            <x v="2"/>
          </reference>
          <reference field="1" count="1" selected="0">
            <x v="84"/>
          </reference>
        </references>
      </pivotArea>
    </chartFormat>
    <chartFormat chart="0" format="85" series="1">
      <pivotArea type="data" outline="0" fieldPosition="0">
        <references count="3">
          <reference field="4294967294" count="1" selected="0">
            <x v="0"/>
          </reference>
          <reference field="0" count="1" selected="0">
            <x v="2"/>
          </reference>
          <reference field="1" count="1" selected="0">
            <x v="85"/>
          </reference>
        </references>
      </pivotArea>
    </chartFormat>
    <chartFormat chart="0" format="86" series="1">
      <pivotArea type="data" outline="0" fieldPosition="0">
        <references count="3">
          <reference field="4294967294" count="1" selected="0">
            <x v="0"/>
          </reference>
          <reference field="0" count="1" selected="0">
            <x v="2"/>
          </reference>
          <reference field="1" count="1" selected="0">
            <x v="86"/>
          </reference>
        </references>
      </pivotArea>
    </chartFormat>
    <chartFormat chart="0" format="87" series="1">
      <pivotArea type="data" outline="0" fieldPosition="0">
        <references count="3">
          <reference field="4294967294" count="1" selected="0">
            <x v="0"/>
          </reference>
          <reference field="0" count="1" selected="0">
            <x v="2"/>
          </reference>
          <reference field="1" count="1" selected="0">
            <x v="87"/>
          </reference>
        </references>
      </pivotArea>
    </chartFormat>
    <chartFormat chart="0" format="88" series="1">
      <pivotArea type="data" outline="0" fieldPosition="0">
        <references count="3">
          <reference field="4294967294" count="1" selected="0">
            <x v="0"/>
          </reference>
          <reference field="0" count="1" selected="0">
            <x v="2"/>
          </reference>
          <reference field="1" count="1" selected="0">
            <x v="88"/>
          </reference>
        </references>
      </pivotArea>
    </chartFormat>
    <chartFormat chart="0" format="89" series="1">
      <pivotArea type="data" outline="0" fieldPosition="0">
        <references count="3">
          <reference field="4294967294" count="1" selected="0">
            <x v="0"/>
          </reference>
          <reference field="0" count="1" selected="0">
            <x v="2"/>
          </reference>
          <reference field="1" count="1" selected="0">
            <x v="89"/>
          </reference>
        </references>
      </pivotArea>
    </chartFormat>
    <chartFormat chart="0" format="90" series="1">
      <pivotArea type="data" outline="0" fieldPosition="0">
        <references count="3">
          <reference field="4294967294" count="1" selected="0">
            <x v="0"/>
          </reference>
          <reference field="0" count="1" selected="0">
            <x v="3"/>
          </reference>
          <reference field="1" count="1" selected="0">
            <x v="90"/>
          </reference>
        </references>
      </pivotArea>
    </chartFormat>
    <chartFormat chart="0" format="91" series="1">
      <pivotArea type="data" outline="0" fieldPosition="0">
        <references count="3">
          <reference field="4294967294" count="1" selected="0">
            <x v="0"/>
          </reference>
          <reference field="0" count="1" selected="0">
            <x v="3"/>
          </reference>
          <reference field="1" count="1" selected="0">
            <x v="91"/>
          </reference>
        </references>
      </pivotArea>
    </chartFormat>
    <chartFormat chart="0" format="92" series="1">
      <pivotArea type="data" outline="0" fieldPosition="0">
        <references count="3">
          <reference field="4294967294" count="1" selected="0">
            <x v="0"/>
          </reference>
          <reference field="0" count="1" selected="0">
            <x v="3"/>
          </reference>
          <reference field="1" count="1" selected="0">
            <x v="92"/>
          </reference>
        </references>
      </pivotArea>
    </chartFormat>
    <chartFormat chart="0" format="93" series="1">
      <pivotArea type="data" outline="0" fieldPosition="0">
        <references count="3">
          <reference field="4294967294" count="1" selected="0">
            <x v="0"/>
          </reference>
          <reference field="0" count="1" selected="0">
            <x v="3"/>
          </reference>
          <reference field="1" count="1" selected="0">
            <x v="93"/>
          </reference>
        </references>
      </pivotArea>
    </chartFormat>
    <chartFormat chart="0" format="94" series="1">
      <pivotArea type="data" outline="0" fieldPosition="0">
        <references count="3">
          <reference field="4294967294" count="1" selected="0">
            <x v="0"/>
          </reference>
          <reference field="0" count="1" selected="0">
            <x v="3"/>
          </reference>
          <reference field="1" count="1" selected="0">
            <x v="94"/>
          </reference>
        </references>
      </pivotArea>
    </chartFormat>
    <chartFormat chart="0" format="95" series="1">
      <pivotArea type="data" outline="0" fieldPosition="0">
        <references count="3">
          <reference field="4294967294" count="1" selected="0">
            <x v="0"/>
          </reference>
          <reference field="0" count="1" selected="0">
            <x v="3"/>
          </reference>
          <reference field="1" count="1" selected="0">
            <x v="95"/>
          </reference>
        </references>
      </pivotArea>
    </chartFormat>
    <chartFormat chart="0" format="96" series="1">
      <pivotArea type="data" outline="0" fieldPosition="0">
        <references count="3">
          <reference field="4294967294" count="1" selected="0">
            <x v="0"/>
          </reference>
          <reference field="0" count="1" selected="0">
            <x v="3"/>
          </reference>
          <reference field="1" count="1" selected="0">
            <x v="96"/>
          </reference>
        </references>
      </pivotArea>
    </chartFormat>
    <chartFormat chart="0" format="97" series="1">
      <pivotArea type="data" outline="0" fieldPosition="0">
        <references count="3">
          <reference field="4294967294" count="1" selected="0">
            <x v="0"/>
          </reference>
          <reference field="0" count="1" selected="0">
            <x v="3"/>
          </reference>
          <reference field="1" count="1" selected="0">
            <x v="97"/>
          </reference>
        </references>
      </pivotArea>
    </chartFormat>
    <chartFormat chart="0" format="98" series="1">
      <pivotArea type="data" outline="0" fieldPosition="0">
        <references count="3">
          <reference field="4294967294" count="1" selected="0">
            <x v="0"/>
          </reference>
          <reference field="0" count="1" selected="0">
            <x v="3"/>
          </reference>
          <reference field="1" count="1" selected="0">
            <x v="98"/>
          </reference>
        </references>
      </pivotArea>
    </chartFormat>
    <chartFormat chart="0" format="99" series="1">
      <pivotArea type="data" outline="0" fieldPosition="0">
        <references count="3">
          <reference field="4294967294" count="1" selected="0">
            <x v="0"/>
          </reference>
          <reference field="0" count="1" selected="0">
            <x v="3"/>
          </reference>
          <reference field="1" count="1" selected="0">
            <x v="99"/>
          </reference>
        </references>
      </pivotArea>
    </chartFormat>
    <chartFormat chart="0" format="100" series="1">
      <pivotArea type="data" outline="0" fieldPosition="0">
        <references count="3">
          <reference field="4294967294" count="1" selected="0">
            <x v="0"/>
          </reference>
          <reference field="0" count="1" selected="0">
            <x v="3"/>
          </reference>
          <reference field="1" count="1" selected="0">
            <x v="100"/>
          </reference>
        </references>
      </pivotArea>
    </chartFormat>
    <chartFormat chart="0" format="101" series="1">
      <pivotArea type="data" outline="0" fieldPosition="0">
        <references count="3">
          <reference field="4294967294" count="1" selected="0">
            <x v="0"/>
          </reference>
          <reference field="0" count="1" selected="0">
            <x v="3"/>
          </reference>
          <reference field="1" count="1" selected="0">
            <x v="101"/>
          </reference>
        </references>
      </pivotArea>
    </chartFormat>
    <chartFormat chart="0" format="102" series="1">
      <pivotArea type="data" outline="0" fieldPosition="0">
        <references count="3">
          <reference field="4294967294" count="1" selected="0">
            <x v="0"/>
          </reference>
          <reference field="0" count="1" selected="0">
            <x v="3"/>
          </reference>
          <reference field="1" count="1" selected="0">
            <x v="102"/>
          </reference>
        </references>
      </pivotArea>
    </chartFormat>
    <chartFormat chart="0" format="103" series="1">
      <pivotArea type="data" outline="0" fieldPosition="0">
        <references count="3">
          <reference field="4294967294" count="1" selected="0">
            <x v="0"/>
          </reference>
          <reference field="0" count="1" selected="0">
            <x v="3"/>
          </reference>
          <reference field="1" count="1" selected="0">
            <x v="103"/>
          </reference>
        </references>
      </pivotArea>
    </chartFormat>
    <chartFormat chart="0" format="104" series="1">
      <pivotArea type="data" outline="0" fieldPosition="0">
        <references count="3">
          <reference field="4294967294" count="1" selected="0">
            <x v="0"/>
          </reference>
          <reference field="0" count="1" selected="0">
            <x v="3"/>
          </reference>
          <reference field="1" count="1" selected="0">
            <x v="104"/>
          </reference>
        </references>
      </pivotArea>
    </chartFormat>
    <chartFormat chart="0" format="105" series="1">
      <pivotArea type="data" outline="0" fieldPosition="0">
        <references count="3">
          <reference field="4294967294" count="1" selected="0">
            <x v="0"/>
          </reference>
          <reference field="0" count="1" selected="0">
            <x v="3"/>
          </reference>
          <reference field="1" count="1" selected="0">
            <x v="105"/>
          </reference>
        </references>
      </pivotArea>
    </chartFormat>
    <chartFormat chart="0" format="106" series="1">
      <pivotArea type="data" outline="0" fieldPosition="0">
        <references count="3">
          <reference field="4294967294" count="1" selected="0">
            <x v="0"/>
          </reference>
          <reference field="0" count="1" selected="0">
            <x v="3"/>
          </reference>
          <reference field="1" count="1" selected="0">
            <x v="106"/>
          </reference>
        </references>
      </pivotArea>
    </chartFormat>
    <chartFormat chart="0" format="107" series="1">
      <pivotArea type="data" outline="0" fieldPosition="0">
        <references count="3">
          <reference field="4294967294" count="1" selected="0">
            <x v="0"/>
          </reference>
          <reference field="0" count="1" selected="0">
            <x v="3"/>
          </reference>
          <reference field="1" count="1" selected="0">
            <x v="107"/>
          </reference>
        </references>
      </pivotArea>
    </chartFormat>
    <chartFormat chart="0" format="108" series="1">
      <pivotArea type="data" outline="0" fieldPosition="0">
        <references count="3">
          <reference field="4294967294" count="1" selected="0">
            <x v="0"/>
          </reference>
          <reference field="0" count="1" selected="0">
            <x v="3"/>
          </reference>
          <reference field="1" count="1" selected="0">
            <x v="108"/>
          </reference>
        </references>
      </pivotArea>
    </chartFormat>
    <chartFormat chart="0" format="109" series="1">
      <pivotArea type="data" outline="0" fieldPosition="0">
        <references count="3">
          <reference field="4294967294" count="1" selected="0">
            <x v="0"/>
          </reference>
          <reference field="0" count="1" selected="0">
            <x v="3"/>
          </reference>
          <reference field="1" count="1" selected="0">
            <x v="109"/>
          </reference>
        </references>
      </pivotArea>
    </chartFormat>
    <chartFormat chart="0" format="110" series="1">
      <pivotArea type="data" outline="0" fieldPosition="0">
        <references count="3">
          <reference field="4294967294" count="1" selected="0">
            <x v="0"/>
          </reference>
          <reference field="0" count="1" selected="0">
            <x v="3"/>
          </reference>
          <reference field="1" count="1" selected="0">
            <x v="110"/>
          </reference>
        </references>
      </pivotArea>
    </chartFormat>
    <chartFormat chart="0" format="111" series="1">
      <pivotArea type="data" outline="0" fieldPosition="0">
        <references count="3">
          <reference field="4294967294" count="1" selected="0">
            <x v="0"/>
          </reference>
          <reference field="0" count="1" selected="0">
            <x v="3"/>
          </reference>
          <reference field="1" count="1" selected="0">
            <x v="111"/>
          </reference>
        </references>
      </pivotArea>
    </chartFormat>
    <chartFormat chart="0" format="112" series="1">
      <pivotArea type="data" outline="0" fieldPosition="0">
        <references count="3">
          <reference field="4294967294" count="1" selected="0">
            <x v="0"/>
          </reference>
          <reference field="0" count="1" selected="0">
            <x v="3"/>
          </reference>
          <reference field="1" count="1" selected="0">
            <x v="112"/>
          </reference>
        </references>
      </pivotArea>
    </chartFormat>
    <chartFormat chart="0" format="113" series="1">
      <pivotArea type="data" outline="0" fieldPosition="0">
        <references count="3">
          <reference field="4294967294" count="1" selected="0">
            <x v="0"/>
          </reference>
          <reference field="0" count="1" selected="0">
            <x v="3"/>
          </reference>
          <reference field="1" count="1" selected="0">
            <x v="113"/>
          </reference>
        </references>
      </pivotArea>
    </chartFormat>
    <chartFormat chart="0" format="114" series="1">
      <pivotArea type="data" outline="0" fieldPosition="0">
        <references count="3">
          <reference field="4294967294" count="1" selected="0">
            <x v="0"/>
          </reference>
          <reference field="0" count="1" selected="0">
            <x v="3"/>
          </reference>
          <reference field="1" count="1" selected="0">
            <x v="114"/>
          </reference>
        </references>
      </pivotArea>
    </chartFormat>
    <chartFormat chart="0" format="115" series="1">
      <pivotArea type="data" outline="0" fieldPosition="0">
        <references count="3">
          <reference field="4294967294" count="1" selected="0">
            <x v="0"/>
          </reference>
          <reference field="0" count="1" selected="0">
            <x v="3"/>
          </reference>
          <reference field="1" count="1" selected="0">
            <x v="115"/>
          </reference>
        </references>
      </pivotArea>
    </chartFormat>
    <chartFormat chart="0" format="116" series="1">
      <pivotArea type="data" outline="0" fieldPosition="0">
        <references count="3">
          <reference field="4294967294" count="1" selected="0">
            <x v="0"/>
          </reference>
          <reference field="0" count="1" selected="0">
            <x v="3"/>
          </reference>
          <reference field="1" count="1" selected="0">
            <x v="116"/>
          </reference>
        </references>
      </pivotArea>
    </chartFormat>
    <chartFormat chart="0" format="117" series="1">
      <pivotArea type="data" outline="0" fieldPosition="0">
        <references count="3">
          <reference field="4294967294" count="1" selected="0">
            <x v="0"/>
          </reference>
          <reference field="0" count="1" selected="0">
            <x v="3"/>
          </reference>
          <reference field="1" count="1" selected="0">
            <x v="117"/>
          </reference>
        </references>
      </pivotArea>
    </chartFormat>
    <chartFormat chart="0" format="118" series="1">
      <pivotArea type="data" outline="0" fieldPosition="0">
        <references count="3">
          <reference field="4294967294" count="1" selected="0">
            <x v="0"/>
          </reference>
          <reference field="0" count="1" selected="0">
            <x v="3"/>
          </reference>
          <reference field="1" count="1" selected="0">
            <x v="118"/>
          </reference>
        </references>
      </pivotArea>
    </chartFormat>
    <chartFormat chart="0" format="119" series="1">
      <pivotArea type="data" outline="0" fieldPosition="0">
        <references count="3">
          <reference field="4294967294" count="1" selected="0">
            <x v="0"/>
          </reference>
          <reference field="0" count="1" selected="0">
            <x v="4"/>
          </reference>
          <reference field="1" count="1" selected="0">
            <x v="119"/>
          </reference>
        </references>
      </pivotArea>
    </chartFormat>
    <chartFormat chart="0" format="120" series="1">
      <pivotArea type="data" outline="0" fieldPosition="0">
        <references count="3">
          <reference field="4294967294" count="1" selected="0">
            <x v="0"/>
          </reference>
          <reference field="0" count="1" selected="0">
            <x v="4"/>
          </reference>
          <reference field="1" count="1" selected="0">
            <x v="120"/>
          </reference>
        </references>
      </pivotArea>
    </chartFormat>
    <chartFormat chart="0" format="121" series="1">
      <pivotArea type="data" outline="0" fieldPosition="0">
        <references count="3">
          <reference field="4294967294" count="1" selected="0">
            <x v="0"/>
          </reference>
          <reference field="0" count="1" selected="0">
            <x v="4"/>
          </reference>
          <reference field="1" count="1" selected="0">
            <x v="121"/>
          </reference>
        </references>
      </pivotArea>
    </chartFormat>
    <chartFormat chart="0" format="122" series="1">
      <pivotArea type="data" outline="0" fieldPosition="0">
        <references count="3">
          <reference field="4294967294" count="1" selected="0">
            <x v="0"/>
          </reference>
          <reference field="0" count="1" selected="0">
            <x v="4"/>
          </reference>
          <reference field="1" count="1" selected="0">
            <x v="122"/>
          </reference>
        </references>
      </pivotArea>
    </chartFormat>
    <chartFormat chart="0" format="123" series="1">
      <pivotArea type="data" outline="0" fieldPosition="0">
        <references count="3">
          <reference field="4294967294" count="1" selected="0">
            <x v="0"/>
          </reference>
          <reference field="0" count="1" selected="0">
            <x v="4"/>
          </reference>
          <reference field="1" count="1" selected="0">
            <x v="123"/>
          </reference>
        </references>
      </pivotArea>
    </chartFormat>
    <chartFormat chart="0" format="124" series="1">
      <pivotArea type="data" outline="0" fieldPosition="0">
        <references count="3">
          <reference field="4294967294" count="1" selected="0">
            <x v="0"/>
          </reference>
          <reference field="0" count="1" selected="0">
            <x v="4"/>
          </reference>
          <reference field="1" count="1" selected="0">
            <x v="124"/>
          </reference>
        </references>
      </pivotArea>
    </chartFormat>
    <chartFormat chart="0" format="125" series="1">
      <pivotArea type="data" outline="0" fieldPosition="0">
        <references count="3">
          <reference field="4294967294" count="1" selected="0">
            <x v="0"/>
          </reference>
          <reference field="0" count="1" selected="0">
            <x v="4"/>
          </reference>
          <reference field="1" count="1" selected="0">
            <x v="125"/>
          </reference>
        </references>
      </pivotArea>
    </chartFormat>
    <chartFormat chart="0" format="126" series="1">
      <pivotArea type="data" outline="0" fieldPosition="0">
        <references count="3">
          <reference field="4294967294" count="1" selected="0">
            <x v="0"/>
          </reference>
          <reference field="0" count="1" selected="0">
            <x v="4"/>
          </reference>
          <reference field="1" count="1" selected="0">
            <x v="126"/>
          </reference>
        </references>
      </pivotArea>
    </chartFormat>
    <chartFormat chart="0" format="127" series="1">
      <pivotArea type="data" outline="0" fieldPosition="0">
        <references count="3">
          <reference field="4294967294" count="1" selected="0">
            <x v="0"/>
          </reference>
          <reference field="0" count="1" selected="0">
            <x v="4"/>
          </reference>
          <reference field="1" count="1" selected="0">
            <x v="127"/>
          </reference>
        </references>
      </pivotArea>
    </chartFormat>
    <chartFormat chart="0" format="128" series="1">
      <pivotArea type="data" outline="0" fieldPosition="0">
        <references count="3">
          <reference field="4294967294" count="1" selected="0">
            <x v="0"/>
          </reference>
          <reference field="0" count="1" selected="0">
            <x v="4"/>
          </reference>
          <reference field="1" count="1" selected="0">
            <x v="128"/>
          </reference>
        </references>
      </pivotArea>
    </chartFormat>
    <chartFormat chart="0" format="129" series="1">
      <pivotArea type="data" outline="0" fieldPosition="0">
        <references count="3">
          <reference field="4294967294" count="1" selected="0">
            <x v="0"/>
          </reference>
          <reference field="0" count="1" selected="0">
            <x v="4"/>
          </reference>
          <reference field="1" count="1" selected="0">
            <x v="129"/>
          </reference>
        </references>
      </pivotArea>
    </chartFormat>
    <chartFormat chart="0" format="130" series="1">
      <pivotArea type="data" outline="0" fieldPosition="0">
        <references count="3">
          <reference field="4294967294" count="1" selected="0">
            <x v="0"/>
          </reference>
          <reference field="0" count="1" selected="0">
            <x v="4"/>
          </reference>
          <reference field="1" count="1" selected="0">
            <x v="130"/>
          </reference>
        </references>
      </pivotArea>
    </chartFormat>
    <chartFormat chart="0" format="131" series="1">
      <pivotArea type="data" outline="0" fieldPosition="0">
        <references count="3">
          <reference field="4294967294" count="1" selected="0">
            <x v="0"/>
          </reference>
          <reference field="0" count="1" selected="0">
            <x v="4"/>
          </reference>
          <reference field="1" count="1" selected="0">
            <x v="131"/>
          </reference>
        </references>
      </pivotArea>
    </chartFormat>
    <chartFormat chart="0" format="132" series="1">
      <pivotArea type="data" outline="0" fieldPosition="0">
        <references count="3">
          <reference field="4294967294" count="1" selected="0">
            <x v="0"/>
          </reference>
          <reference field="0" count="1" selected="0">
            <x v="4"/>
          </reference>
          <reference field="1" count="1" selected="0">
            <x v="132"/>
          </reference>
        </references>
      </pivotArea>
    </chartFormat>
    <chartFormat chart="0" format="133" series="1">
      <pivotArea type="data" outline="0" fieldPosition="0">
        <references count="3">
          <reference field="4294967294" count="1" selected="0">
            <x v="0"/>
          </reference>
          <reference field="0" count="1" selected="0">
            <x v="4"/>
          </reference>
          <reference field="1" count="1" selected="0">
            <x v="133"/>
          </reference>
        </references>
      </pivotArea>
    </chartFormat>
    <chartFormat chart="0" format="134" series="1">
      <pivotArea type="data" outline="0" fieldPosition="0">
        <references count="3">
          <reference field="4294967294" count="1" selected="0">
            <x v="0"/>
          </reference>
          <reference field="0" count="1" selected="0">
            <x v="4"/>
          </reference>
          <reference field="1" count="1" selected="0">
            <x v="134"/>
          </reference>
        </references>
      </pivotArea>
    </chartFormat>
    <chartFormat chart="0" format="135" series="1">
      <pivotArea type="data" outline="0" fieldPosition="0">
        <references count="3">
          <reference field="4294967294" count="1" selected="0">
            <x v="0"/>
          </reference>
          <reference field="0" count="1" selected="0">
            <x v="4"/>
          </reference>
          <reference field="1" count="1" selected="0">
            <x v="135"/>
          </reference>
        </references>
      </pivotArea>
    </chartFormat>
    <chartFormat chart="0" format="136" series="1">
      <pivotArea type="data" outline="0" fieldPosition="0">
        <references count="3">
          <reference field="4294967294" count="1" selected="0">
            <x v="0"/>
          </reference>
          <reference field="0" count="1" selected="0">
            <x v="4"/>
          </reference>
          <reference field="1" count="1" selected="0">
            <x v="136"/>
          </reference>
        </references>
      </pivotArea>
    </chartFormat>
    <chartFormat chart="0" format="137" series="1">
      <pivotArea type="data" outline="0" fieldPosition="0">
        <references count="3">
          <reference field="4294967294" count="1" selected="0">
            <x v="0"/>
          </reference>
          <reference field="0" count="1" selected="0">
            <x v="4"/>
          </reference>
          <reference field="1" count="1" selected="0">
            <x v="137"/>
          </reference>
        </references>
      </pivotArea>
    </chartFormat>
    <chartFormat chart="0" format="138" series="1">
      <pivotArea type="data" outline="0" fieldPosition="0">
        <references count="3">
          <reference field="4294967294" count="1" selected="0">
            <x v="0"/>
          </reference>
          <reference field="0" count="1" selected="0">
            <x v="4"/>
          </reference>
          <reference field="1" count="1" selected="0">
            <x v="138"/>
          </reference>
        </references>
      </pivotArea>
    </chartFormat>
    <chartFormat chart="0" format="139" series="1">
      <pivotArea type="data" outline="0" fieldPosition="0">
        <references count="3">
          <reference field="4294967294" count="1" selected="0">
            <x v="0"/>
          </reference>
          <reference field="0" count="1" selected="0">
            <x v="4"/>
          </reference>
          <reference field="1" count="1" selected="0">
            <x v="139"/>
          </reference>
        </references>
      </pivotArea>
    </chartFormat>
    <chartFormat chart="0" format="140" series="1">
      <pivotArea type="data" outline="0" fieldPosition="0">
        <references count="3">
          <reference field="4294967294" count="1" selected="0">
            <x v="0"/>
          </reference>
          <reference field="0" count="1" selected="0">
            <x v="4"/>
          </reference>
          <reference field="1" count="1" selected="0">
            <x v="140"/>
          </reference>
        </references>
      </pivotArea>
    </chartFormat>
    <chartFormat chart="0" format="141" series="1">
      <pivotArea type="data" outline="0" fieldPosition="0">
        <references count="3">
          <reference field="4294967294" count="1" selected="0">
            <x v="0"/>
          </reference>
          <reference field="0" count="1" selected="0">
            <x v="4"/>
          </reference>
          <reference field="1" count="1" selected="0">
            <x v="141"/>
          </reference>
        </references>
      </pivotArea>
    </chartFormat>
    <chartFormat chart="0" format="142" series="1">
      <pivotArea type="data" outline="0" fieldPosition="0">
        <references count="3">
          <reference field="4294967294" count="1" selected="0">
            <x v="0"/>
          </reference>
          <reference field="0" count="1" selected="0">
            <x v="4"/>
          </reference>
          <reference field="1" count="1" selected="0">
            <x v="142"/>
          </reference>
        </references>
      </pivotArea>
    </chartFormat>
    <chartFormat chart="0" format="143" series="1">
      <pivotArea type="data" outline="0" fieldPosition="0">
        <references count="3">
          <reference field="4294967294" count="1" selected="0">
            <x v="0"/>
          </reference>
          <reference field="0" count="1" selected="0">
            <x v="4"/>
          </reference>
          <reference field="1" count="1" selected="0">
            <x v="143"/>
          </reference>
        </references>
      </pivotArea>
    </chartFormat>
    <chartFormat chart="0" format="144" series="1">
      <pivotArea type="data" outline="0" fieldPosition="0">
        <references count="3">
          <reference field="4294967294" count="1" selected="0">
            <x v="0"/>
          </reference>
          <reference field="0" count="1" selected="0">
            <x v="4"/>
          </reference>
          <reference field="1" count="1" selected="0">
            <x v="144"/>
          </reference>
        </references>
      </pivotArea>
    </chartFormat>
    <chartFormat chart="0" format="145" series="1">
      <pivotArea type="data" outline="0" fieldPosition="0">
        <references count="3">
          <reference field="4294967294" count="1" selected="0">
            <x v="0"/>
          </reference>
          <reference field="0" count="1" selected="0">
            <x v="4"/>
          </reference>
          <reference field="1" count="1" selected="0">
            <x v="145"/>
          </reference>
        </references>
      </pivotArea>
    </chartFormat>
    <chartFormat chart="0" format="146" series="1">
      <pivotArea type="data" outline="0" fieldPosition="0">
        <references count="3">
          <reference field="4294967294" count="1" selected="0">
            <x v="0"/>
          </reference>
          <reference field="0" count="1" selected="0">
            <x v="4"/>
          </reference>
          <reference field="1" count="1" selected="0">
            <x v="146"/>
          </reference>
        </references>
      </pivotArea>
    </chartFormat>
    <chartFormat chart="0" format="147" series="1">
      <pivotArea type="data" outline="0" fieldPosition="0">
        <references count="3">
          <reference field="4294967294" count="1" selected="0">
            <x v="0"/>
          </reference>
          <reference field="0" count="1" selected="0">
            <x v="4"/>
          </reference>
          <reference field="1" count="1" selected="0">
            <x v="147"/>
          </reference>
        </references>
      </pivotArea>
    </chartFormat>
    <chartFormat chart="0" format="148" series="1">
      <pivotArea type="data" outline="0" fieldPosition="0">
        <references count="3">
          <reference field="4294967294" count="1" selected="0">
            <x v="0"/>
          </reference>
          <reference field="0" count="1" selected="0">
            <x v="4"/>
          </reference>
          <reference field="1" count="1" selected="0">
            <x v="148"/>
          </reference>
        </references>
      </pivotArea>
    </chartFormat>
    <chartFormat chart="0" format="149" series="1">
      <pivotArea type="data" outline="0" fieldPosition="0">
        <references count="3">
          <reference field="4294967294" count="1" selected="0">
            <x v="0"/>
          </reference>
          <reference field="0" count="1" selected="0">
            <x v="5"/>
          </reference>
          <reference field="1" count="1" selected="0">
            <x v="149"/>
          </reference>
        </references>
      </pivotArea>
    </chartFormat>
    <chartFormat chart="0" format="150" series="1">
      <pivotArea type="data" outline="0" fieldPosition="0">
        <references count="3">
          <reference field="4294967294" count="1" selected="0">
            <x v="0"/>
          </reference>
          <reference field="0" count="1" selected="0">
            <x v="5"/>
          </reference>
          <reference field="1" count="1" selected="0">
            <x v="150"/>
          </reference>
        </references>
      </pivotArea>
    </chartFormat>
    <chartFormat chart="0" format="151" series="1">
      <pivotArea type="data" outline="0" fieldPosition="0">
        <references count="3">
          <reference field="4294967294" count="1" selected="0">
            <x v="0"/>
          </reference>
          <reference field="0" count="1" selected="0">
            <x v="5"/>
          </reference>
          <reference field="1" count="1" selected="0">
            <x v="151"/>
          </reference>
        </references>
      </pivotArea>
    </chartFormat>
    <chartFormat chart="0" format="152" series="1">
      <pivotArea type="data" outline="0" fieldPosition="0">
        <references count="3">
          <reference field="4294967294" count="1" selected="0">
            <x v="0"/>
          </reference>
          <reference field="0" count="1" selected="0">
            <x v="5"/>
          </reference>
          <reference field="1" count="1" selected="0">
            <x v="152"/>
          </reference>
        </references>
      </pivotArea>
    </chartFormat>
    <chartFormat chart="0" format="153" series="1">
      <pivotArea type="data" outline="0" fieldPosition="0">
        <references count="3">
          <reference field="4294967294" count="1" selected="0">
            <x v="0"/>
          </reference>
          <reference field="0" count="1" selected="0">
            <x v="5"/>
          </reference>
          <reference field="1" count="1" selected="0">
            <x v="153"/>
          </reference>
        </references>
      </pivotArea>
    </chartFormat>
    <chartFormat chart="0" format="154" series="1">
      <pivotArea type="data" outline="0" fieldPosition="0">
        <references count="3">
          <reference field="4294967294" count="1" selected="0">
            <x v="0"/>
          </reference>
          <reference field="0" count="1" selected="0">
            <x v="5"/>
          </reference>
          <reference field="1" count="1" selected="0">
            <x v="154"/>
          </reference>
        </references>
      </pivotArea>
    </chartFormat>
    <chartFormat chart="0" format="155" series="1">
      <pivotArea type="data" outline="0" fieldPosition="0">
        <references count="3">
          <reference field="4294967294" count="1" selected="0">
            <x v="0"/>
          </reference>
          <reference field="0" count="1" selected="0">
            <x v="5"/>
          </reference>
          <reference field="1" count="1" selected="0">
            <x v="155"/>
          </reference>
        </references>
      </pivotArea>
    </chartFormat>
    <chartFormat chart="0" format="156" series="1">
      <pivotArea type="data" outline="0" fieldPosition="0">
        <references count="3">
          <reference field="4294967294" count="1" selected="0">
            <x v="0"/>
          </reference>
          <reference field="0" count="1" selected="0">
            <x v="5"/>
          </reference>
          <reference field="1" count="1" selected="0">
            <x v="156"/>
          </reference>
        </references>
      </pivotArea>
    </chartFormat>
    <chartFormat chart="0" format="157" series="1">
      <pivotArea type="data" outline="0" fieldPosition="0">
        <references count="3">
          <reference field="4294967294" count="1" selected="0">
            <x v="0"/>
          </reference>
          <reference field="0" count="1" selected="0">
            <x v="5"/>
          </reference>
          <reference field="1" count="1" selected="0">
            <x v="157"/>
          </reference>
        </references>
      </pivotArea>
    </chartFormat>
    <chartFormat chart="0" format="158" series="1">
      <pivotArea type="data" outline="0" fieldPosition="0">
        <references count="3">
          <reference field="4294967294" count="1" selected="0">
            <x v="0"/>
          </reference>
          <reference field="0" count="1" selected="0">
            <x v="5"/>
          </reference>
          <reference field="1" count="1" selected="0">
            <x v="158"/>
          </reference>
        </references>
      </pivotArea>
    </chartFormat>
    <chartFormat chart="0" format="159" series="1">
      <pivotArea type="data" outline="0" fieldPosition="0">
        <references count="3">
          <reference field="4294967294" count="1" selected="0">
            <x v="0"/>
          </reference>
          <reference field="0" count="1" selected="0">
            <x v="5"/>
          </reference>
          <reference field="1" count="1" selected="0">
            <x v="159"/>
          </reference>
        </references>
      </pivotArea>
    </chartFormat>
    <chartFormat chart="0" format="160" series="1">
      <pivotArea type="data" outline="0" fieldPosition="0">
        <references count="3">
          <reference field="4294967294" count="1" selected="0">
            <x v="0"/>
          </reference>
          <reference field="0" count="1" selected="0">
            <x v="5"/>
          </reference>
          <reference field="1" count="1" selected="0">
            <x v="160"/>
          </reference>
        </references>
      </pivotArea>
    </chartFormat>
    <chartFormat chart="0" format="161" series="1">
      <pivotArea type="data" outline="0" fieldPosition="0">
        <references count="3">
          <reference field="4294967294" count="1" selected="0">
            <x v="0"/>
          </reference>
          <reference field="0" count="1" selected="0">
            <x v="5"/>
          </reference>
          <reference field="1" count="1" selected="0">
            <x v="161"/>
          </reference>
        </references>
      </pivotArea>
    </chartFormat>
    <chartFormat chart="0" format="162" series="1">
      <pivotArea type="data" outline="0" fieldPosition="0">
        <references count="3">
          <reference field="4294967294" count="1" selected="0">
            <x v="0"/>
          </reference>
          <reference field="0" count="1" selected="0">
            <x v="5"/>
          </reference>
          <reference field="1" count="1" selected="0">
            <x v="162"/>
          </reference>
        </references>
      </pivotArea>
    </chartFormat>
    <chartFormat chart="0" format="163" series="1">
      <pivotArea type="data" outline="0" fieldPosition="0">
        <references count="3">
          <reference field="4294967294" count="1" selected="0">
            <x v="0"/>
          </reference>
          <reference field="0" count="1" selected="0">
            <x v="5"/>
          </reference>
          <reference field="1" count="1" selected="0">
            <x v="163"/>
          </reference>
        </references>
      </pivotArea>
    </chartFormat>
    <chartFormat chart="0" format="164" series="1">
      <pivotArea type="data" outline="0" fieldPosition="0">
        <references count="3">
          <reference field="4294967294" count="1" selected="0">
            <x v="0"/>
          </reference>
          <reference field="0" count="1" selected="0">
            <x v="5"/>
          </reference>
          <reference field="1" count="1" selected="0">
            <x v="164"/>
          </reference>
        </references>
      </pivotArea>
    </chartFormat>
    <chartFormat chart="0" format="165" series="1">
      <pivotArea type="data" outline="0" fieldPosition="0">
        <references count="3">
          <reference field="4294967294" count="1" selected="0">
            <x v="0"/>
          </reference>
          <reference field="0" count="1" selected="0">
            <x v="5"/>
          </reference>
          <reference field="1" count="1" selected="0">
            <x v="165"/>
          </reference>
        </references>
      </pivotArea>
    </chartFormat>
    <chartFormat chart="0" format="166" series="1">
      <pivotArea type="data" outline="0" fieldPosition="0">
        <references count="3">
          <reference field="4294967294" count="1" selected="0">
            <x v="0"/>
          </reference>
          <reference field="0" count="1" selected="0">
            <x v="5"/>
          </reference>
          <reference field="1" count="1" selected="0">
            <x v="166"/>
          </reference>
        </references>
      </pivotArea>
    </chartFormat>
    <chartFormat chart="0" format="167" series="1">
      <pivotArea type="data" outline="0" fieldPosition="0">
        <references count="3">
          <reference field="4294967294" count="1" selected="0">
            <x v="0"/>
          </reference>
          <reference field="0" count="1" selected="0">
            <x v="5"/>
          </reference>
          <reference field="1" count="1" selected="0">
            <x v="167"/>
          </reference>
        </references>
      </pivotArea>
    </chartFormat>
    <chartFormat chart="0" format="168" series="1">
      <pivotArea type="data" outline="0" fieldPosition="0">
        <references count="3">
          <reference field="4294967294" count="1" selected="0">
            <x v="0"/>
          </reference>
          <reference field="0" count="1" selected="0">
            <x v="5"/>
          </reference>
          <reference field="1" count="1" selected="0">
            <x v="168"/>
          </reference>
        </references>
      </pivotArea>
    </chartFormat>
    <chartFormat chart="0" format="169" series="1">
      <pivotArea type="data" outline="0" fieldPosition="0">
        <references count="3">
          <reference field="4294967294" count="1" selected="0">
            <x v="0"/>
          </reference>
          <reference field="0" count="1" selected="0">
            <x v="5"/>
          </reference>
          <reference field="1" count="1" selected="0">
            <x v="169"/>
          </reference>
        </references>
      </pivotArea>
    </chartFormat>
    <chartFormat chart="0" format="170" series="1">
      <pivotArea type="data" outline="0" fieldPosition="0">
        <references count="3">
          <reference field="4294967294" count="1" selected="0">
            <x v="0"/>
          </reference>
          <reference field="0" count="1" selected="0">
            <x v="5"/>
          </reference>
          <reference field="1" count="1" selected="0">
            <x v="170"/>
          </reference>
        </references>
      </pivotArea>
    </chartFormat>
    <chartFormat chart="0" format="171" series="1">
      <pivotArea type="data" outline="0" fieldPosition="0">
        <references count="3">
          <reference field="4294967294" count="1" selected="0">
            <x v="0"/>
          </reference>
          <reference field="0" count="1" selected="0">
            <x v="5"/>
          </reference>
          <reference field="1" count="1" selected="0">
            <x v="171"/>
          </reference>
        </references>
      </pivotArea>
    </chartFormat>
    <chartFormat chart="0" format="172" series="1">
      <pivotArea type="data" outline="0" fieldPosition="0">
        <references count="3">
          <reference field="4294967294" count="1" selected="0">
            <x v="0"/>
          </reference>
          <reference field="0" count="1" selected="0">
            <x v="5"/>
          </reference>
          <reference field="1" count="1" selected="0">
            <x v="172"/>
          </reference>
        </references>
      </pivotArea>
    </chartFormat>
    <chartFormat chart="0" format="173" series="1">
      <pivotArea type="data" outline="0" fieldPosition="0">
        <references count="3">
          <reference field="4294967294" count="1" selected="0">
            <x v="0"/>
          </reference>
          <reference field="0" count="1" selected="0">
            <x v="5"/>
          </reference>
          <reference field="1" count="1" selected="0">
            <x v="173"/>
          </reference>
        </references>
      </pivotArea>
    </chartFormat>
    <chartFormat chart="0" format="174" series="1">
      <pivotArea type="data" outline="0" fieldPosition="0">
        <references count="3">
          <reference field="4294967294" count="1" selected="0">
            <x v="0"/>
          </reference>
          <reference field="0" count="1" selected="0">
            <x v="5"/>
          </reference>
          <reference field="1" count="1" selected="0">
            <x v="174"/>
          </reference>
        </references>
      </pivotArea>
    </chartFormat>
    <chartFormat chart="0" format="175" series="1">
      <pivotArea type="data" outline="0" fieldPosition="0">
        <references count="3">
          <reference field="4294967294" count="1" selected="0">
            <x v="0"/>
          </reference>
          <reference field="0" count="1" selected="0">
            <x v="5"/>
          </reference>
          <reference field="1" count="1" selected="0">
            <x v="175"/>
          </reference>
        </references>
      </pivotArea>
    </chartFormat>
    <chartFormat chart="0" format="176" series="1">
      <pivotArea type="data" outline="0" fieldPosition="0">
        <references count="3">
          <reference field="4294967294" count="1" selected="0">
            <x v="0"/>
          </reference>
          <reference field="0" count="1" selected="0">
            <x v="5"/>
          </reference>
          <reference field="1" count="1" selected="0">
            <x v="176"/>
          </reference>
        </references>
      </pivotArea>
    </chartFormat>
    <chartFormat chart="0" format="177" series="1">
      <pivotArea type="data" outline="0" fieldPosition="0">
        <references count="3">
          <reference field="4294967294" count="1" selected="0">
            <x v="0"/>
          </reference>
          <reference field="0" count="1" selected="0">
            <x v="5"/>
          </reference>
          <reference field="1" count="1" selected="0">
            <x v="177"/>
          </reference>
        </references>
      </pivotArea>
    </chartFormat>
    <chartFormat chart="0" format="178" series="1">
      <pivotArea type="data" outline="0" fieldPosition="0">
        <references count="3">
          <reference field="4294967294" count="1" selected="0">
            <x v="0"/>
          </reference>
          <reference field="0" count="1" selected="0">
            <x v="5"/>
          </reference>
          <reference field="1" count="1" selected="0">
            <x v="178"/>
          </reference>
        </references>
      </pivotArea>
    </chartFormat>
  </chartFormats>
  <pivotHierarchies count="53">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Sales"/>
    <pivotHierarchy dragToData="1" caption="Sold Quantity"/>
    <pivotHierarchy dragToData="1" caption="Profit"/>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showRowHeaders="1" showColHeaders="1" showRowStripes="0" showColStripes="0" showLastColumn="1"/>
  <rowHierarchiesUsage count="2">
    <rowHierarchyUsage hierarchyUsage="30"/>
    <rowHierarchyUsage hierarchyUsage="1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able_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F6501407-6B17-42C2-80D6-1F65C13DCF89}" name="Trends_Bars" cacheId="2" dataPosition="0" applyNumberFormats="0" applyBorderFormats="0" applyFontFormats="0" applyPatternFormats="0" applyAlignmentFormats="0" applyWidthHeightFormats="1" dataCaption="Values" tag="80b40262-5a40-44f3-a5d2-0f56f1ef2939" updatedVersion="8" minRefreshableVersion="3" subtotalHiddenItems="1" rowGrandTotals="0" itemPrintTitles="1" createdVersion="8" indent="0" compact="0" compactData="0" gridDropZones="1" multipleFieldFilters="0" chartFormat="10" rowHeaderCaption="Month/Date">
  <location ref="AU5:AX10" firstHeaderRow="1" firstDataRow="2" firstDataCol="1"/>
  <pivotFields count="5">
    <pivotField dataField="1" compact="0" outline="0" subtotalTop="0" showAll="0" defaultSubtotal="0"/>
    <pivotField dataField="1" compact="0" outline="0" subtotalTop="0" showAll="0" defaultSubtotal="0"/>
    <pivotField dataField="1" compact="0" outline="0" subtotalTop="0" showAll="0" defaultSubtotal="0"/>
    <pivotField axis="axisRow" compact="0" allDrilled="1" outline="0" subtotalTop="0" showAll="0" dataSourceSort="1" defaultSubtotal="0" defaultAttributeDrillState="1">
      <items count="4">
        <item x="0"/>
        <item x="1"/>
        <item x="2"/>
        <item x="3"/>
      </items>
    </pivotField>
    <pivotField compact="0" allDrilled="1" outline="0" subtotalTop="0" showAll="0" dataSourceSort="1" defaultSubtotal="0" defaultAttributeDrillState="1"/>
  </pivotFields>
  <rowFields count="1">
    <field x="3"/>
  </rowFields>
  <rowItems count="4">
    <i>
      <x/>
    </i>
    <i>
      <x v="1"/>
    </i>
    <i>
      <x v="2"/>
    </i>
    <i>
      <x v="3"/>
    </i>
  </rowItems>
  <colFields count="1">
    <field x="-2"/>
  </colFields>
  <colItems count="3">
    <i>
      <x/>
    </i>
    <i i="1">
      <x v="1"/>
    </i>
    <i i="2">
      <x v="2"/>
    </i>
  </colItems>
  <dataFields count="3">
    <dataField name="Sales" fld="0" baseField="0" baseItem="0"/>
    <dataField name="Profit" fld="1" baseField="0" baseItem="0"/>
    <dataField name="Quantity" fld="2" baseField="0" baseItem="0"/>
  </dataFields>
  <formats count="94">
    <format dxfId="639">
      <pivotArea type="all" dataOnly="0" outline="0" fieldPosition="0"/>
    </format>
    <format dxfId="638">
      <pivotArea outline="0" collapsedLevelsAreSubtotals="1" fieldPosition="0"/>
    </format>
    <format dxfId="637">
      <pivotArea type="origin" dataOnly="0" labelOnly="1" outline="0" fieldPosition="0"/>
    </format>
    <format dxfId="636">
      <pivotArea field="-2" type="button" dataOnly="0" labelOnly="1" outline="0" axis="axisCol" fieldPosition="0"/>
    </format>
    <format dxfId="635">
      <pivotArea type="topRight" dataOnly="0" labelOnly="1" outline="0" fieldPosition="0"/>
    </format>
    <format dxfId="634">
      <pivotArea dataOnly="0" labelOnly="1" grandRow="1" outline="0" fieldPosition="0"/>
    </format>
    <format dxfId="633">
      <pivotArea dataOnly="0" labelOnly="1" outline="0" fieldPosition="0">
        <references count="1">
          <reference field="4294967294" count="3">
            <x v="0"/>
            <x v="1"/>
            <x v="2"/>
          </reference>
        </references>
      </pivotArea>
    </format>
    <format dxfId="632">
      <pivotArea type="all" dataOnly="0" outline="0" fieldPosition="0"/>
    </format>
    <format dxfId="631">
      <pivotArea outline="0" collapsedLevelsAreSubtotals="1" fieldPosition="0"/>
    </format>
    <format dxfId="630">
      <pivotArea type="origin" dataOnly="0" labelOnly="1" outline="0" fieldPosition="0"/>
    </format>
    <format dxfId="629">
      <pivotArea field="-2" type="button" dataOnly="0" labelOnly="1" outline="0" axis="axisCol" fieldPosition="0"/>
    </format>
    <format dxfId="628">
      <pivotArea type="topRight" dataOnly="0" labelOnly="1" outline="0" fieldPosition="0"/>
    </format>
    <format dxfId="627">
      <pivotArea dataOnly="0" labelOnly="1" grandRow="1" outline="0" fieldPosition="0"/>
    </format>
    <format dxfId="626">
      <pivotArea dataOnly="0" labelOnly="1" outline="0" fieldPosition="0">
        <references count="1">
          <reference field="4294967294" count="3">
            <x v="0"/>
            <x v="1"/>
            <x v="2"/>
          </reference>
        </references>
      </pivotArea>
    </format>
    <format dxfId="625">
      <pivotArea type="all" dataOnly="0" outline="0" fieldPosition="0"/>
    </format>
    <format dxfId="624">
      <pivotArea outline="0" collapsedLevelsAreSubtotals="1" fieldPosition="0"/>
    </format>
    <format dxfId="623">
      <pivotArea field="-2" type="button" dataOnly="0" labelOnly="1" outline="0" axis="axisCol" fieldPosition="0"/>
    </format>
    <format dxfId="622">
      <pivotArea type="topRight" dataOnly="0" labelOnly="1" outline="0" fieldPosition="0"/>
    </format>
    <format dxfId="621">
      <pivotArea dataOnly="0" labelOnly="1" grandRow="1" outline="0" fieldPosition="0"/>
    </format>
    <format dxfId="620">
      <pivotArea dataOnly="0" labelOnly="1" outline="0" fieldPosition="0">
        <references count="1">
          <reference field="4294967294" count="3">
            <x v="0"/>
            <x v="1"/>
            <x v="2"/>
          </reference>
        </references>
      </pivotArea>
    </format>
    <format dxfId="619">
      <pivotArea outline="0" collapsedLevelsAreSubtotals="1" fieldPosition="0"/>
    </format>
    <format dxfId="618">
      <pivotArea field="-2" type="button" dataOnly="0" labelOnly="1" outline="0" axis="axisCol" fieldPosition="0"/>
    </format>
    <format dxfId="617">
      <pivotArea type="topRight" dataOnly="0" labelOnly="1" outline="0" fieldPosition="0"/>
    </format>
    <format dxfId="616">
      <pivotArea dataOnly="0" labelOnly="1" outline="0" fieldPosition="0">
        <references count="1">
          <reference field="4294967294" count="3">
            <x v="0"/>
            <x v="1"/>
            <x v="2"/>
          </reference>
        </references>
      </pivotArea>
    </format>
    <format dxfId="615">
      <pivotArea type="all" dataOnly="0" outline="0" fieldPosition="0"/>
    </format>
    <format dxfId="614">
      <pivotArea outline="0" collapsedLevelsAreSubtotals="1" fieldPosition="0"/>
    </format>
    <format dxfId="613">
      <pivotArea type="origin" dataOnly="0" labelOnly="1" outline="0" fieldPosition="0"/>
    </format>
    <format dxfId="612">
      <pivotArea field="-2" type="button" dataOnly="0" labelOnly="1" outline="0" axis="axisCol" fieldPosition="0"/>
    </format>
    <format dxfId="611">
      <pivotArea type="topRight" dataOnly="0" labelOnly="1" outline="0" fieldPosition="0"/>
    </format>
    <format dxfId="610">
      <pivotArea dataOnly="0" labelOnly="1" outline="0" fieldPosition="0">
        <references count="1">
          <reference field="4294967294" count="3">
            <x v="0"/>
            <x v="1"/>
            <x v="2"/>
          </reference>
        </references>
      </pivotArea>
    </format>
    <format dxfId="609">
      <pivotArea type="all" dataOnly="0" outline="0" fieldPosition="0"/>
    </format>
    <format dxfId="608">
      <pivotArea outline="0" collapsedLevelsAreSubtotals="1" fieldPosition="0"/>
    </format>
    <format dxfId="607">
      <pivotArea type="origin" dataOnly="0" labelOnly="1" outline="0" fieldPosition="0"/>
    </format>
    <format dxfId="606">
      <pivotArea field="-2" type="button" dataOnly="0" labelOnly="1" outline="0" axis="axisCol" fieldPosition="0"/>
    </format>
    <format dxfId="605">
      <pivotArea type="topRight" dataOnly="0" labelOnly="1" outline="0" fieldPosition="0"/>
    </format>
    <format dxfId="604">
      <pivotArea field="3" type="button" dataOnly="0" labelOnly="1" outline="0" axis="axisRow" fieldPosition="0"/>
    </format>
    <format dxfId="603">
      <pivotArea dataOnly="0" labelOnly="1" outline="0" fieldPosition="0">
        <references count="1">
          <reference field="3" count="0"/>
        </references>
      </pivotArea>
    </format>
    <format dxfId="602">
      <pivotArea dataOnly="0" labelOnly="1" outline="0" fieldPosition="0">
        <references count="1">
          <reference field="4294967294" count="3">
            <x v="0"/>
            <x v="1"/>
            <x v="2"/>
          </reference>
        </references>
      </pivotArea>
    </format>
    <format dxfId="601">
      <pivotArea type="all" dataOnly="0" outline="0" fieldPosition="0"/>
    </format>
    <format dxfId="600">
      <pivotArea outline="0" collapsedLevelsAreSubtotals="1" fieldPosition="0"/>
    </format>
    <format dxfId="599">
      <pivotArea type="origin" dataOnly="0" labelOnly="1" outline="0" fieldPosition="0"/>
    </format>
    <format dxfId="598">
      <pivotArea field="-2" type="button" dataOnly="0" labelOnly="1" outline="0" axis="axisCol" fieldPosition="0"/>
    </format>
    <format dxfId="597">
      <pivotArea type="topRight" dataOnly="0" labelOnly="1" outline="0" fieldPosition="0"/>
    </format>
    <format dxfId="596">
      <pivotArea field="3" type="button" dataOnly="0" labelOnly="1" outline="0" axis="axisRow" fieldPosition="0"/>
    </format>
    <format dxfId="595">
      <pivotArea dataOnly="0" labelOnly="1" outline="0" fieldPosition="0">
        <references count="1">
          <reference field="3" count="0"/>
        </references>
      </pivotArea>
    </format>
    <format dxfId="594">
      <pivotArea dataOnly="0" labelOnly="1" outline="0" fieldPosition="0">
        <references count="1">
          <reference field="4294967294" count="3">
            <x v="0"/>
            <x v="1"/>
            <x v="2"/>
          </reference>
        </references>
      </pivotArea>
    </format>
    <format dxfId="593">
      <pivotArea type="all" dataOnly="0" outline="0" fieldPosition="0"/>
    </format>
    <format dxfId="592">
      <pivotArea outline="0" collapsedLevelsAreSubtotals="1" fieldPosition="0"/>
    </format>
    <format dxfId="591">
      <pivotArea type="origin" dataOnly="0" labelOnly="1" outline="0" fieldPosition="0"/>
    </format>
    <format dxfId="590">
      <pivotArea field="-2" type="button" dataOnly="0" labelOnly="1" outline="0" axis="axisCol" fieldPosition="0"/>
    </format>
    <format dxfId="589">
      <pivotArea type="topRight" dataOnly="0" labelOnly="1" outline="0" fieldPosition="0"/>
    </format>
    <format dxfId="588">
      <pivotArea field="3" type="button" dataOnly="0" labelOnly="1" outline="0" axis="axisRow" fieldPosition="0"/>
    </format>
    <format dxfId="587">
      <pivotArea dataOnly="0" labelOnly="1" outline="0" fieldPosition="0">
        <references count="1">
          <reference field="3" count="0"/>
        </references>
      </pivotArea>
    </format>
    <format dxfId="586">
      <pivotArea dataOnly="0" labelOnly="1" outline="0" fieldPosition="0">
        <references count="1">
          <reference field="4294967294" count="3">
            <x v="0"/>
            <x v="1"/>
            <x v="2"/>
          </reference>
        </references>
      </pivotArea>
    </format>
    <format dxfId="585">
      <pivotArea type="all" dataOnly="0" outline="0" fieldPosition="0"/>
    </format>
    <format dxfId="584">
      <pivotArea outline="0" collapsedLevelsAreSubtotals="1" fieldPosition="0"/>
    </format>
    <format dxfId="583">
      <pivotArea type="origin" dataOnly="0" labelOnly="1" outline="0" fieldPosition="0"/>
    </format>
    <format dxfId="582">
      <pivotArea field="-2" type="button" dataOnly="0" labelOnly="1" outline="0" axis="axisCol" fieldPosition="0"/>
    </format>
    <format dxfId="581">
      <pivotArea type="topRight" dataOnly="0" labelOnly="1" outline="0" fieldPosition="0"/>
    </format>
    <format dxfId="580">
      <pivotArea field="3" type="button" dataOnly="0" labelOnly="1" outline="0" axis="axisRow" fieldPosition="0"/>
    </format>
    <format dxfId="579">
      <pivotArea dataOnly="0" labelOnly="1" outline="0" fieldPosition="0">
        <references count="1">
          <reference field="3" count="0"/>
        </references>
      </pivotArea>
    </format>
    <format dxfId="578">
      <pivotArea dataOnly="0" labelOnly="1" outline="0" fieldPosition="0">
        <references count="1">
          <reference field="4294967294" count="3">
            <x v="0"/>
            <x v="1"/>
            <x v="2"/>
          </reference>
        </references>
      </pivotArea>
    </format>
    <format dxfId="577">
      <pivotArea type="all" dataOnly="0" outline="0" fieldPosition="0"/>
    </format>
    <format dxfId="576">
      <pivotArea outline="0" collapsedLevelsAreSubtotals="1" fieldPosition="0"/>
    </format>
    <format dxfId="575">
      <pivotArea type="origin" dataOnly="0" labelOnly="1" outline="0" fieldPosition="0"/>
    </format>
    <format dxfId="574">
      <pivotArea field="-2" type="button" dataOnly="0" labelOnly="1" outline="0" axis="axisCol" fieldPosition="0"/>
    </format>
    <format dxfId="573">
      <pivotArea type="topRight" dataOnly="0" labelOnly="1" outline="0" fieldPosition="0"/>
    </format>
    <format dxfId="572">
      <pivotArea field="3" type="button" dataOnly="0" labelOnly="1" outline="0" axis="axisRow" fieldPosition="0"/>
    </format>
    <format dxfId="571">
      <pivotArea dataOnly="0" labelOnly="1" outline="0" fieldPosition="0">
        <references count="1">
          <reference field="3" count="0"/>
        </references>
      </pivotArea>
    </format>
    <format dxfId="570">
      <pivotArea dataOnly="0" labelOnly="1" outline="0" fieldPosition="0">
        <references count="1">
          <reference field="4294967294" count="3">
            <x v="0"/>
            <x v="1"/>
            <x v="2"/>
          </reference>
        </references>
      </pivotArea>
    </format>
    <format dxfId="569">
      <pivotArea type="all" dataOnly="0" outline="0" fieldPosition="0"/>
    </format>
    <format dxfId="568">
      <pivotArea outline="0" collapsedLevelsAreSubtotals="1" fieldPosition="0"/>
    </format>
    <format dxfId="567">
      <pivotArea type="origin" dataOnly="0" labelOnly="1" outline="0" fieldPosition="0"/>
    </format>
    <format dxfId="566">
      <pivotArea field="-2" type="button" dataOnly="0" labelOnly="1" outline="0" axis="axisCol" fieldPosition="0"/>
    </format>
    <format dxfId="565">
      <pivotArea type="topRight" dataOnly="0" labelOnly="1" outline="0" fieldPosition="0"/>
    </format>
    <format dxfId="564">
      <pivotArea field="3" type="button" dataOnly="0" labelOnly="1" outline="0" axis="axisRow" fieldPosition="0"/>
    </format>
    <format dxfId="563">
      <pivotArea dataOnly="0" labelOnly="1" outline="0" fieldPosition="0">
        <references count="1">
          <reference field="3" count="0"/>
        </references>
      </pivotArea>
    </format>
    <format dxfId="562">
      <pivotArea dataOnly="0" labelOnly="1" outline="0" fieldPosition="0">
        <references count="1">
          <reference field="4294967294" count="3">
            <x v="0"/>
            <x v="1"/>
            <x v="2"/>
          </reference>
        </references>
      </pivotArea>
    </format>
    <format dxfId="561">
      <pivotArea type="all" dataOnly="0" outline="0" fieldPosition="0"/>
    </format>
    <format dxfId="560">
      <pivotArea outline="0" collapsedLevelsAreSubtotals="1" fieldPosition="0"/>
    </format>
    <format dxfId="559">
      <pivotArea type="origin" dataOnly="0" labelOnly="1" outline="0" fieldPosition="0"/>
    </format>
    <format dxfId="558">
      <pivotArea field="-2" type="button" dataOnly="0" labelOnly="1" outline="0" axis="axisCol" fieldPosition="0"/>
    </format>
    <format dxfId="557">
      <pivotArea type="topRight" dataOnly="0" labelOnly="1" outline="0" fieldPosition="0"/>
    </format>
    <format dxfId="556">
      <pivotArea field="3" type="button" dataOnly="0" labelOnly="1" outline="0" axis="axisRow" fieldPosition="0"/>
    </format>
    <format dxfId="555">
      <pivotArea dataOnly="0" labelOnly="1" outline="0" fieldPosition="0">
        <references count="1">
          <reference field="3" count="0"/>
        </references>
      </pivotArea>
    </format>
    <format dxfId="554">
      <pivotArea dataOnly="0" labelOnly="1" outline="0" fieldPosition="0">
        <references count="1">
          <reference field="4294967294" count="3">
            <x v="0"/>
            <x v="1"/>
            <x v="2"/>
          </reference>
        </references>
      </pivotArea>
    </format>
    <format dxfId="553">
      <pivotArea type="all" dataOnly="0" outline="0" fieldPosition="0"/>
    </format>
    <format dxfId="552">
      <pivotArea outline="0" collapsedLevelsAreSubtotals="1" fieldPosition="0"/>
    </format>
    <format dxfId="551">
      <pivotArea type="origin" dataOnly="0" labelOnly="1" outline="0" fieldPosition="0"/>
    </format>
    <format dxfId="550">
      <pivotArea field="-2" type="button" dataOnly="0" labelOnly="1" outline="0" axis="axisCol" fieldPosition="0"/>
    </format>
    <format dxfId="549">
      <pivotArea type="topRight" dataOnly="0" labelOnly="1" outline="0" fieldPosition="0"/>
    </format>
    <format dxfId="548">
      <pivotArea field="3" type="button" dataOnly="0" labelOnly="1" outline="0" axis="axisRow" fieldPosition="0"/>
    </format>
    <format dxfId="547">
      <pivotArea dataOnly="0" labelOnly="1" outline="0" fieldPosition="0">
        <references count="1">
          <reference field="3" count="0"/>
        </references>
      </pivotArea>
    </format>
    <format dxfId="546">
      <pivotArea dataOnly="0" labelOnly="1" outline="0" fieldPosition="0">
        <references count="1">
          <reference field="4294967294" count="3">
            <x v="0"/>
            <x v="1"/>
            <x v="2"/>
          </reference>
        </references>
      </pivotArea>
    </format>
  </formats>
  <chartFormats count="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s>
  <pivotHierarchies count="53">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Sales"/>
    <pivotHierarchy dragToData="1" caption="Quantity"/>
    <pivotHierarchy dragToData="1" caption="Profit"/>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showRowHeaders="1" showColHeaders="1" showRowStripes="0" showColStripes="0" showLastColumn="1"/>
  <rowHierarchiesUsage count="1">
    <rowHierarchyUsage hierarchyUsage="25"/>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able_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5B7CBB82-BDFD-48D8-B5E6-229CF43306C8}" name="Distribution_TopProfitCities" cacheId="9" applyNumberFormats="0" applyBorderFormats="0" applyFontFormats="0" applyPatternFormats="0" applyAlignmentFormats="0" applyWidthHeightFormats="1" dataCaption="Values" updatedVersion="8" minRefreshableVersion="3" useAutoFormatting="1" subtotalHiddenItems="1" rowGrandTotals="0" itemPrintTitles="1" createdVersion="8" indent="0" outline="1" outlineData="1" multipleFieldFilters="0" rowHeaderCaption="City Name">
  <location ref="CJ35:CL38" firstHeaderRow="0" firstDataRow="1" firstDataCol="1"/>
  <pivotFields count="4">
    <pivotField axis="axisRow" allDrilled="1" subtotalTop="0" showAll="0" measureFilter="1" dataSourceSort="1" defaultSubtotal="0" defaultAttributeDrillState="1">
      <items count="3">
        <item x="0"/>
        <item x="1"/>
        <item x="2"/>
      </items>
    </pivotField>
    <pivotField dataField="1" subtotalTop="0" showAll="0" defaultSubtotal="0"/>
    <pivotField dataField="1" subtotalTop="0" showAll="0" defaultSubtotal="0"/>
    <pivotField allDrilled="1" subtotalTop="0" showAll="0" dataSourceSort="1" defaultSubtotal="0" defaultAttributeDrillState="1"/>
  </pivotFields>
  <rowFields count="1">
    <field x="0"/>
  </rowFields>
  <rowItems count="3">
    <i>
      <x/>
    </i>
    <i>
      <x v="1"/>
    </i>
    <i>
      <x v="2"/>
    </i>
  </rowItems>
  <colFields count="1">
    <field x="-2"/>
  </colFields>
  <colItems count="2">
    <i>
      <x/>
    </i>
    <i i="1">
      <x v="1"/>
    </i>
  </colItems>
  <dataFields count="2">
    <dataField name="Profit" fld="2" baseField="0" baseItem="0" numFmtId="168"/>
    <dataField name="Quantity" fld="1" baseField="0" baseItem="0"/>
  </dataFields>
  <formats count="12">
    <format dxfId="651">
      <pivotArea outline="0" collapsedLevelsAreSubtotals="1" fieldPosition="0">
        <references count="1">
          <reference field="4294967294" count="1" selected="0">
            <x v="0"/>
          </reference>
        </references>
      </pivotArea>
    </format>
    <format dxfId="650">
      <pivotArea dataOnly="0" labelOnly="1" outline="0" fieldPosition="0">
        <references count="1">
          <reference field="4294967294" count="1">
            <x v="0"/>
          </reference>
        </references>
      </pivotArea>
    </format>
    <format dxfId="649">
      <pivotArea type="all" dataOnly="0" outline="0" fieldPosition="0"/>
    </format>
    <format dxfId="648">
      <pivotArea outline="0" collapsedLevelsAreSubtotals="1" fieldPosition="0"/>
    </format>
    <format dxfId="647">
      <pivotArea field="0" type="button" dataOnly="0" labelOnly="1" outline="0" axis="axisRow" fieldPosition="0"/>
    </format>
    <format dxfId="646">
      <pivotArea dataOnly="0" labelOnly="1" fieldPosition="0">
        <references count="1">
          <reference field="0" count="0"/>
        </references>
      </pivotArea>
    </format>
    <format dxfId="645">
      <pivotArea dataOnly="0" labelOnly="1" outline="0" fieldPosition="0">
        <references count="1">
          <reference field="4294967294" count="2">
            <x v="0"/>
            <x v="1"/>
          </reference>
        </references>
      </pivotArea>
    </format>
    <format dxfId="644">
      <pivotArea type="all" dataOnly="0" outline="0" fieldPosition="0"/>
    </format>
    <format dxfId="643">
      <pivotArea outline="0" collapsedLevelsAreSubtotals="1" fieldPosition="0"/>
    </format>
    <format dxfId="642">
      <pivotArea field="0" type="button" dataOnly="0" labelOnly="1" outline="0" axis="axisRow" fieldPosition="0"/>
    </format>
    <format dxfId="641">
      <pivotArea dataOnly="0" labelOnly="1" fieldPosition="0">
        <references count="1">
          <reference field="0" count="0"/>
        </references>
      </pivotArea>
    </format>
    <format dxfId="640">
      <pivotArea dataOnly="0" labelOnly="1" outline="0" fieldPosition="0">
        <references count="1">
          <reference field="4294967294" count="2">
            <x v="0"/>
            <x v="1"/>
          </reference>
        </references>
      </pivotArea>
    </format>
  </formats>
  <pivotHierarchies count="54">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caption="Quantity"/>
    <pivotHierarchy dragToData="1" caption="Profit"/>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1">
    <filter fld="0" type="count" id="1" iMeasureHier="38">
      <autoFilter ref="A1">
        <filterColumn colId="0">
          <top10 val="3" filterVal="3"/>
        </filterColumn>
      </autoFilter>
    </filter>
  </filters>
  <rowHierarchiesUsage count="1">
    <rowHierarchyUsage hierarchyUsage="16"/>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able_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723BF3E6-8093-4346-B342-48CC446140D5}" name="Didtribution_OrderPriority" cacheId="0" applyNumberFormats="0" applyBorderFormats="0" applyFontFormats="0" applyPatternFormats="0" applyAlignmentFormats="0" applyWidthHeightFormats="1" dataCaption="Values" tag="5febfbea-5bc8-4315-b45c-ae5d8aa9f7e5" updatedVersion="8" minRefreshableVersion="3" useAutoFormatting="1" subtotalHiddenItems="1" rowGrandTotals="0" itemPrintTitles="1" createdVersion="8" indent="0" compact="0" compactData="0" gridDropZones="1" multipleFieldFilters="0">
  <location ref="BB4:BG25" firstHeaderRow="1" firstDataRow="2" firstDataCol="2"/>
  <pivotFields count="7">
    <pivotField axis="axisRow" compact="0" allDrilled="1" outline="0" subtotalTop="0" showAll="0" defaultSubtotal="0" defaultAttributeDrillState="1">
      <items count="4">
        <item x="0"/>
        <item x="1"/>
        <item x="2"/>
        <item x="3"/>
      </items>
    </pivotField>
    <pivotField compact="0" allDrilled="1" outline="0" subtotalTop="0" showAll="0" sortType="ascending" defaultSubtotal="0" defaultAttributeDrillState="1">
      <items count="17">
        <item x="0"/>
        <item x="1"/>
        <item x="2"/>
        <item x="3"/>
        <item x="4"/>
        <item x="5"/>
        <item x="6"/>
        <item x="7"/>
        <item x="8"/>
        <item x="9"/>
        <item x="10"/>
        <item x="11"/>
        <item x="12"/>
        <item x="13"/>
        <item x="14"/>
        <item x="15"/>
        <item x="16"/>
      </items>
      <autoSortScope>
        <pivotArea dataOnly="0" outline="0" fieldPosition="0">
          <references count="1">
            <reference field="4294967294" count="1" selected="0">
              <x v="0"/>
            </reference>
          </references>
        </pivotArea>
      </autoSortScope>
    </pivotField>
    <pivotField dataField="1" compact="0" outline="0" subtotalTop="0" showAll="0" defaultSubtotal="0"/>
    <pivotField dataField="1" compact="0" outline="0" subtotalTop="0" showAll="0" defaultSubtotal="0"/>
    <pivotField axis="axisRow" compact="0" allDrilled="1" outline="0" subtotalTop="0" showAll="0" nonAutoSortDefault="1" defaultSubtotal="0" defaultAttributeDrillState="1">
      <items count="5">
        <item n="Low" x="2"/>
        <item n="Medium" x="3"/>
        <item n="High" x="1"/>
        <item n="Critical" x="0"/>
        <item x="4"/>
      </items>
    </pivotField>
    <pivotField dataField="1" compact="0" outline="0" subtotalTop="0" showAll="0" defaultSubtotal="0"/>
    <pivotField dataField="1" compact="0" outline="0" subtotalTop="0" showAll="0" defaultSubtotal="0"/>
  </pivotFields>
  <rowFields count="2">
    <field x="0"/>
    <field x="4"/>
  </rowFields>
  <rowItems count="20">
    <i>
      <x/>
      <x/>
    </i>
    <i r="1">
      <x v="1"/>
    </i>
    <i r="1">
      <x v="2"/>
    </i>
    <i r="1">
      <x v="3"/>
    </i>
    <i r="1">
      <x v="4"/>
    </i>
    <i>
      <x v="1"/>
      <x/>
    </i>
    <i r="1">
      <x v="1"/>
    </i>
    <i r="1">
      <x v="2"/>
    </i>
    <i r="1">
      <x v="3"/>
    </i>
    <i r="1">
      <x v="4"/>
    </i>
    <i>
      <x v="2"/>
      <x/>
    </i>
    <i r="1">
      <x v="1"/>
    </i>
    <i r="1">
      <x v="2"/>
    </i>
    <i r="1">
      <x v="3"/>
    </i>
    <i r="1">
      <x v="4"/>
    </i>
    <i>
      <x v="3"/>
      <x/>
    </i>
    <i r="1">
      <x v="1"/>
    </i>
    <i r="1">
      <x v="2"/>
    </i>
    <i r="1">
      <x v="3"/>
    </i>
    <i r="1">
      <x v="4"/>
    </i>
  </rowItems>
  <colFields count="1">
    <field x="-2"/>
  </colFields>
  <colItems count="4">
    <i>
      <x/>
    </i>
    <i i="1">
      <x v="1"/>
    </i>
    <i i="2">
      <x v="2"/>
    </i>
    <i i="3">
      <x v="3"/>
    </i>
  </colItems>
  <dataFields count="4">
    <dataField name="Sales" fld="2" baseField="0" baseItem="0" numFmtId="165"/>
    <dataField name="Profit" fld="3" baseField="0" baseItem="0" numFmtId="165"/>
    <dataField name="# of Orders" fld="5" subtotal="count" baseField="4" baseItem="0">
      <extLst>
        <ext xmlns:x15="http://schemas.microsoft.com/office/spreadsheetml/2010/11/main" uri="{FABC7310-3BB5-11E1-824E-6D434824019B}">
          <x15:dataField isCountDistinct="1"/>
        </ext>
      </extLst>
    </dataField>
    <dataField name="Last Orderd" fld="6" subtotal="max" baseField="0" baseItem="0" numFmtId="14"/>
  </dataFields>
  <formats count="78">
    <format dxfId="729">
      <pivotArea outline="0" collapsedLevelsAreSubtotals="1" fieldPosition="0"/>
    </format>
    <format dxfId="728">
      <pivotArea field="-2" type="button" dataOnly="0" labelOnly="1" outline="0" axis="axisCol" fieldPosition="0"/>
    </format>
    <format dxfId="727">
      <pivotArea type="topRight" dataOnly="0" labelOnly="1" outline="0" fieldPosition="0"/>
    </format>
    <format dxfId="726">
      <pivotArea dataOnly="0" labelOnly="1" outline="0" fieldPosition="0">
        <references count="1">
          <reference field="4294967294" count="2">
            <x v="0"/>
            <x v="1"/>
          </reference>
        </references>
      </pivotArea>
    </format>
    <format dxfId="725">
      <pivotArea dataOnly="0" labelOnly="1" outline="0" fieldPosition="0">
        <references count="1">
          <reference field="4294967294" count="1">
            <x v="0"/>
          </reference>
        </references>
      </pivotArea>
    </format>
    <format dxfId="724">
      <pivotArea dataOnly="0" labelOnly="1" outline="0" fieldPosition="0">
        <references count="1">
          <reference field="4294967294" count="1">
            <x v="1"/>
          </reference>
        </references>
      </pivotArea>
    </format>
    <format dxfId="723">
      <pivotArea outline="0" fieldPosition="0">
        <references count="1">
          <reference field="4294967294" count="1" selected="0">
            <x v="0"/>
          </reference>
        </references>
      </pivotArea>
    </format>
    <format dxfId="722">
      <pivotArea outline="0" fieldPosition="0">
        <references count="1">
          <reference field="4294967294" count="1" selected="0">
            <x v="1"/>
          </reference>
        </references>
      </pivotArea>
    </format>
    <format dxfId="721">
      <pivotArea outline="0" fieldPosition="0">
        <references count="1">
          <reference field="4294967294" count="1" selected="0">
            <x v="3"/>
          </reference>
        </references>
      </pivotArea>
    </format>
    <format dxfId="720">
      <pivotArea type="all" dataOnly="0" outline="0" fieldPosition="0"/>
    </format>
    <format dxfId="719">
      <pivotArea outline="0" collapsedLevelsAreSubtotals="1" fieldPosition="0"/>
    </format>
    <format dxfId="718">
      <pivotArea type="origin" dataOnly="0" labelOnly="1" outline="0" fieldPosition="0"/>
    </format>
    <format dxfId="717">
      <pivotArea field="-2" type="button" dataOnly="0" labelOnly="1" outline="0" axis="axisCol" fieldPosition="0"/>
    </format>
    <format dxfId="716">
      <pivotArea type="topRight" dataOnly="0" labelOnly="1" outline="0" fieldPosition="0"/>
    </format>
    <format dxfId="715">
      <pivotArea field="0" type="button" dataOnly="0" labelOnly="1" outline="0" axis="axisRow" fieldPosition="0"/>
    </format>
    <format dxfId="714">
      <pivotArea field="4" type="button" dataOnly="0" labelOnly="1" outline="0" axis="axisRow" fieldPosition="1"/>
    </format>
    <format dxfId="713">
      <pivotArea dataOnly="0" labelOnly="1" outline="0" fieldPosition="0">
        <references count="1">
          <reference field="0" count="0"/>
        </references>
      </pivotArea>
    </format>
    <format dxfId="712">
      <pivotArea dataOnly="0" labelOnly="1" outline="0" fieldPosition="0">
        <references count="2">
          <reference field="0" count="1" selected="0">
            <x v="0"/>
          </reference>
          <reference field="4" count="0"/>
        </references>
      </pivotArea>
    </format>
    <format dxfId="711">
      <pivotArea dataOnly="0" labelOnly="1" outline="0" fieldPosition="0">
        <references count="2">
          <reference field="0" count="1" selected="0">
            <x v="1"/>
          </reference>
          <reference field="4" count="0"/>
        </references>
      </pivotArea>
    </format>
    <format dxfId="710">
      <pivotArea dataOnly="0" labelOnly="1" outline="0" fieldPosition="0">
        <references count="2">
          <reference field="0" count="1" selected="0">
            <x v="2"/>
          </reference>
          <reference field="4" count="0"/>
        </references>
      </pivotArea>
    </format>
    <format dxfId="709">
      <pivotArea dataOnly="0" labelOnly="1" outline="0" fieldPosition="0">
        <references count="2">
          <reference field="0" count="1" selected="0">
            <x v="3"/>
          </reference>
          <reference field="4" count="0"/>
        </references>
      </pivotArea>
    </format>
    <format dxfId="708">
      <pivotArea dataOnly="0" labelOnly="1" outline="0" fieldPosition="0">
        <references count="1">
          <reference field="4294967294" count="4">
            <x v="0"/>
            <x v="1"/>
            <x v="2"/>
            <x v="3"/>
          </reference>
        </references>
      </pivotArea>
    </format>
    <format dxfId="707">
      <pivotArea type="all" dataOnly="0" outline="0" fieldPosition="0"/>
    </format>
    <format dxfId="706">
      <pivotArea outline="0" collapsedLevelsAreSubtotals="1" fieldPosition="0"/>
    </format>
    <format dxfId="705">
      <pivotArea type="origin" dataOnly="0" labelOnly="1" outline="0" fieldPosition="0"/>
    </format>
    <format dxfId="704">
      <pivotArea field="-2" type="button" dataOnly="0" labelOnly="1" outline="0" axis="axisCol" fieldPosition="0"/>
    </format>
    <format dxfId="703">
      <pivotArea type="topRight" dataOnly="0" labelOnly="1" outline="0" fieldPosition="0"/>
    </format>
    <format dxfId="702">
      <pivotArea field="0" type="button" dataOnly="0" labelOnly="1" outline="0" axis="axisRow" fieldPosition="0"/>
    </format>
    <format dxfId="701">
      <pivotArea field="4" type="button" dataOnly="0" labelOnly="1" outline="0" axis="axisRow" fieldPosition="1"/>
    </format>
    <format dxfId="700">
      <pivotArea dataOnly="0" labelOnly="1" outline="0" fieldPosition="0">
        <references count="1">
          <reference field="0" count="0"/>
        </references>
      </pivotArea>
    </format>
    <format dxfId="699">
      <pivotArea dataOnly="0" labelOnly="1" outline="0" fieldPosition="0">
        <references count="2">
          <reference field="0" count="1" selected="0">
            <x v="0"/>
          </reference>
          <reference field="4" count="0"/>
        </references>
      </pivotArea>
    </format>
    <format dxfId="698">
      <pivotArea dataOnly="0" labelOnly="1" outline="0" fieldPosition="0">
        <references count="2">
          <reference field="0" count="1" selected="0">
            <x v="1"/>
          </reference>
          <reference field="4" count="0"/>
        </references>
      </pivotArea>
    </format>
    <format dxfId="697">
      <pivotArea dataOnly="0" labelOnly="1" outline="0" fieldPosition="0">
        <references count="2">
          <reference field="0" count="1" selected="0">
            <x v="2"/>
          </reference>
          <reference field="4" count="0"/>
        </references>
      </pivotArea>
    </format>
    <format dxfId="696">
      <pivotArea dataOnly="0" labelOnly="1" outline="0" fieldPosition="0">
        <references count="2">
          <reference field="0" count="1" selected="0">
            <x v="3"/>
          </reference>
          <reference field="4" count="0"/>
        </references>
      </pivotArea>
    </format>
    <format dxfId="695">
      <pivotArea dataOnly="0" labelOnly="1" outline="0" fieldPosition="0">
        <references count="1">
          <reference field="4294967294" count="4">
            <x v="0"/>
            <x v="1"/>
            <x v="2"/>
            <x v="3"/>
          </reference>
        </references>
      </pivotArea>
    </format>
    <format dxfId="694">
      <pivotArea dataOnly="0" labelOnly="1" outline="0" fieldPosition="0">
        <references count="2">
          <reference field="0" count="1" selected="0">
            <x v="0"/>
          </reference>
          <reference field="4" count="0"/>
        </references>
      </pivotArea>
    </format>
    <format dxfId="693">
      <pivotArea dataOnly="0" labelOnly="1" outline="0" fieldPosition="0">
        <references count="2">
          <reference field="0" count="1" selected="0">
            <x v="1"/>
          </reference>
          <reference field="4" count="0"/>
        </references>
      </pivotArea>
    </format>
    <format dxfId="692">
      <pivotArea dataOnly="0" labelOnly="1" outline="0" fieldPosition="0">
        <references count="2">
          <reference field="0" count="1" selected="0">
            <x v="2"/>
          </reference>
          <reference field="4" count="0"/>
        </references>
      </pivotArea>
    </format>
    <format dxfId="691">
      <pivotArea dataOnly="0" labelOnly="1" outline="0" fieldPosition="0">
        <references count="2">
          <reference field="0" count="1" selected="0">
            <x v="3"/>
          </reference>
          <reference field="4" count="0"/>
        </references>
      </pivotArea>
    </format>
    <format dxfId="690">
      <pivotArea type="all" dataOnly="0" outline="0" fieldPosition="0"/>
    </format>
    <format dxfId="689">
      <pivotArea outline="0" collapsedLevelsAreSubtotals="1" fieldPosition="0"/>
    </format>
    <format dxfId="688">
      <pivotArea type="origin" dataOnly="0" labelOnly="1" outline="0" fieldPosition="0"/>
    </format>
    <format dxfId="687">
      <pivotArea field="-2" type="button" dataOnly="0" labelOnly="1" outline="0" axis="axisCol" fieldPosition="0"/>
    </format>
    <format dxfId="686">
      <pivotArea type="topRight" dataOnly="0" labelOnly="1" outline="0" fieldPosition="0"/>
    </format>
    <format dxfId="685">
      <pivotArea field="0" type="button" dataOnly="0" labelOnly="1" outline="0" axis="axisRow" fieldPosition="0"/>
    </format>
    <format dxfId="684">
      <pivotArea field="4" type="button" dataOnly="0" labelOnly="1" outline="0" axis="axisRow" fieldPosition="1"/>
    </format>
    <format dxfId="683">
      <pivotArea dataOnly="0" labelOnly="1" outline="0" fieldPosition="0">
        <references count="1">
          <reference field="0" count="0"/>
        </references>
      </pivotArea>
    </format>
    <format dxfId="682">
      <pivotArea dataOnly="0" labelOnly="1" outline="0" fieldPosition="0">
        <references count="2">
          <reference field="0" count="1" selected="0">
            <x v="0"/>
          </reference>
          <reference field="4" count="0"/>
        </references>
      </pivotArea>
    </format>
    <format dxfId="681">
      <pivotArea dataOnly="0" labelOnly="1" outline="0" fieldPosition="0">
        <references count="2">
          <reference field="0" count="1" selected="0">
            <x v="1"/>
          </reference>
          <reference field="4" count="0"/>
        </references>
      </pivotArea>
    </format>
    <format dxfId="680">
      <pivotArea dataOnly="0" labelOnly="1" outline="0" fieldPosition="0">
        <references count="2">
          <reference field="0" count="1" selected="0">
            <x v="2"/>
          </reference>
          <reference field="4" count="0"/>
        </references>
      </pivotArea>
    </format>
    <format dxfId="679">
      <pivotArea dataOnly="0" labelOnly="1" outline="0" fieldPosition="0">
        <references count="2">
          <reference field="0" count="1" selected="0">
            <x v="3"/>
          </reference>
          <reference field="4" count="0"/>
        </references>
      </pivotArea>
    </format>
    <format dxfId="678">
      <pivotArea dataOnly="0" labelOnly="1" outline="0" fieldPosition="0">
        <references count="1">
          <reference field="4294967294" count="4">
            <x v="0"/>
            <x v="1"/>
            <x v="2"/>
            <x v="3"/>
          </reference>
        </references>
      </pivotArea>
    </format>
    <format dxfId="677">
      <pivotArea type="all" dataOnly="0" outline="0" fieldPosition="0"/>
    </format>
    <format dxfId="676">
      <pivotArea outline="0" collapsedLevelsAreSubtotals="1" fieldPosition="0"/>
    </format>
    <format dxfId="675">
      <pivotArea type="origin" dataOnly="0" labelOnly="1" outline="0" fieldPosition="0"/>
    </format>
    <format dxfId="674">
      <pivotArea field="-2" type="button" dataOnly="0" labelOnly="1" outline="0" axis="axisCol" fieldPosition="0"/>
    </format>
    <format dxfId="673">
      <pivotArea type="topRight" dataOnly="0" labelOnly="1" outline="0" fieldPosition="0"/>
    </format>
    <format dxfId="672">
      <pivotArea field="0" type="button" dataOnly="0" labelOnly="1" outline="0" axis="axisRow" fieldPosition="0"/>
    </format>
    <format dxfId="671">
      <pivotArea field="4" type="button" dataOnly="0" labelOnly="1" outline="0" axis="axisRow" fieldPosition="1"/>
    </format>
    <format dxfId="670">
      <pivotArea dataOnly="0" labelOnly="1" outline="0" fieldPosition="0">
        <references count="1">
          <reference field="0" count="0"/>
        </references>
      </pivotArea>
    </format>
    <format dxfId="669">
      <pivotArea dataOnly="0" labelOnly="1" outline="0" fieldPosition="0">
        <references count="2">
          <reference field="0" count="1" selected="0">
            <x v="0"/>
          </reference>
          <reference field="4" count="0"/>
        </references>
      </pivotArea>
    </format>
    <format dxfId="668">
      <pivotArea dataOnly="0" labelOnly="1" outline="0" fieldPosition="0">
        <references count="2">
          <reference field="0" count="1" selected="0">
            <x v="1"/>
          </reference>
          <reference field="4" count="0"/>
        </references>
      </pivotArea>
    </format>
    <format dxfId="667">
      <pivotArea dataOnly="0" labelOnly="1" outline="0" fieldPosition="0">
        <references count="2">
          <reference field="0" count="1" selected="0">
            <x v="2"/>
          </reference>
          <reference field="4" count="0"/>
        </references>
      </pivotArea>
    </format>
    <format dxfId="666">
      <pivotArea dataOnly="0" labelOnly="1" outline="0" fieldPosition="0">
        <references count="2">
          <reference field="0" count="1" selected="0">
            <x v="3"/>
          </reference>
          <reference field="4" count="0"/>
        </references>
      </pivotArea>
    </format>
    <format dxfId="665">
      <pivotArea dataOnly="0" labelOnly="1" outline="0" fieldPosition="0">
        <references count="1">
          <reference field="4294967294" count="4">
            <x v="0"/>
            <x v="1"/>
            <x v="2"/>
            <x v="3"/>
          </reference>
        </references>
      </pivotArea>
    </format>
    <format dxfId="664">
      <pivotArea type="all" dataOnly="0" outline="0" fieldPosition="0"/>
    </format>
    <format dxfId="663">
      <pivotArea outline="0" collapsedLevelsAreSubtotals="1" fieldPosition="0"/>
    </format>
    <format dxfId="662">
      <pivotArea type="origin" dataOnly="0" labelOnly="1" outline="0" fieldPosition="0"/>
    </format>
    <format dxfId="661">
      <pivotArea field="-2" type="button" dataOnly="0" labelOnly="1" outline="0" axis="axisCol" fieldPosition="0"/>
    </format>
    <format dxfId="660">
      <pivotArea type="topRight" dataOnly="0" labelOnly="1" outline="0" fieldPosition="0"/>
    </format>
    <format dxfId="659">
      <pivotArea field="0" type="button" dataOnly="0" labelOnly="1" outline="0" axis="axisRow" fieldPosition="0"/>
    </format>
    <format dxfId="658">
      <pivotArea field="4" type="button" dataOnly="0" labelOnly="1" outline="0" axis="axisRow" fieldPosition="1"/>
    </format>
    <format dxfId="657">
      <pivotArea dataOnly="0" labelOnly="1" outline="0" fieldPosition="0">
        <references count="1">
          <reference field="0" count="0"/>
        </references>
      </pivotArea>
    </format>
    <format dxfId="656">
      <pivotArea dataOnly="0" labelOnly="1" outline="0" fieldPosition="0">
        <references count="2">
          <reference field="0" count="1" selected="0">
            <x v="0"/>
          </reference>
          <reference field="4" count="0"/>
        </references>
      </pivotArea>
    </format>
    <format dxfId="655">
      <pivotArea dataOnly="0" labelOnly="1" outline="0" fieldPosition="0">
        <references count="2">
          <reference field="0" count="1" selected="0">
            <x v="1"/>
          </reference>
          <reference field="4" count="0"/>
        </references>
      </pivotArea>
    </format>
    <format dxfId="654">
      <pivotArea dataOnly="0" labelOnly="1" outline="0" fieldPosition="0">
        <references count="2">
          <reference field="0" count="1" selected="0">
            <x v="2"/>
          </reference>
          <reference field="4" count="0"/>
        </references>
      </pivotArea>
    </format>
    <format dxfId="653">
      <pivotArea dataOnly="0" labelOnly="1" outline="0" fieldPosition="0">
        <references count="2">
          <reference field="0" count="1" selected="0">
            <x v="3"/>
          </reference>
          <reference field="4" count="0"/>
        </references>
      </pivotArea>
    </format>
    <format dxfId="652">
      <pivotArea dataOnly="0" labelOnly="1" outline="0" fieldPosition="0">
        <references count="1">
          <reference field="4294967294" count="4">
            <x v="0"/>
            <x v="1"/>
            <x v="2"/>
            <x v="3"/>
          </reference>
        </references>
      </pivotArea>
    </format>
  </formats>
  <pivotHierarchies count="53">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Sales"/>
    <pivotHierarchy dragToData="1"/>
    <pivotHierarchy dragToData="1" caption="Profit"/>
    <pivotHierarchy dragToData="1"/>
    <pivotHierarchy dragToData="1"/>
    <pivotHierarchy dragToData="1"/>
    <pivotHierarchy dragToData="1"/>
    <pivotHierarchy dragToData="1"/>
    <pivotHierarchy dragToData="1"/>
    <pivotHierarchy dragToData="1"/>
    <pivotHierarchy dragToData="1" caption="# of Orders"/>
    <pivotHierarchy dragToData="1"/>
    <pivotHierarchy dragToData="1" caption="Last Orderd"/>
    <pivotHierarchy dragToData="1"/>
    <pivotHierarchy dragToData="1" caption="Distinct Count of Product Name"/>
  </pivotHierarchies>
  <pivotTableStyleInfo showRowHeaders="1" showColHeaders="1" showRowStripes="0" showColStripes="0" showLastColumn="1"/>
  <rowHierarchiesUsage count="2">
    <rowHierarchyUsage hierarchyUsage="7"/>
    <rowHierarchyUsage hierarchyUsage="2"/>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able_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A70E5194-3C05-46E6-90B9-6648330AF0A8}" name="Distribution_LeastSellingCities" cacheId="6" applyNumberFormats="0" applyBorderFormats="0" applyFontFormats="0" applyPatternFormats="0" applyAlignmentFormats="0" applyWidthHeightFormats="1" dataCaption="Values" updatedVersion="8" minRefreshableVersion="3" useAutoFormatting="1" subtotalHiddenItems="1" rowGrandTotals="0" itemPrintTitles="1" createdVersion="8" indent="0" outline="1" outlineData="1" multipleFieldFilters="0" rowHeaderCaption="City Name">
  <location ref="CJ41:CL44" firstHeaderRow="0" firstDataRow="1" firstDataCol="1"/>
  <pivotFields count="4">
    <pivotField axis="axisRow" allDrilled="1" subtotalTop="0" showAll="0" measureFilter="1" dataSourceSort="1" defaultSubtotal="0" defaultAttributeDrillState="1">
      <items count="3">
        <item x="0"/>
        <item x="1"/>
        <item x="2"/>
      </items>
    </pivotField>
    <pivotField dataField="1" subtotalTop="0" showAll="0" defaultSubtotal="0"/>
    <pivotField dataField="1" subtotalTop="0" showAll="0" defaultSubtotal="0"/>
    <pivotField allDrilled="1" subtotalTop="0" showAll="0" dataSourceSort="1" defaultSubtotal="0" defaultAttributeDrillState="1"/>
  </pivotFields>
  <rowFields count="1">
    <field x="0"/>
  </rowFields>
  <rowItems count="3">
    <i>
      <x/>
    </i>
    <i>
      <x v="1"/>
    </i>
    <i>
      <x v="2"/>
    </i>
  </rowItems>
  <colFields count="1">
    <field x="-2"/>
  </colFields>
  <colItems count="2">
    <i>
      <x/>
    </i>
    <i i="1">
      <x v="1"/>
    </i>
  </colItems>
  <dataFields count="2">
    <dataField name="Sales" fld="1" baseField="0" baseItem="0" numFmtId="168"/>
    <dataField name="Quantity" fld="2" baseField="0" baseItem="0"/>
  </dataFields>
  <formats count="12">
    <format dxfId="741">
      <pivotArea outline="0" collapsedLevelsAreSubtotals="1" fieldPosition="0">
        <references count="1">
          <reference field="4294967294" count="1" selected="0">
            <x v="0"/>
          </reference>
        </references>
      </pivotArea>
    </format>
    <format dxfId="740">
      <pivotArea dataOnly="0" labelOnly="1" outline="0" fieldPosition="0">
        <references count="1">
          <reference field="4294967294" count="1">
            <x v="0"/>
          </reference>
        </references>
      </pivotArea>
    </format>
    <format dxfId="739">
      <pivotArea type="all" dataOnly="0" outline="0" fieldPosition="0"/>
    </format>
    <format dxfId="738">
      <pivotArea outline="0" collapsedLevelsAreSubtotals="1" fieldPosition="0"/>
    </format>
    <format dxfId="737">
      <pivotArea field="0" type="button" dataOnly="0" labelOnly="1" outline="0" axis="axisRow" fieldPosition="0"/>
    </format>
    <format dxfId="736">
      <pivotArea dataOnly="0" labelOnly="1" fieldPosition="0">
        <references count="1">
          <reference field="0" count="0"/>
        </references>
      </pivotArea>
    </format>
    <format dxfId="735">
      <pivotArea dataOnly="0" labelOnly="1" outline="0" fieldPosition="0">
        <references count="1">
          <reference field="4294967294" count="2">
            <x v="0"/>
            <x v="1"/>
          </reference>
        </references>
      </pivotArea>
    </format>
    <format dxfId="734">
      <pivotArea type="all" dataOnly="0" outline="0" fieldPosition="0"/>
    </format>
    <format dxfId="733">
      <pivotArea outline="0" collapsedLevelsAreSubtotals="1" fieldPosition="0"/>
    </format>
    <format dxfId="732">
      <pivotArea field="0" type="button" dataOnly="0" labelOnly="1" outline="0" axis="axisRow" fieldPosition="0"/>
    </format>
    <format dxfId="731">
      <pivotArea dataOnly="0" labelOnly="1" fieldPosition="0">
        <references count="1">
          <reference field="0" count="0"/>
        </references>
      </pivotArea>
    </format>
    <format dxfId="730">
      <pivotArea dataOnly="0" labelOnly="1" outline="0" fieldPosition="0">
        <references count="1">
          <reference field="4294967294" count="2">
            <x v="0"/>
            <x v="1"/>
          </reference>
        </references>
      </pivotArea>
    </format>
  </formats>
  <pivotHierarchies count="54">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Sales"/>
    <pivotHierarchy dragToData="1" caption="Quantit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1">
    <filter fld="0" type="count" id="2" iMeasureHier="38">
      <autoFilter ref="A1">
        <filterColumn colId="0">
          <top10 top="0" val="3" filterVal="3"/>
        </filterColumn>
      </autoFilter>
    </filter>
  </filters>
  <rowHierarchiesUsage count="1">
    <rowHierarchyUsage hierarchyUsage="16"/>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able_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BAB89E43-CC14-40A3-B3F6-70BD4F1B4A8E}" name="SalesMap_RegionalBars+Matrix" cacheId="19" applyNumberFormats="0" applyBorderFormats="0" applyFontFormats="0" applyPatternFormats="0" applyAlignmentFormats="0" applyWidthHeightFormats="1" dataCaption="Values" tag="aeb17f03-33b3-4867-967a-2a6de321512f" updatedVersion="8" minRefreshableVersion="3" subtotalHiddenItems="1" itemPrintTitles="1" createdVersion="8" indent="0" compact="0" compactData="0" gridDropZones="1" multipleFieldFilters="0" chartFormat="13">
  <location ref="AD5:AJ19" firstHeaderRow="1" firstDataRow="2" firstDataCol="2"/>
  <pivotFields count="7">
    <pivotField axis="axisRow" compact="0" allDrilled="1" outline="0" subtotalTop="0" showAll="0" dataSourceSort="1" defaultSubtotal="0" defaultAttributeDrillState="1">
      <items count="3">
        <item x="0"/>
        <item x="1"/>
        <item x="2"/>
      </items>
      <extLst>
        <ext xmlns:x14="http://schemas.microsoft.com/office/spreadsheetml/2009/9/main" uri="{2946ED86-A175-432a-8AC1-64E0C546D7DE}">
          <x14:pivotField fillDownLabels="1"/>
        </ext>
      </extLst>
    </pivotField>
    <pivotField dataField="1" compact="0" outline="0" subtotalTop="0" showAll="0" defaultSubtotal="0">
      <extLst>
        <ext xmlns:x14="http://schemas.microsoft.com/office/spreadsheetml/2009/9/main" uri="{2946ED86-A175-432a-8AC1-64E0C546D7DE}">
          <x14:pivotField fillDownLabels="1"/>
        </ext>
      </extLst>
    </pivotField>
    <pivotField dataField="1" compact="0" outline="0" subtotalTop="0" showAll="0" defaultSubtotal="0">
      <extLst>
        <ext xmlns:x14="http://schemas.microsoft.com/office/spreadsheetml/2009/9/main" uri="{2946ED86-A175-432a-8AC1-64E0C546D7DE}">
          <x14:pivotField fillDownLabels="1"/>
        </ext>
      </extLst>
    </pivotField>
    <pivotField dataField="1" compact="0" outline="0" subtotalTop="0" showAll="0" defaultSubtotal="0">
      <extLst>
        <ext xmlns:x14="http://schemas.microsoft.com/office/spreadsheetml/2009/9/main" uri="{2946ED86-A175-432a-8AC1-64E0C546D7DE}">
          <x14:pivotField fillDownLabels="1"/>
        </ext>
      </extLst>
    </pivotField>
    <pivotField axis="axisRow" compact="0" allDrilled="1" outline="0" subtotalTop="0" showAll="0" dataSourceSort="1" defaultSubtotal="0" defaultAttributeDrillState="1">
      <items count="4">
        <item x="0"/>
        <item x="1"/>
        <item x="2"/>
        <item x="3"/>
      </items>
      <extLst>
        <ext xmlns:x14="http://schemas.microsoft.com/office/spreadsheetml/2009/9/main" uri="{2946ED86-A175-432a-8AC1-64E0C546D7DE}">
          <x14:pivotField fillDownLabels="1"/>
        </ext>
      </extLst>
    </pivotField>
    <pivotField dataField="1" compact="0" outline="0" subtotalTop="0" showAll="0" defaultSubtotal="0">
      <extLst>
        <ext xmlns:x14="http://schemas.microsoft.com/office/spreadsheetml/2009/9/main" uri="{2946ED86-A175-432a-8AC1-64E0C546D7DE}">
          <x14:pivotField fillDownLabels="1"/>
        </ext>
      </extLst>
    </pivotField>
    <pivotField dataField="1" compact="0" outline="0" subtotalTop="0" showAll="0" defaultSubtotal="0">
      <extLst>
        <ext xmlns:x14="http://schemas.microsoft.com/office/spreadsheetml/2009/9/main" uri="{2946ED86-A175-432a-8AC1-64E0C546D7DE}">
          <x14:pivotField fillDownLabels="1"/>
        </ext>
      </extLst>
    </pivotField>
  </pivotFields>
  <rowFields count="2">
    <field x="4"/>
    <field x="0"/>
  </rowFields>
  <rowItems count="13">
    <i>
      <x/>
      <x/>
    </i>
    <i r="1">
      <x v="1"/>
    </i>
    <i r="1">
      <x v="2"/>
    </i>
    <i>
      <x v="1"/>
      <x/>
    </i>
    <i r="1">
      <x v="1"/>
    </i>
    <i r="1">
      <x v="2"/>
    </i>
    <i>
      <x v="2"/>
      <x/>
    </i>
    <i r="1">
      <x v="1"/>
    </i>
    <i r="1">
      <x v="2"/>
    </i>
    <i>
      <x v="3"/>
      <x/>
    </i>
    <i r="1">
      <x v="1"/>
    </i>
    <i r="1">
      <x v="2"/>
    </i>
    <i t="grand">
      <x/>
    </i>
  </rowItems>
  <colFields count="1">
    <field x="-2"/>
  </colFields>
  <colItems count="5">
    <i>
      <x/>
    </i>
    <i i="1">
      <x v="1"/>
    </i>
    <i i="2">
      <x v="2"/>
    </i>
    <i i="3">
      <x v="3"/>
    </i>
    <i i="4">
      <x v="4"/>
    </i>
  </colItems>
  <dataFields count="5">
    <dataField name="Cumulative cost" fld="2" baseField="0" baseItem="0"/>
    <dataField name="Shipping Cost" fld="3" baseField="0" baseItem="0"/>
    <dataField name="Discount" fld="5" baseField="0" baseItem="0"/>
    <dataField name="Profit" fld="1" baseField="0" baseItem="0"/>
    <dataField name="Sales" fld="6" baseField="0" baseItem="0"/>
  </dataFields>
  <formats count="152">
    <format dxfId="893">
      <pivotArea type="all" dataOnly="0" outline="0" fieldPosition="0"/>
    </format>
    <format dxfId="892">
      <pivotArea outline="0" collapsedLevelsAreSubtotals="1" fieldPosition="0"/>
    </format>
    <format dxfId="891">
      <pivotArea dataOnly="0" labelOnly="1" grandRow="1" outline="0" fieldPosition="0"/>
    </format>
    <format dxfId="890">
      <pivotArea dataOnly="0" labelOnly="1" outline="0" fieldPosition="0">
        <references count="1">
          <reference field="4294967294" count="3">
            <x v="0"/>
            <x v="1"/>
            <x v="3"/>
          </reference>
        </references>
      </pivotArea>
    </format>
    <format dxfId="889">
      <pivotArea type="all" dataOnly="0" outline="0" fieldPosition="0"/>
    </format>
    <format dxfId="888">
      <pivotArea outline="0" collapsedLevelsAreSubtotals="1" fieldPosition="0"/>
    </format>
    <format dxfId="887">
      <pivotArea dataOnly="0" labelOnly="1" grandRow="1" outline="0" fieldPosition="0"/>
    </format>
    <format dxfId="886">
      <pivotArea dataOnly="0" labelOnly="1" outline="0" fieldPosition="0">
        <references count="1">
          <reference field="4294967294" count="3">
            <x v="0"/>
            <x v="1"/>
            <x v="3"/>
          </reference>
        </references>
      </pivotArea>
    </format>
    <format dxfId="885">
      <pivotArea type="all" dataOnly="0" outline="0" fieldPosition="0"/>
    </format>
    <format dxfId="884">
      <pivotArea outline="0" collapsedLevelsAreSubtotals="1" fieldPosition="0"/>
    </format>
    <format dxfId="883">
      <pivotArea type="origin" dataOnly="0" labelOnly="1" outline="0" fieldPosition="0"/>
    </format>
    <format dxfId="882">
      <pivotArea field="-2" type="button" dataOnly="0" labelOnly="1" outline="0" axis="axisCol" fieldPosition="0"/>
    </format>
    <format dxfId="881">
      <pivotArea type="topRight" dataOnly="0" labelOnly="1" outline="0" fieldPosition="0"/>
    </format>
    <format dxfId="880">
      <pivotArea field="4" type="button" dataOnly="0" labelOnly="1" outline="0" axis="axisRow" fieldPosition="0"/>
    </format>
    <format dxfId="879">
      <pivotArea field="0" type="button" dataOnly="0" labelOnly="1" outline="0" axis="axisRow" fieldPosition="1"/>
    </format>
    <format dxfId="878">
      <pivotArea dataOnly="0" labelOnly="1" outline="0" fieldPosition="0">
        <references count="1">
          <reference field="4" count="0"/>
        </references>
      </pivotArea>
    </format>
    <format dxfId="877">
      <pivotArea dataOnly="0" labelOnly="1" grandRow="1" outline="0" fieldPosition="0"/>
    </format>
    <format dxfId="876">
      <pivotArea dataOnly="0" labelOnly="1" outline="0" fieldPosition="0">
        <references count="2">
          <reference field="0" count="0"/>
          <reference field="4" count="1" selected="0">
            <x v="0"/>
          </reference>
        </references>
      </pivotArea>
    </format>
    <format dxfId="875">
      <pivotArea dataOnly="0" labelOnly="1" outline="0" fieldPosition="0">
        <references count="2">
          <reference field="0" count="0"/>
          <reference field="4" count="1" selected="0">
            <x v="1"/>
          </reference>
        </references>
      </pivotArea>
    </format>
    <format dxfId="874">
      <pivotArea dataOnly="0" labelOnly="1" outline="0" fieldPosition="0">
        <references count="2">
          <reference field="0" count="0"/>
          <reference field="4" count="1" selected="0">
            <x v="2"/>
          </reference>
        </references>
      </pivotArea>
    </format>
    <format dxfId="873">
      <pivotArea dataOnly="0" labelOnly="1" outline="0" fieldPosition="0">
        <references count="2">
          <reference field="0" count="0"/>
          <reference field="4" count="1" selected="0">
            <x v="3"/>
          </reference>
        </references>
      </pivotArea>
    </format>
    <format dxfId="872">
      <pivotArea dataOnly="0" labelOnly="1" outline="0" fieldPosition="0">
        <references count="1">
          <reference field="4294967294" count="3">
            <x v="0"/>
            <x v="1"/>
            <x v="3"/>
          </reference>
        </references>
      </pivotArea>
    </format>
    <format dxfId="871">
      <pivotArea type="all" dataOnly="0" outline="0" fieldPosition="0"/>
    </format>
    <format dxfId="870">
      <pivotArea outline="0" collapsedLevelsAreSubtotals="1" fieldPosition="0"/>
    </format>
    <format dxfId="869">
      <pivotArea type="origin" dataOnly="0" labelOnly="1" outline="0" fieldPosition="0"/>
    </format>
    <format dxfId="868">
      <pivotArea field="-2" type="button" dataOnly="0" labelOnly="1" outline="0" axis="axisCol" fieldPosition="0"/>
    </format>
    <format dxfId="867">
      <pivotArea type="topRight" dataOnly="0" labelOnly="1" outline="0" fieldPosition="0"/>
    </format>
    <format dxfId="866">
      <pivotArea field="4" type="button" dataOnly="0" labelOnly="1" outline="0" axis="axisRow" fieldPosition="0"/>
    </format>
    <format dxfId="865">
      <pivotArea field="0" type="button" dataOnly="0" labelOnly="1" outline="0" axis="axisRow" fieldPosition="1"/>
    </format>
    <format dxfId="864">
      <pivotArea dataOnly="0" labelOnly="1" outline="0" fieldPosition="0">
        <references count="1">
          <reference field="4" count="0"/>
        </references>
      </pivotArea>
    </format>
    <format dxfId="863">
      <pivotArea dataOnly="0" labelOnly="1" grandRow="1" outline="0" fieldPosition="0"/>
    </format>
    <format dxfId="862">
      <pivotArea dataOnly="0" labelOnly="1" outline="0" fieldPosition="0">
        <references count="2">
          <reference field="0" count="0"/>
          <reference field="4" count="1" selected="0">
            <x v="0"/>
          </reference>
        </references>
      </pivotArea>
    </format>
    <format dxfId="861">
      <pivotArea dataOnly="0" labelOnly="1" outline="0" fieldPosition="0">
        <references count="2">
          <reference field="0" count="0"/>
          <reference field="4" count="1" selected="0">
            <x v="1"/>
          </reference>
        </references>
      </pivotArea>
    </format>
    <format dxfId="860">
      <pivotArea dataOnly="0" labelOnly="1" outline="0" fieldPosition="0">
        <references count="2">
          <reference field="0" count="0"/>
          <reference field="4" count="1" selected="0">
            <x v="2"/>
          </reference>
        </references>
      </pivotArea>
    </format>
    <format dxfId="859">
      <pivotArea dataOnly="0" labelOnly="1" outline="0" fieldPosition="0">
        <references count="2">
          <reference field="0" count="0"/>
          <reference field="4" count="1" selected="0">
            <x v="3"/>
          </reference>
        </references>
      </pivotArea>
    </format>
    <format dxfId="858">
      <pivotArea dataOnly="0" labelOnly="1" outline="0" fieldPosition="0">
        <references count="1">
          <reference field="4294967294" count="3">
            <x v="0"/>
            <x v="1"/>
            <x v="3"/>
          </reference>
        </references>
      </pivotArea>
    </format>
    <format dxfId="857">
      <pivotArea type="origin" dataOnly="0" labelOnly="1" outline="0" fieldPosition="0"/>
    </format>
    <format dxfId="856">
      <pivotArea field="4" type="button" dataOnly="0" labelOnly="1" outline="0" axis="axisRow" fieldPosition="0"/>
    </format>
    <format dxfId="855">
      <pivotArea dataOnly="0" labelOnly="1" outline="0" fieldPosition="0">
        <references count="1">
          <reference field="4" count="0"/>
        </references>
      </pivotArea>
    </format>
    <format dxfId="854">
      <pivotArea dataOnly="0" labelOnly="1" grandRow="1" outline="0" fieldPosition="0"/>
    </format>
    <format dxfId="853">
      <pivotArea type="all" dataOnly="0" outline="0" fieldPosition="0"/>
    </format>
    <format dxfId="852">
      <pivotArea outline="0" collapsedLevelsAreSubtotals="1" fieldPosition="0"/>
    </format>
    <format dxfId="851">
      <pivotArea type="origin" dataOnly="0" labelOnly="1" outline="0" fieldPosition="0"/>
    </format>
    <format dxfId="850">
      <pivotArea field="-2" type="button" dataOnly="0" labelOnly="1" outline="0" axis="axisCol" fieldPosition="0"/>
    </format>
    <format dxfId="849">
      <pivotArea type="topRight" dataOnly="0" labelOnly="1" outline="0" fieldPosition="0"/>
    </format>
    <format dxfId="848">
      <pivotArea field="4" type="button" dataOnly="0" labelOnly="1" outline="0" axis="axisRow" fieldPosition="0"/>
    </format>
    <format dxfId="847">
      <pivotArea field="0" type="button" dataOnly="0" labelOnly="1" outline="0" axis="axisRow" fieldPosition="1"/>
    </format>
    <format dxfId="846">
      <pivotArea dataOnly="0" labelOnly="1" outline="0" fieldPosition="0">
        <references count="1">
          <reference field="4" count="0"/>
        </references>
      </pivotArea>
    </format>
    <format dxfId="845">
      <pivotArea dataOnly="0" labelOnly="1" grandRow="1" outline="0" fieldPosition="0"/>
    </format>
    <format dxfId="844">
      <pivotArea dataOnly="0" labelOnly="1" outline="0" fieldPosition="0">
        <references count="2">
          <reference field="0" count="0"/>
          <reference field="4" count="1" selected="0">
            <x v="0"/>
          </reference>
        </references>
      </pivotArea>
    </format>
    <format dxfId="843">
      <pivotArea dataOnly="0" labelOnly="1" outline="0" fieldPosition="0">
        <references count="2">
          <reference field="0" count="0"/>
          <reference field="4" count="1" selected="0">
            <x v="1"/>
          </reference>
        </references>
      </pivotArea>
    </format>
    <format dxfId="842">
      <pivotArea dataOnly="0" labelOnly="1" outline="0" fieldPosition="0">
        <references count="2">
          <reference field="0" count="0"/>
          <reference field="4" count="1" selected="0">
            <x v="2"/>
          </reference>
        </references>
      </pivotArea>
    </format>
    <format dxfId="841">
      <pivotArea dataOnly="0" labelOnly="1" outline="0" fieldPosition="0">
        <references count="2">
          <reference field="0" count="0"/>
          <reference field="4" count="1" selected="0">
            <x v="3"/>
          </reference>
        </references>
      </pivotArea>
    </format>
    <format dxfId="840">
      <pivotArea dataOnly="0" labelOnly="1" outline="0" fieldPosition="0">
        <references count="1">
          <reference field="4294967294" count="5">
            <x v="0"/>
            <x v="1"/>
            <x v="2"/>
            <x v="3"/>
            <x v="4"/>
          </reference>
        </references>
      </pivotArea>
    </format>
    <format dxfId="839">
      <pivotArea type="all" dataOnly="0" outline="0" fieldPosition="0"/>
    </format>
    <format dxfId="838">
      <pivotArea outline="0" collapsedLevelsAreSubtotals="1" fieldPosition="0"/>
    </format>
    <format dxfId="837">
      <pivotArea type="origin" dataOnly="0" labelOnly="1" outline="0" fieldPosition="0"/>
    </format>
    <format dxfId="836">
      <pivotArea field="-2" type="button" dataOnly="0" labelOnly="1" outline="0" axis="axisCol" fieldPosition="0"/>
    </format>
    <format dxfId="835">
      <pivotArea type="topRight" dataOnly="0" labelOnly="1" outline="0" fieldPosition="0"/>
    </format>
    <format dxfId="834">
      <pivotArea field="4" type="button" dataOnly="0" labelOnly="1" outline="0" axis="axisRow" fieldPosition="0"/>
    </format>
    <format dxfId="833">
      <pivotArea field="0" type="button" dataOnly="0" labelOnly="1" outline="0" axis="axisRow" fieldPosition="1"/>
    </format>
    <format dxfId="832">
      <pivotArea dataOnly="0" labelOnly="1" outline="0" fieldPosition="0">
        <references count="1">
          <reference field="4" count="0"/>
        </references>
      </pivotArea>
    </format>
    <format dxfId="831">
      <pivotArea dataOnly="0" labelOnly="1" grandRow="1" outline="0" fieldPosition="0"/>
    </format>
    <format dxfId="830">
      <pivotArea dataOnly="0" labelOnly="1" outline="0" fieldPosition="0">
        <references count="2">
          <reference field="0" count="0"/>
          <reference field="4" count="1" selected="0">
            <x v="0"/>
          </reference>
        </references>
      </pivotArea>
    </format>
    <format dxfId="829">
      <pivotArea dataOnly="0" labelOnly="1" outline="0" fieldPosition="0">
        <references count="2">
          <reference field="0" count="0"/>
          <reference field="4" count="1" selected="0">
            <x v="1"/>
          </reference>
        </references>
      </pivotArea>
    </format>
    <format dxfId="828">
      <pivotArea dataOnly="0" labelOnly="1" outline="0" fieldPosition="0">
        <references count="2">
          <reference field="0" count="0"/>
          <reference field="4" count="1" selected="0">
            <x v="2"/>
          </reference>
        </references>
      </pivotArea>
    </format>
    <format dxfId="827">
      <pivotArea dataOnly="0" labelOnly="1" outline="0" fieldPosition="0">
        <references count="2">
          <reference field="0" count="0"/>
          <reference field="4" count="1" selected="0">
            <x v="3"/>
          </reference>
        </references>
      </pivotArea>
    </format>
    <format dxfId="826">
      <pivotArea dataOnly="0" labelOnly="1" outline="0" fieldPosition="0">
        <references count="1">
          <reference field="4294967294" count="5">
            <x v="0"/>
            <x v="1"/>
            <x v="2"/>
            <x v="3"/>
            <x v="4"/>
          </reference>
        </references>
      </pivotArea>
    </format>
    <format dxfId="825">
      <pivotArea type="all" dataOnly="0" outline="0" fieldPosition="0"/>
    </format>
    <format dxfId="824">
      <pivotArea outline="0" collapsedLevelsAreSubtotals="1" fieldPosition="0"/>
    </format>
    <format dxfId="823">
      <pivotArea type="origin" dataOnly="0" labelOnly="1" outline="0" fieldPosition="0"/>
    </format>
    <format dxfId="822">
      <pivotArea field="-2" type="button" dataOnly="0" labelOnly="1" outline="0" axis="axisCol" fieldPosition="0"/>
    </format>
    <format dxfId="821">
      <pivotArea type="topRight" dataOnly="0" labelOnly="1" outline="0" fieldPosition="0"/>
    </format>
    <format dxfId="820">
      <pivotArea field="4" type="button" dataOnly="0" labelOnly="1" outline="0" axis="axisRow" fieldPosition="0"/>
    </format>
    <format dxfId="819">
      <pivotArea field="0" type="button" dataOnly="0" labelOnly="1" outline="0" axis="axisRow" fieldPosition="1"/>
    </format>
    <format dxfId="818">
      <pivotArea dataOnly="0" labelOnly="1" outline="0" fieldPosition="0">
        <references count="1">
          <reference field="4" count="0"/>
        </references>
      </pivotArea>
    </format>
    <format dxfId="817">
      <pivotArea dataOnly="0" labelOnly="1" grandRow="1" outline="0" fieldPosition="0"/>
    </format>
    <format dxfId="816">
      <pivotArea dataOnly="0" labelOnly="1" outline="0" fieldPosition="0">
        <references count="2">
          <reference field="0" count="0"/>
          <reference field="4" count="1" selected="0">
            <x v="0"/>
          </reference>
        </references>
      </pivotArea>
    </format>
    <format dxfId="815">
      <pivotArea dataOnly="0" labelOnly="1" outline="0" fieldPosition="0">
        <references count="2">
          <reference field="0" count="0"/>
          <reference field="4" count="1" selected="0">
            <x v="1"/>
          </reference>
        </references>
      </pivotArea>
    </format>
    <format dxfId="814">
      <pivotArea dataOnly="0" labelOnly="1" outline="0" fieldPosition="0">
        <references count="2">
          <reference field="0" count="0"/>
          <reference field="4" count="1" selected="0">
            <x v="2"/>
          </reference>
        </references>
      </pivotArea>
    </format>
    <format dxfId="813">
      <pivotArea dataOnly="0" labelOnly="1" outline="0" fieldPosition="0">
        <references count="2">
          <reference field="0" count="0"/>
          <reference field="4" count="1" selected="0">
            <x v="3"/>
          </reference>
        </references>
      </pivotArea>
    </format>
    <format dxfId="812">
      <pivotArea dataOnly="0" labelOnly="1" outline="0" fieldPosition="0">
        <references count="1">
          <reference field="4294967294" count="5">
            <x v="0"/>
            <x v="1"/>
            <x v="2"/>
            <x v="3"/>
            <x v="4"/>
          </reference>
        </references>
      </pivotArea>
    </format>
    <format dxfId="811">
      <pivotArea type="all" dataOnly="0" outline="0" fieldPosition="0"/>
    </format>
    <format dxfId="810">
      <pivotArea outline="0" collapsedLevelsAreSubtotals="1" fieldPosition="0"/>
    </format>
    <format dxfId="809">
      <pivotArea type="origin" dataOnly="0" labelOnly="1" outline="0" fieldPosition="0"/>
    </format>
    <format dxfId="808">
      <pivotArea field="-2" type="button" dataOnly="0" labelOnly="1" outline="0" axis="axisCol" fieldPosition="0"/>
    </format>
    <format dxfId="807">
      <pivotArea type="topRight" dataOnly="0" labelOnly="1" outline="0" fieldPosition="0"/>
    </format>
    <format dxfId="806">
      <pivotArea field="4" type="button" dataOnly="0" labelOnly="1" outline="0" axis="axisRow" fieldPosition="0"/>
    </format>
    <format dxfId="805">
      <pivotArea field="0" type="button" dataOnly="0" labelOnly="1" outline="0" axis="axisRow" fieldPosition="1"/>
    </format>
    <format dxfId="804">
      <pivotArea dataOnly="0" labelOnly="1" outline="0" fieldPosition="0">
        <references count="1">
          <reference field="4" count="0"/>
        </references>
      </pivotArea>
    </format>
    <format dxfId="803">
      <pivotArea dataOnly="0" labelOnly="1" grandRow="1" outline="0" fieldPosition="0"/>
    </format>
    <format dxfId="802">
      <pivotArea dataOnly="0" labelOnly="1" outline="0" fieldPosition="0">
        <references count="2">
          <reference field="0" count="0"/>
          <reference field="4" count="1" selected="0">
            <x v="0"/>
          </reference>
        </references>
      </pivotArea>
    </format>
    <format dxfId="801">
      <pivotArea dataOnly="0" labelOnly="1" outline="0" fieldPosition="0">
        <references count="2">
          <reference field="0" count="0"/>
          <reference field="4" count="1" selected="0">
            <x v="1"/>
          </reference>
        </references>
      </pivotArea>
    </format>
    <format dxfId="800">
      <pivotArea dataOnly="0" labelOnly="1" outline="0" fieldPosition="0">
        <references count="2">
          <reference field="0" count="0"/>
          <reference field="4" count="1" selected="0">
            <x v="2"/>
          </reference>
        </references>
      </pivotArea>
    </format>
    <format dxfId="799">
      <pivotArea dataOnly="0" labelOnly="1" outline="0" fieldPosition="0">
        <references count="2">
          <reference field="0" count="0"/>
          <reference field="4" count="1" selected="0">
            <x v="3"/>
          </reference>
        </references>
      </pivotArea>
    </format>
    <format dxfId="798">
      <pivotArea dataOnly="0" labelOnly="1" outline="0" fieldPosition="0">
        <references count="1">
          <reference field="4294967294" count="5">
            <x v="0"/>
            <x v="1"/>
            <x v="2"/>
            <x v="3"/>
            <x v="4"/>
          </reference>
        </references>
      </pivotArea>
    </format>
    <format dxfId="797">
      <pivotArea type="all" dataOnly="0" outline="0" fieldPosition="0"/>
    </format>
    <format dxfId="796">
      <pivotArea outline="0" collapsedLevelsAreSubtotals="1" fieldPosition="0"/>
    </format>
    <format dxfId="795">
      <pivotArea type="origin" dataOnly="0" labelOnly="1" outline="0" fieldPosition="0"/>
    </format>
    <format dxfId="794">
      <pivotArea field="-2" type="button" dataOnly="0" labelOnly="1" outline="0" axis="axisCol" fieldPosition="0"/>
    </format>
    <format dxfId="793">
      <pivotArea type="topRight" dataOnly="0" labelOnly="1" outline="0" fieldPosition="0"/>
    </format>
    <format dxfId="792">
      <pivotArea field="4" type="button" dataOnly="0" labelOnly="1" outline="0" axis="axisRow" fieldPosition="0"/>
    </format>
    <format dxfId="791">
      <pivotArea field="0" type="button" dataOnly="0" labelOnly="1" outline="0" axis="axisRow" fieldPosition="1"/>
    </format>
    <format dxfId="790">
      <pivotArea dataOnly="0" labelOnly="1" outline="0" fieldPosition="0">
        <references count="1">
          <reference field="4" count="0"/>
        </references>
      </pivotArea>
    </format>
    <format dxfId="789">
      <pivotArea dataOnly="0" labelOnly="1" grandRow="1" outline="0" fieldPosition="0"/>
    </format>
    <format dxfId="788">
      <pivotArea dataOnly="0" labelOnly="1" outline="0" fieldPosition="0">
        <references count="2">
          <reference field="0" count="0"/>
          <reference field="4" count="1" selected="0">
            <x v="0"/>
          </reference>
        </references>
      </pivotArea>
    </format>
    <format dxfId="787">
      <pivotArea dataOnly="0" labelOnly="1" outline="0" fieldPosition="0">
        <references count="2">
          <reference field="0" count="0"/>
          <reference field="4" count="1" selected="0">
            <x v="1"/>
          </reference>
        </references>
      </pivotArea>
    </format>
    <format dxfId="786">
      <pivotArea dataOnly="0" labelOnly="1" outline="0" fieldPosition="0">
        <references count="2">
          <reference field="0" count="0"/>
          <reference field="4" count="1" selected="0">
            <x v="2"/>
          </reference>
        </references>
      </pivotArea>
    </format>
    <format dxfId="785">
      <pivotArea dataOnly="0" labelOnly="1" outline="0" fieldPosition="0">
        <references count="2">
          <reference field="0" count="0"/>
          <reference field="4" count="1" selected="0">
            <x v="3"/>
          </reference>
        </references>
      </pivotArea>
    </format>
    <format dxfId="784">
      <pivotArea dataOnly="0" labelOnly="1" outline="0" fieldPosition="0">
        <references count="1">
          <reference field="4294967294" count="5">
            <x v="0"/>
            <x v="1"/>
            <x v="2"/>
            <x v="3"/>
            <x v="4"/>
          </reference>
        </references>
      </pivotArea>
    </format>
    <format dxfId="783">
      <pivotArea type="all" dataOnly="0" outline="0" fieldPosition="0"/>
    </format>
    <format dxfId="782">
      <pivotArea outline="0" collapsedLevelsAreSubtotals="1" fieldPosition="0"/>
    </format>
    <format dxfId="781">
      <pivotArea type="origin" dataOnly="0" labelOnly="1" outline="0" fieldPosition="0"/>
    </format>
    <format dxfId="780">
      <pivotArea field="-2" type="button" dataOnly="0" labelOnly="1" outline="0" axis="axisCol" fieldPosition="0"/>
    </format>
    <format dxfId="779">
      <pivotArea type="topRight" dataOnly="0" labelOnly="1" outline="0" fieldPosition="0"/>
    </format>
    <format dxfId="778">
      <pivotArea field="4" type="button" dataOnly="0" labelOnly="1" outline="0" axis="axisRow" fieldPosition="0"/>
    </format>
    <format dxfId="777">
      <pivotArea field="0" type="button" dataOnly="0" labelOnly="1" outline="0" axis="axisRow" fieldPosition="1"/>
    </format>
    <format dxfId="776">
      <pivotArea dataOnly="0" labelOnly="1" outline="0" fieldPosition="0">
        <references count="1">
          <reference field="4" count="0"/>
        </references>
      </pivotArea>
    </format>
    <format dxfId="775">
      <pivotArea dataOnly="0" labelOnly="1" grandRow="1" outline="0" fieldPosition="0"/>
    </format>
    <format dxfId="774">
      <pivotArea dataOnly="0" labelOnly="1" outline="0" fieldPosition="0">
        <references count="2">
          <reference field="0" count="0"/>
          <reference field="4" count="1" selected="0">
            <x v="0"/>
          </reference>
        </references>
      </pivotArea>
    </format>
    <format dxfId="773">
      <pivotArea dataOnly="0" labelOnly="1" outline="0" fieldPosition="0">
        <references count="2">
          <reference field="0" count="0"/>
          <reference field="4" count="1" selected="0">
            <x v="1"/>
          </reference>
        </references>
      </pivotArea>
    </format>
    <format dxfId="772">
      <pivotArea dataOnly="0" labelOnly="1" outline="0" fieldPosition="0">
        <references count="2">
          <reference field="0" count="0"/>
          <reference field="4" count="1" selected="0">
            <x v="2"/>
          </reference>
        </references>
      </pivotArea>
    </format>
    <format dxfId="771">
      <pivotArea dataOnly="0" labelOnly="1" outline="0" fieldPosition="0">
        <references count="2">
          <reference field="0" count="0"/>
          <reference field="4" count="1" selected="0">
            <x v="3"/>
          </reference>
        </references>
      </pivotArea>
    </format>
    <format dxfId="770">
      <pivotArea dataOnly="0" labelOnly="1" outline="0" fieldPosition="0">
        <references count="1">
          <reference field="4294967294" count="5">
            <x v="0"/>
            <x v="1"/>
            <x v="2"/>
            <x v="3"/>
            <x v="4"/>
          </reference>
        </references>
      </pivotArea>
    </format>
    <format dxfId="769">
      <pivotArea type="all" dataOnly="0" outline="0" fieldPosition="0"/>
    </format>
    <format dxfId="768">
      <pivotArea outline="0" collapsedLevelsAreSubtotals="1" fieldPosition="0"/>
    </format>
    <format dxfId="767">
      <pivotArea type="origin" dataOnly="0" labelOnly="1" outline="0" fieldPosition="0"/>
    </format>
    <format dxfId="766">
      <pivotArea field="-2" type="button" dataOnly="0" labelOnly="1" outline="0" axis="axisCol" fieldPosition="0"/>
    </format>
    <format dxfId="765">
      <pivotArea type="topRight" dataOnly="0" labelOnly="1" outline="0" fieldPosition="0"/>
    </format>
    <format dxfId="764">
      <pivotArea field="4" type="button" dataOnly="0" labelOnly="1" outline="0" axis="axisRow" fieldPosition="0"/>
    </format>
    <format dxfId="763">
      <pivotArea field="0" type="button" dataOnly="0" labelOnly="1" outline="0" axis="axisRow" fieldPosition="1"/>
    </format>
    <format dxfId="762">
      <pivotArea dataOnly="0" labelOnly="1" outline="0" fieldPosition="0">
        <references count="1">
          <reference field="4" count="0"/>
        </references>
      </pivotArea>
    </format>
    <format dxfId="761">
      <pivotArea dataOnly="0" labelOnly="1" grandRow="1" outline="0" fieldPosition="0"/>
    </format>
    <format dxfId="760">
      <pivotArea dataOnly="0" labelOnly="1" outline="0" fieldPosition="0">
        <references count="2">
          <reference field="0" count="0"/>
          <reference field="4" count="1" selected="0">
            <x v="0"/>
          </reference>
        </references>
      </pivotArea>
    </format>
    <format dxfId="759">
      <pivotArea dataOnly="0" labelOnly="1" outline="0" fieldPosition="0">
        <references count="2">
          <reference field="0" count="0"/>
          <reference field="4" count="1" selected="0">
            <x v="1"/>
          </reference>
        </references>
      </pivotArea>
    </format>
    <format dxfId="758">
      <pivotArea dataOnly="0" labelOnly="1" outline="0" fieldPosition="0">
        <references count="2">
          <reference field="0" count="0"/>
          <reference field="4" count="1" selected="0">
            <x v="2"/>
          </reference>
        </references>
      </pivotArea>
    </format>
    <format dxfId="757">
      <pivotArea dataOnly="0" labelOnly="1" outline="0" fieldPosition="0">
        <references count="2">
          <reference field="0" count="0"/>
          <reference field="4" count="1" selected="0">
            <x v="3"/>
          </reference>
        </references>
      </pivotArea>
    </format>
    <format dxfId="756">
      <pivotArea dataOnly="0" labelOnly="1" outline="0" fieldPosition="0">
        <references count="1">
          <reference field="4294967294" count="5">
            <x v="0"/>
            <x v="1"/>
            <x v="2"/>
            <x v="3"/>
            <x v="4"/>
          </reference>
        </references>
      </pivotArea>
    </format>
    <format dxfId="755">
      <pivotArea type="all" dataOnly="0" outline="0" fieldPosition="0"/>
    </format>
    <format dxfId="754">
      <pivotArea outline="0" collapsedLevelsAreSubtotals="1" fieldPosition="0"/>
    </format>
    <format dxfId="753">
      <pivotArea type="origin" dataOnly="0" labelOnly="1" outline="0" fieldPosition="0"/>
    </format>
    <format dxfId="752">
      <pivotArea field="-2" type="button" dataOnly="0" labelOnly="1" outline="0" axis="axisCol" fieldPosition="0"/>
    </format>
    <format dxfId="751">
      <pivotArea type="topRight" dataOnly="0" labelOnly="1" outline="0" fieldPosition="0"/>
    </format>
    <format dxfId="750">
      <pivotArea field="4" type="button" dataOnly="0" labelOnly="1" outline="0" axis="axisRow" fieldPosition="0"/>
    </format>
    <format dxfId="749">
      <pivotArea field="0" type="button" dataOnly="0" labelOnly="1" outline="0" axis="axisRow" fieldPosition="1"/>
    </format>
    <format dxfId="748">
      <pivotArea dataOnly="0" labelOnly="1" outline="0" fieldPosition="0">
        <references count="1">
          <reference field="4" count="0"/>
        </references>
      </pivotArea>
    </format>
    <format dxfId="747">
      <pivotArea dataOnly="0" labelOnly="1" grandRow="1" outline="0" fieldPosition="0"/>
    </format>
    <format dxfId="746">
      <pivotArea dataOnly="0" labelOnly="1" outline="0" fieldPosition="0">
        <references count="2">
          <reference field="0" count="0"/>
          <reference field="4" count="1" selected="0">
            <x v="0"/>
          </reference>
        </references>
      </pivotArea>
    </format>
    <format dxfId="745">
      <pivotArea dataOnly="0" labelOnly="1" outline="0" fieldPosition="0">
        <references count="2">
          <reference field="0" count="0"/>
          <reference field="4" count="1" selected="0">
            <x v="1"/>
          </reference>
        </references>
      </pivotArea>
    </format>
    <format dxfId="744">
      <pivotArea dataOnly="0" labelOnly="1" outline="0" fieldPosition="0">
        <references count="2">
          <reference field="0" count="0"/>
          <reference field="4" count="1" selected="0">
            <x v="2"/>
          </reference>
        </references>
      </pivotArea>
    </format>
    <format dxfId="743">
      <pivotArea dataOnly="0" labelOnly="1" outline="0" fieldPosition="0">
        <references count="2">
          <reference field="0" count="0"/>
          <reference field="4" count="1" selected="0">
            <x v="3"/>
          </reference>
        </references>
      </pivotArea>
    </format>
    <format dxfId="742">
      <pivotArea dataOnly="0" labelOnly="1" outline="0" fieldPosition="0">
        <references count="1">
          <reference field="4294967294" count="5">
            <x v="0"/>
            <x v="1"/>
            <x v="2"/>
            <x v="3"/>
            <x v="4"/>
          </reference>
        </references>
      </pivotArea>
    </format>
  </formats>
  <chartFormats count="12">
    <chartFormat chart="1" format="0" series="1">
      <pivotArea type="data" outline="0" fieldPosition="0">
        <references count="1">
          <reference field="4294967294" count="1" selected="0">
            <x v="3"/>
          </reference>
        </references>
      </pivotArea>
    </chartFormat>
    <chartFormat chart="1" format="2" series="1">
      <pivotArea type="data" outline="0" fieldPosition="0">
        <references count="1">
          <reference field="4294967294" count="1" selected="0">
            <x v="0"/>
          </reference>
        </references>
      </pivotArea>
    </chartFormat>
    <chartFormat chart="1" format="3" series="1">
      <pivotArea type="data" outline="0" fieldPosition="0">
        <references count="1">
          <reference field="4294967294" count="1" selected="0">
            <x v="1"/>
          </reference>
        </references>
      </pivotArea>
    </chartFormat>
    <chartFormat chart="9" format="1" series="1">
      <pivotArea type="data" outline="0" fieldPosition="0">
        <references count="1">
          <reference field="4294967294" count="1" selected="0">
            <x v="0"/>
          </reference>
        </references>
      </pivotArea>
    </chartFormat>
    <chartFormat chart="9" format="2" series="1">
      <pivotArea type="data" outline="0" fieldPosition="0">
        <references count="1">
          <reference field="4294967294" count="1" selected="0">
            <x v="1"/>
          </reference>
        </references>
      </pivotArea>
    </chartFormat>
    <chartFormat chart="9" format="3" series="1">
      <pivotArea type="data" outline="0" fieldPosition="0">
        <references count="1">
          <reference field="4294967294" count="1" selected="0">
            <x v="3"/>
          </reference>
        </references>
      </pivotArea>
    </chartFormat>
    <chartFormat chart="10" format="5" series="1">
      <pivotArea type="data" outline="0" fieldPosition="0">
        <references count="1">
          <reference field="4294967294" count="1" selected="0">
            <x v="0"/>
          </reference>
        </references>
      </pivotArea>
    </chartFormat>
    <chartFormat chart="10" format="6" series="1">
      <pivotArea type="data" outline="0" fieldPosition="0">
        <references count="1">
          <reference field="4294967294" count="1" selected="0">
            <x v="1"/>
          </reference>
        </references>
      </pivotArea>
    </chartFormat>
    <chartFormat chart="10" format="7" series="1">
      <pivotArea type="data" outline="0" fieldPosition="0">
        <references count="1">
          <reference field="4294967294" count="1" selected="0">
            <x v="3"/>
          </reference>
        </references>
      </pivotArea>
    </chartFormat>
    <chartFormat chart="11" format="9" series="1">
      <pivotArea type="data" outline="0" fieldPosition="0">
        <references count="1">
          <reference field="4294967294" count="1" selected="0">
            <x v="0"/>
          </reference>
        </references>
      </pivotArea>
    </chartFormat>
    <chartFormat chart="11" format="10" series="1">
      <pivotArea type="data" outline="0" fieldPosition="0">
        <references count="1">
          <reference field="4294967294" count="1" selected="0">
            <x v="1"/>
          </reference>
        </references>
      </pivotArea>
    </chartFormat>
    <chartFormat chart="11" format="11" series="1">
      <pivotArea type="data" outline="0" fieldPosition="0">
        <references count="1">
          <reference field="4294967294" count="1" selected="0">
            <x v="3"/>
          </reference>
        </references>
      </pivotArea>
    </chartFormat>
  </chartFormats>
  <pivotHierarchies count="53">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Total Sales"/>
    <pivotHierarchy dragToData="1"/>
    <pivotHierarchy dragToData="1" caption="Profit"/>
    <pivotHierarchy dragToData="1"/>
    <pivotHierarchy dragToData="1" caption="Discount"/>
    <pivotHierarchy dragToData="1" caption="Shipping Cost"/>
    <pivotHierarchy dragToData="1"/>
    <pivotHierarchy dragToData="1" caption="Cumulative cost"/>
    <pivotHierarchy dragToData="1"/>
    <pivotHierarchy dragToData="1"/>
    <pivotHierarchy dragToData="1"/>
    <pivotHierarchy dragToData="1"/>
    <pivotHierarchy dragToData="1"/>
    <pivotHierarchy dragToData="1"/>
    <pivotHierarchy dragToData="1"/>
  </pivotHierarchies>
  <pivotTableStyleInfo showRowHeaders="1" showColHeaders="1" showRowStripes="0" showColStripes="0" showLastColumn="1"/>
  <rowHierarchiesUsage count="2">
    <rowHierarchyUsage hierarchyUsage="14"/>
    <rowHierarchyUsage hierarchyUsage="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fillDownLabelsDefault="1" calculatedMembersInFilters="1" hideValuesRow="1"/>
    </ext>
    <ext xmlns:x15="http://schemas.microsoft.com/office/spreadsheetml/2010/11/main" uri="{E67621CE-5B39-4880-91FE-76760E9C1902}">
      <x15:pivotTableUISettings>
        <x15:activeTabTopLevelEntity name="[Table_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C0B04B34-207F-4295-AAE2-BDAEDD14EB76}" name="Distribution_TopSellingCities" cacheId="11" applyNumberFormats="0" applyBorderFormats="0" applyFontFormats="0" applyPatternFormats="0" applyAlignmentFormats="0" applyWidthHeightFormats="1" dataCaption="Values" updatedVersion="8" minRefreshableVersion="3" useAutoFormatting="1" subtotalHiddenItems="1" rowGrandTotals="0" itemPrintTitles="1" createdVersion="8" indent="0" outline="1" outlineData="1" multipleFieldFilters="0" rowHeaderCaption="City Name">
  <location ref="CJ29:CL32" firstHeaderRow="0" firstDataRow="1" firstDataCol="1"/>
  <pivotFields count="4">
    <pivotField axis="axisRow" allDrilled="1" subtotalTop="0" showAll="0" measureFilter="1" dataSourceSort="1" defaultSubtotal="0" defaultAttributeDrillState="1">
      <items count="3">
        <item x="0"/>
        <item x="1"/>
        <item x="2"/>
      </items>
    </pivotField>
    <pivotField dataField="1" subtotalTop="0" showAll="0" defaultSubtotal="0"/>
    <pivotField dataField="1" subtotalTop="0" showAll="0" defaultSubtotal="0"/>
    <pivotField allDrilled="1" subtotalTop="0" showAll="0" dataSourceSort="1" defaultSubtotal="0" defaultAttributeDrillState="1"/>
  </pivotFields>
  <rowFields count="1">
    <field x="0"/>
  </rowFields>
  <rowItems count="3">
    <i>
      <x/>
    </i>
    <i>
      <x v="1"/>
    </i>
    <i>
      <x v="2"/>
    </i>
  </rowItems>
  <colFields count="1">
    <field x="-2"/>
  </colFields>
  <colItems count="2">
    <i>
      <x/>
    </i>
    <i i="1">
      <x v="1"/>
    </i>
  </colItems>
  <dataFields count="2">
    <dataField name="Sales" fld="1" baseField="0" baseItem="0" numFmtId="168"/>
    <dataField name="Quantity" fld="2" baseField="0" baseItem="0"/>
  </dataFields>
  <formats count="12">
    <format dxfId="905">
      <pivotArea outline="0" collapsedLevelsAreSubtotals="1" fieldPosition="0">
        <references count="1">
          <reference field="4294967294" count="1" selected="0">
            <x v="0"/>
          </reference>
        </references>
      </pivotArea>
    </format>
    <format dxfId="904">
      <pivotArea dataOnly="0" labelOnly="1" outline="0" fieldPosition="0">
        <references count="1">
          <reference field="4294967294" count="1">
            <x v="0"/>
          </reference>
        </references>
      </pivotArea>
    </format>
    <format dxfId="903">
      <pivotArea type="all" dataOnly="0" outline="0" fieldPosition="0"/>
    </format>
    <format dxfId="902">
      <pivotArea outline="0" collapsedLevelsAreSubtotals="1" fieldPosition="0"/>
    </format>
    <format dxfId="901">
      <pivotArea field="0" type="button" dataOnly="0" labelOnly="1" outline="0" axis="axisRow" fieldPosition="0"/>
    </format>
    <format dxfId="900">
      <pivotArea dataOnly="0" labelOnly="1" fieldPosition="0">
        <references count="1">
          <reference field="0" count="0"/>
        </references>
      </pivotArea>
    </format>
    <format dxfId="899">
      <pivotArea dataOnly="0" labelOnly="1" outline="0" fieldPosition="0">
        <references count="1">
          <reference field="4294967294" count="2">
            <x v="0"/>
            <x v="1"/>
          </reference>
        </references>
      </pivotArea>
    </format>
    <format dxfId="898">
      <pivotArea type="all" dataOnly="0" outline="0" fieldPosition="0"/>
    </format>
    <format dxfId="897">
      <pivotArea outline="0" collapsedLevelsAreSubtotals="1" fieldPosition="0"/>
    </format>
    <format dxfId="896">
      <pivotArea field="0" type="button" dataOnly="0" labelOnly="1" outline="0" axis="axisRow" fieldPosition="0"/>
    </format>
    <format dxfId="895">
      <pivotArea dataOnly="0" labelOnly="1" fieldPosition="0">
        <references count="1">
          <reference field="0" count="0"/>
        </references>
      </pivotArea>
    </format>
    <format dxfId="894">
      <pivotArea dataOnly="0" labelOnly="1" outline="0" fieldPosition="0">
        <references count="1">
          <reference field="4294967294" count="2">
            <x v="0"/>
            <x v="1"/>
          </reference>
        </references>
      </pivotArea>
    </format>
  </formats>
  <pivotHierarchies count="54">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Sales"/>
    <pivotHierarchy dragToData="1" caption="Quantit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1">
    <filter fld="0" type="count" id="1" iMeasureHier="38">
      <autoFilter ref="A1">
        <filterColumn colId="0">
          <top10 val="3" filterVal="3"/>
        </filterColumn>
      </autoFilter>
    </filter>
  </filters>
  <rowHierarchiesUsage count="1">
    <rowHierarchyUsage hierarchyUsage="16"/>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able_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7.xml><?xml version="1.0" encoding="utf-8"?>
<pivotTableDefinition xmlns="http://schemas.openxmlformats.org/spreadsheetml/2006/main" xmlns:mc="http://schemas.openxmlformats.org/markup-compatibility/2006" xmlns:xr="http://schemas.microsoft.com/office/spreadsheetml/2014/revision" mc:Ignorable="xr" xr:uid="{EFCBC6E0-7525-4F63-A10E-6DE45643108C}" name="Trends_Matrix" cacheId="3" applyNumberFormats="0" applyBorderFormats="0" applyFontFormats="0" applyPatternFormats="0" applyAlignmentFormats="0" applyWidthHeightFormats="1" dataCaption="Values" tag="ec139f71-885b-466c-bd3d-d23636a86eae" updatedVersion="8" minRefreshableVersion="3" subtotalHiddenItems="1" rowGrandTotals="0" itemPrintTitles="1" createdVersion="8" indent="0" outline="1" outlineData="1" multipleFieldFilters="0">
  <location ref="AU26:AX43" firstHeaderRow="0" firstDataRow="1" firstDataCol="1"/>
  <pivotFields count="5">
    <pivotField axis="axisRow" allDrilled="1" subtotalTop="0" showAll="0" dataSourceSort="1" defaultSubtotal="0" defaultAttributeDrillState="1">
      <items count="17">
        <item x="0"/>
        <item x="1"/>
        <item x="2"/>
        <item x="3"/>
        <item x="4"/>
        <item x="5"/>
        <item x="6"/>
        <item x="7"/>
        <item x="8"/>
        <item x="9"/>
        <item x="10"/>
        <item x="11"/>
        <item x="12"/>
        <item x="13"/>
        <item x="14"/>
        <item x="15"/>
        <item x="16"/>
      </items>
    </pivotField>
    <pivotField dataField="1" subtotalTop="0" showAll="0" defaultSubtotal="0"/>
    <pivotField dataField="1" subtotalTop="0" showAll="0" defaultSubtotal="0"/>
    <pivotField dataField="1" subtotalTop="0" showAll="0" defaultSubtotal="0"/>
    <pivotField allDrilled="1" subtotalTop="0" showAll="0" dataSourceSort="1" defaultSubtotal="0" defaultAttributeDrillState="1"/>
  </pivotFields>
  <rowFields count="1">
    <field x="0"/>
  </rowFields>
  <rowItems count="17">
    <i>
      <x/>
    </i>
    <i>
      <x v="1"/>
    </i>
    <i>
      <x v="2"/>
    </i>
    <i>
      <x v="3"/>
    </i>
    <i>
      <x v="4"/>
    </i>
    <i>
      <x v="5"/>
    </i>
    <i>
      <x v="6"/>
    </i>
    <i>
      <x v="7"/>
    </i>
    <i>
      <x v="8"/>
    </i>
    <i>
      <x v="9"/>
    </i>
    <i>
      <x v="10"/>
    </i>
    <i>
      <x v="11"/>
    </i>
    <i>
      <x v="12"/>
    </i>
    <i>
      <x v="13"/>
    </i>
    <i>
      <x v="14"/>
    </i>
    <i>
      <x v="15"/>
    </i>
    <i>
      <x v="16"/>
    </i>
  </rowItems>
  <colFields count="1">
    <field x="-2"/>
  </colFields>
  <colItems count="3">
    <i>
      <x/>
    </i>
    <i i="1">
      <x v="1"/>
    </i>
    <i i="2">
      <x v="2"/>
    </i>
  </colItems>
  <dataFields count="3">
    <dataField name="Sales" fld="1" baseField="0" baseItem="0"/>
    <dataField name="Profit" fld="2" baseField="0" baseItem="0"/>
    <dataField name="Sold Quantity" fld="3" baseField="0" baseItem="0"/>
  </dataFields>
  <formats count="44">
    <format dxfId="949">
      <pivotArea type="all" dataOnly="0" outline="0" fieldPosition="0"/>
    </format>
    <format dxfId="948">
      <pivotArea outline="0" collapsedLevelsAreSubtotals="1" fieldPosition="0"/>
    </format>
    <format dxfId="947">
      <pivotArea field="0" type="button" dataOnly="0" labelOnly="1" outline="0" axis="axisRow" fieldPosition="0"/>
    </format>
    <format dxfId="946">
      <pivotArea dataOnly="0" labelOnly="1" fieldPosition="0">
        <references count="1">
          <reference field="0" count="0"/>
        </references>
      </pivotArea>
    </format>
    <format dxfId="945">
      <pivotArea dataOnly="0" labelOnly="1" grandRow="1" outline="0" fieldPosition="0"/>
    </format>
    <format dxfId="944">
      <pivotArea dataOnly="0" labelOnly="1" outline="0" fieldPosition="0">
        <references count="1">
          <reference field="4294967294" count="3">
            <x v="0"/>
            <x v="1"/>
            <x v="2"/>
          </reference>
        </references>
      </pivotArea>
    </format>
    <format dxfId="943">
      <pivotArea type="all" dataOnly="0" outline="0" fieldPosition="0"/>
    </format>
    <format dxfId="942">
      <pivotArea outline="0" collapsedLevelsAreSubtotals="1" fieldPosition="0"/>
    </format>
    <format dxfId="941">
      <pivotArea field="0" type="button" dataOnly="0" labelOnly="1" outline="0" axis="axisRow" fieldPosition="0"/>
    </format>
    <format dxfId="940">
      <pivotArea dataOnly="0" labelOnly="1" fieldPosition="0">
        <references count="1">
          <reference field="0" count="0"/>
        </references>
      </pivotArea>
    </format>
    <format dxfId="939">
      <pivotArea dataOnly="0" labelOnly="1" grandRow="1" outline="0" fieldPosition="0"/>
    </format>
    <format dxfId="938">
      <pivotArea dataOnly="0" labelOnly="1" outline="0" fieldPosition="0">
        <references count="1">
          <reference field="4294967294" count="3">
            <x v="0"/>
            <x v="1"/>
            <x v="2"/>
          </reference>
        </references>
      </pivotArea>
    </format>
    <format dxfId="937">
      <pivotArea outline="0" collapsedLevelsAreSubtotals="1" fieldPosition="0"/>
    </format>
    <format dxfId="936">
      <pivotArea dataOnly="0" labelOnly="1" outline="0" fieldPosition="0">
        <references count="1">
          <reference field="4294967294" count="3">
            <x v="0"/>
            <x v="1"/>
            <x v="2"/>
          </reference>
        </references>
      </pivotArea>
    </format>
    <format dxfId="935">
      <pivotArea type="all" dataOnly="0" outline="0" fieldPosition="0"/>
    </format>
    <format dxfId="934">
      <pivotArea outline="0" collapsedLevelsAreSubtotals="1" fieldPosition="0"/>
    </format>
    <format dxfId="933">
      <pivotArea field="0" type="button" dataOnly="0" labelOnly="1" outline="0" axis="axisRow" fieldPosition="0"/>
    </format>
    <format dxfId="932">
      <pivotArea dataOnly="0" labelOnly="1" fieldPosition="0">
        <references count="1">
          <reference field="0" count="0"/>
        </references>
      </pivotArea>
    </format>
    <format dxfId="931">
      <pivotArea dataOnly="0" labelOnly="1" outline="0" fieldPosition="0">
        <references count="1">
          <reference field="4294967294" count="3">
            <x v="0"/>
            <x v="1"/>
            <x v="2"/>
          </reference>
        </references>
      </pivotArea>
    </format>
    <format dxfId="930">
      <pivotArea type="all" dataOnly="0" outline="0" fieldPosition="0"/>
    </format>
    <format dxfId="929">
      <pivotArea outline="0" collapsedLevelsAreSubtotals="1" fieldPosition="0"/>
    </format>
    <format dxfId="928">
      <pivotArea field="0" type="button" dataOnly="0" labelOnly="1" outline="0" axis="axisRow" fieldPosition="0"/>
    </format>
    <format dxfId="927">
      <pivotArea dataOnly="0" labelOnly="1" fieldPosition="0">
        <references count="1">
          <reference field="0" count="0"/>
        </references>
      </pivotArea>
    </format>
    <format dxfId="926">
      <pivotArea dataOnly="0" labelOnly="1" outline="0" fieldPosition="0">
        <references count="1">
          <reference field="4294967294" count="3">
            <x v="0"/>
            <x v="1"/>
            <x v="2"/>
          </reference>
        </references>
      </pivotArea>
    </format>
    <format dxfId="925">
      <pivotArea type="all" dataOnly="0" outline="0" fieldPosition="0"/>
    </format>
    <format dxfId="924">
      <pivotArea outline="0" collapsedLevelsAreSubtotals="1" fieldPosition="0"/>
    </format>
    <format dxfId="923">
      <pivotArea field="0" type="button" dataOnly="0" labelOnly="1" outline="0" axis="axisRow" fieldPosition="0"/>
    </format>
    <format dxfId="922">
      <pivotArea dataOnly="0" labelOnly="1" fieldPosition="0">
        <references count="1">
          <reference field="0" count="0"/>
        </references>
      </pivotArea>
    </format>
    <format dxfId="921">
      <pivotArea dataOnly="0" labelOnly="1" outline="0" fieldPosition="0">
        <references count="1">
          <reference field="4294967294" count="3">
            <x v="0"/>
            <x v="1"/>
            <x v="2"/>
          </reference>
        </references>
      </pivotArea>
    </format>
    <format dxfId="920">
      <pivotArea type="all" dataOnly="0" outline="0" fieldPosition="0"/>
    </format>
    <format dxfId="919">
      <pivotArea outline="0" collapsedLevelsAreSubtotals="1" fieldPosition="0"/>
    </format>
    <format dxfId="918">
      <pivotArea field="0" type="button" dataOnly="0" labelOnly="1" outline="0" axis="axisRow" fieldPosition="0"/>
    </format>
    <format dxfId="917">
      <pivotArea dataOnly="0" labelOnly="1" fieldPosition="0">
        <references count="1">
          <reference field="0" count="0"/>
        </references>
      </pivotArea>
    </format>
    <format dxfId="916">
      <pivotArea dataOnly="0" labelOnly="1" outline="0" fieldPosition="0">
        <references count="1">
          <reference field="4294967294" count="3">
            <x v="0"/>
            <x v="1"/>
            <x v="2"/>
          </reference>
        </references>
      </pivotArea>
    </format>
    <format dxfId="915">
      <pivotArea type="all" dataOnly="0" outline="0" fieldPosition="0"/>
    </format>
    <format dxfId="914">
      <pivotArea outline="0" collapsedLevelsAreSubtotals="1" fieldPosition="0"/>
    </format>
    <format dxfId="913">
      <pivotArea field="0" type="button" dataOnly="0" labelOnly="1" outline="0" axis="axisRow" fieldPosition="0"/>
    </format>
    <format dxfId="912">
      <pivotArea dataOnly="0" labelOnly="1" fieldPosition="0">
        <references count="1">
          <reference field="0" count="0"/>
        </references>
      </pivotArea>
    </format>
    <format dxfId="911">
      <pivotArea dataOnly="0" labelOnly="1" outline="0" fieldPosition="0">
        <references count="1">
          <reference field="4294967294" count="3">
            <x v="0"/>
            <x v="1"/>
            <x v="2"/>
          </reference>
        </references>
      </pivotArea>
    </format>
    <format dxfId="910">
      <pivotArea type="all" dataOnly="0" outline="0" fieldPosition="0"/>
    </format>
    <format dxfId="909">
      <pivotArea outline="0" collapsedLevelsAreSubtotals="1" fieldPosition="0"/>
    </format>
    <format dxfId="908">
      <pivotArea field="0" type="button" dataOnly="0" labelOnly="1" outline="0" axis="axisRow" fieldPosition="0"/>
    </format>
    <format dxfId="907">
      <pivotArea dataOnly="0" labelOnly="1" fieldPosition="0">
        <references count="1">
          <reference field="0" count="0"/>
        </references>
      </pivotArea>
    </format>
    <format dxfId="906">
      <pivotArea dataOnly="0" labelOnly="1" outline="0" fieldPosition="0">
        <references count="1">
          <reference field="4294967294" count="3">
            <x v="0"/>
            <x v="1"/>
            <x v="2"/>
          </reference>
        </references>
      </pivotArea>
    </format>
  </formats>
  <pivotHierarchies count="53">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Sales"/>
    <pivotHierarchy dragToData="1" caption="Sold Quantity"/>
    <pivotHierarchy dragToData="1" caption="Profit"/>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showRowHeaders="1" showColHeaders="1" showRowStripes="0" showColStripes="0" showLastColumn="1"/>
  <rowHierarchiesUsage count="1">
    <rowHierarchyUsage hierarchyUsage="9"/>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able_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8.xml><?xml version="1.0" encoding="utf-8"?>
<pivotTableDefinition xmlns="http://schemas.openxmlformats.org/spreadsheetml/2006/main" xmlns:mc="http://schemas.openxmlformats.org/markup-compatibility/2006" xmlns:xr="http://schemas.microsoft.com/office/spreadsheetml/2014/revision" mc:Ignorable="xr" xr:uid="{2D80FE4D-2952-476E-88D3-1447A4C6C1F6}" name="Sales&amp;Profit_TrendChart" cacheId="15" applyNumberFormats="0" applyBorderFormats="0" applyFontFormats="0" applyPatternFormats="0" applyAlignmentFormats="0" applyWidthHeightFormats="1" dataCaption="Values" tag="1d4d7696-950e-4903-8328-d6013be8c5ae" updatedVersion="8" minRefreshableVersion="3" subtotalHiddenItems="1" itemPrintTitles="1" createdVersion="8" indent="0" outline="1" outlineData="1" multipleFieldFilters="0" chartFormat="22" rowHeaderCaption="Product Sub-Category">
  <location ref="B27:D34" firstHeaderRow="0" firstDataRow="1" firstDataCol="1"/>
  <pivotFields count="4">
    <pivotField dataField="1" subtotalTop="0" showAll="0" defaultSubtotal="0"/>
    <pivotField axis="axisRow" allDrilled="1" subtotalTop="0" showAll="0" dataSourceSort="1" defaultSubtotal="0" defaultAttributeDrillState="1">
      <items count="6">
        <item x="0"/>
        <item x="1"/>
        <item x="2"/>
        <item x="3"/>
        <item x="4"/>
        <item x="5"/>
      </items>
    </pivotField>
    <pivotField allDrilled="1" subtotalTop="0" showAll="0" dataSourceSort="1" defaultSubtotal="0" defaultAttributeDrillState="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1"/>
  </rowFields>
  <rowItems count="7">
    <i>
      <x/>
    </i>
    <i>
      <x v="1"/>
    </i>
    <i>
      <x v="2"/>
    </i>
    <i>
      <x v="3"/>
    </i>
    <i>
      <x v="4"/>
    </i>
    <i>
      <x v="5"/>
    </i>
    <i t="grand">
      <x/>
    </i>
  </rowItems>
  <colFields count="1">
    <field x="-2"/>
  </colFields>
  <colItems count="2">
    <i>
      <x/>
    </i>
    <i i="1">
      <x v="1"/>
    </i>
  </colItems>
  <dataFields count="2">
    <dataField name="Sales" fld="0" baseField="0" baseItem="0" numFmtId="165"/>
    <dataField name="Sum of Sales" fld="3" baseField="0" baseItem="0" numFmtId="165">
      <extLst>
        <ext xmlns:x14="http://schemas.microsoft.com/office/spreadsheetml/2009/9/main" uri="{E15A36E0-9728-4e99-A89B-3F7291B0FE68}">
          <x14:dataField sourceField="0" uniqueName="[__Xl2].[Measures].[Sum of Sales]"/>
        </ext>
      </extLst>
    </dataField>
  </dataFields>
  <formats count="50">
    <format dxfId="999">
      <pivotArea outline="0" collapsedLevelsAreSubtotals="1" fieldPosition="0">
        <references count="1">
          <reference field="4294967294" count="1" selected="0">
            <x v="0"/>
          </reference>
        </references>
      </pivotArea>
    </format>
    <format dxfId="998">
      <pivotArea outline="0" collapsedLevelsAreSubtotals="1" fieldPosition="0">
        <references count="1">
          <reference field="4294967294" count="1" selected="0">
            <x v="1"/>
          </reference>
        </references>
      </pivotArea>
    </format>
    <format dxfId="997">
      <pivotArea type="all" dataOnly="0" outline="0" fieldPosition="0"/>
    </format>
    <format dxfId="996">
      <pivotArea outline="0" collapsedLevelsAreSubtotals="1" fieldPosition="0"/>
    </format>
    <format dxfId="995">
      <pivotArea field="1" type="button" dataOnly="0" labelOnly="1" outline="0" axis="axisRow" fieldPosition="0"/>
    </format>
    <format dxfId="994">
      <pivotArea dataOnly="0" labelOnly="1" fieldPosition="0">
        <references count="1">
          <reference field="1" count="0"/>
        </references>
      </pivotArea>
    </format>
    <format dxfId="993">
      <pivotArea dataOnly="0" labelOnly="1" grandRow="1" outline="0" fieldPosition="0"/>
    </format>
    <format dxfId="992">
      <pivotArea dataOnly="0" labelOnly="1" outline="0" fieldPosition="0">
        <references count="1">
          <reference field="4294967294" count="2">
            <x v="0"/>
            <x v="1"/>
          </reference>
        </references>
      </pivotArea>
    </format>
    <format dxfId="991">
      <pivotArea type="all" dataOnly="0" outline="0" fieldPosition="0"/>
    </format>
    <format dxfId="990">
      <pivotArea outline="0" collapsedLevelsAreSubtotals="1" fieldPosition="0"/>
    </format>
    <format dxfId="989">
      <pivotArea field="1" type="button" dataOnly="0" labelOnly="1" outline="0" axis="axisRow" fieldPosition="0"/>
    </format>
    <format dxfId="988">
      <pivotArea dataOnly="0" labelOnly="1" fieldPosition="0">
        <references count="1">
          <reference field="1" count="0"/>
        </references>
      </pivotArea>
    </format>
    <format dxfId="987">
      <pivotArea dataOnly="0" labelOnly="1" grandRow="1" outline="0" fieldPosition="0"/>
    </format>
    <format dxfId="986">
      <pivotArea dataOnly="0" labelOnly="1" outline="0" fieldPosition="0">
        <references count="1">
          <reference field="4294967294" count="2">
            <x v="0"/>
            <x v="1"/>
          </reference>
        </references>
      </pivotArea>
    </format>
    <format dxfId="985">
      <pivotArea type="all" dataOnly="0" outline="0" fieldPosition="0"/>
    </format>
    <format dxfId="984">
      <pivotArea outline="0" collapsedLevelsAreSubtotals="1" fieldPosition="0"/>
    </format>
    <format dxfId="983">
      <pivotArea field="1" type="button" dataOnly="0" labelOnly="1" outline="0" axis="axisRow" fieldPosition="0"/>
    </format>
    <format dxfId="982">
      <pivotArea dataOnly="0" labelOnly="1" fieldPosition="0">
        <references count="1">
          <reference field="1" count="0"/>
        </references>
      </pivotArea>
    </format>
    <format dxfId="981">
      <pivotArea dataOnly="0" labelOnly="1" grandRow="1" outline="0" fieldPosition="0"/>
    </format>
    <format dxfId="980">
      <pivotArea dataOnly="0" labelOnly="1" outline="0" fieldPosition="0">
        <references count="1">
          <reference field="4294967294" count="2">
            <x v="0"/>
            <x v="1"/>
          </reference>
        </references>
      </pivotArea>
    </format>
    <format dxfId="979">
      <pivotArea type="all" dataOnly="0" outline="0" fieldPosition="0"/>
    </format>
    <format dxfId="978">
      <pivotArea outline="0" collapsedLevelsAreSubtotals="1" fieldPosition="0"/>
    </format>
    <format dxfId="977">
      <pivotArea field="1" type="button" dataOnly="0" labelOnly="1" outline="0" axis="axisRow" fieldPosition="0"/>
    </format>
    <format dxfId="976">
      <pivotArea dataOnly="0" labelOnly="1" fieldPosition="0">
        <references count="1">
          <reference field="1" count="1">
            <x v="1"/>
          </reference>
        </references>
      </pivotArea>
    </format>
    <format dxfId="975">
      <pivotArea dataOnly="0" labelOnly="1" grandRow="1" outline="0" fieldPosition="0"/>
    </format>
    <format dxfId="974">
      <pivotArea dataOnly="0" labelOnly="1" outline="0" fieldPosition="0">
        <references count="1">
          <reference field="4294967294" count="2">
            <x v="0"/>
            <x v="1"/>
          </reference>
        </references>
      </pivotArea>
    </format>
    <format dxfId="973">
      <pivotArea type="all" dataOnly="0" outline="0" fieldPosition="0"/>
    </format>
    <format dxfId="972">
      <pivotArea outline="0" collapsedLevelsAreSubtotals="1" fieldPosition="0"/>
    </format>
    <format dxfId="971">
      <pivotArea field="1" type="button" dataOnly="0" labelOnly="1" outline="0" axis="axisRow" fieldPosition="0"/>
    </format>
    <format dxfId="970">
      <pivotArea dataOnly="0" labelOnly="1" fieldPosition="0">
        <references count="1">
          <reference field="1" count="0"/>
        </references>
      </pivotArea>
    </format>
    <format dxfId="969">
      <pivotArea dataOnly="0" labelOnly="1" grandRow="1" outline="0" fieldPosition="0"/>
    </format>
    <format dxfId="968">
      <pivotArea dataOnly="0" labelOnly="1" outline="0" fieldPosition="0">
        <references count="1">
          <reference field="4294967294" count="2">
            <x v="0"/>
            <x v="1"/>
          </reference>
        </references>
      </pivotArea>
    </format>
    <format dxfId="967">
      <pivotArea type="all" dataOnly="0" outline="0" fieldPosition="0"/>
    </format>
    <format dxfId="966">
      <pivotArea outline="0" collapsedLevelsAreSubtotals="1" fieldPosition="0"/>
    </format>
    <format dxfId="965">
      <pivotArea field="1" type="button" dataOnly="0" labelOnly="1" outline="0" axis="axisRow" fieldPosition="0"/>
    </format>
    <format dxfId="964">
      <pivotArea dataOnly="0" labelOnly="1" fieldPosition="0">
        <references count="1">
          <reference field="1" count="0"/>
        </references>
      </pivotArea>
    </format>
    <format dxfId="963">
      <pivotArea dataOnly="0" labelOnly="1" grandRow="1" outline="0" fieldPosition="0"/>
    </format>
    <format dxfId="962">
      <pivotArea dataOnly="0" labelOnly="1" outline="0" fieldPosition="0">
        <references count="1">
          <reference field="4294967294" count="2">
            <x v="0"/>
            <x v="1"/>
          </reference>
        </references>
      </pivotArea>
    </format>
    <format dxfId="961">
      <pivotArea type="all" dataOnly="0" outline="0" fieldPosition="0"/>
    </format>
    <format dxfId="960">
      <pivotArea outline="0" collapsedLevelsAreSubtotals="1" fieldPosition="0"/>
    </format>
    <format dxfId="959">
      <pivotArea field="1" type="button" dataOnly="0" labelOnly="1" outline="0" axis="axisRow" fieldPosition="0"/>
    </format>
    <format dxfId="958">
      <pivotArea dataOnly="0" labelOnly="1" fieldPosition="0">
        <references count="1">
          <reference field="1" count="0"/>
        </references>
      </pivotArea>
    </format>
    <format dxfId="957">
      <pivotArea dataOnly="0" labelOnly="1" grandRow="1" outline="0" fieldPosition="0"/>
    </format>
    <format dxfId="956">
      <pivotArea dataOnly="0" labelOnly="1" outline="0" fieldPosition="0">
        <references count="1">
          <reference field="4294967294" count="2">
            <x v="0"/>
            <x v="1"/>
          </reference>
        </references>
      </pivotArea>
    </format>
    <format dxfId="955">
      <pivotArea type="all" dataOnly="0" outline="0" fieldPosition="0"/>
    </format>
    <format dxfId="954">
      <pivotArea outline="0" collapsedLevelsAreSubtotals="1" fieldPosition="0"/>
    </format>
    <format dxfId="953">
      <pivotArea field="1" type="button" dataOnly="0" labelOnly="1" outline="0" axis="axisRow" fieldPosition="0"/>
    </format>
    <format dxfId="952">
      <pivotArea dataOnly="0" labelOnly="1" fieldPosition="0">
        <references count="1">
          <reference field="1" count="0"/>
        </references>
      </pivotArea>
    </format>
    <format dxfId="951">
      <pivotArea dataOnly="0" labelOnly="1" grandRow="1" outline="0" fieldPosition="0"/>
    </format>
    <format dxfId="950">
      <pivotArea dataOnly="0" labelOnly="1" outline="0" fieldPosition="0">
        <references count="1">
          <reference field="4294967294" count="2">
            <x v="0"/>
            <x v="1"/>
          </reference>
        </references>
      </pivotArea>
    </format>
  </formats>
  <chartFormats count="3">
    <chartFormat chart="18" format="4" series="1">
      <pivotArea type="data" outline="0" fieldPosition="0">
        <references count="1">
          <reference field="4294967294" count="1" selected="0">
            <x v="1"/>
          </reference>
        </references>
      </pivotArea>
    </chartFormat>
    <chartFormat chart="18" format="5" series="1">
      <pivotArea type="data" outline="0" fieldPosition="0">
        <references count="1">
          <reference field="4294967294" count="1" selected="0">
            <x v="0"/>
          </reference>
        </references>
      </pivotArea>
    </chartFormat>
    <chartFormat chart="18" format="6">
      <pivotArea type="data" outline="0" fieldPosition="0">
        <references count="2">
          <reference field="4294967294" count="1" selected="0">
            <x v="0"/>
          </reference>
          <reference field="1" count="1" selected="0">
            <x v="5"/>
          </reference>
        </references>
      </pivotArea>
    </chartFormat>
  </chartFormats>
  <pivotHierarchies count="54">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Sales %"/>
    <pivotHierarchy dragToData="1" caption="Quantity %"/>
    <pivotHierarchy dragToData="1" caption="Profit %"/>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7" showRowHeaders="1" showColHeaders="1" showRowStripes="0" showColStripes="0" showLastColumn="1"/>
  <rowHierarchiesUsage count="1">
    <rowHierarchyUsage hierarchyUsage="30"/>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uperstore Raw Data.xlsx!Table_1">
        <x15:activeTabTopLevelEntity name="[Table_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9.xml><?xml version="1.0" encoding="utf-8"?>
<pivotTableDefinition xmlns="http://schemas.openxmlformats.org/spreadsheetml/2006/main" xmlns:mc="http://schemas.openxmlformats.org/markup-compatibility/2006" xmlns:xr="http://schemas.microsoft.com/office/spreadsheetml/2014/revision" mc:Ignorable="xr" xr:uid="{ACCE484A-C91F-4693-8FFB-BADA9DC1D6B0}" name="Sales&amp;Profit_VBAhover" cacheId="20" dataOnRows="1" applyNumberFormats="0" applyBorderFormats="0" applyFontFormats="0" applyPatternFormats="0" applyAlignmentFormats="0" applyWidthHeightFormats="1" dataCaption="Values" tag="61807855-8c58-43a7-a087-09dc4cbca6f3" updatedVersion="8" minRefreshableVersion="3" subtotalHiddenItems="1" rowGrandTotals="0" colGrandTotals="0" itemPrintTitles="1" createdVersion="8" indent="0" outline="1" outlineData="1" multipleFieldFilters="0" rowHeaderCaption="Product Sub-Category">
  <location ref="B39:S44" firstHeaderRow="1" firstDataRow="2" firstDataCol="1"/>
  <pivotFields count="6">
    <pivotField axis="axisCol" allDrilled="1" subtotalTop="0" showAll="0" dataSourceSort="1" defaultSubtotal="0" defaultAttributeDrillState="1">
      <items count="17">
        <item x="0"/>
        <item x="1"/>
        <item x="2"/>
        <item x="3"/>
        <item x="4"/>
        <item x="5"/>
        <item x="6"/>
        <item x="7"/>
        <item x="8"/>
        <item x="9"/>
        <item x="10"/>
        <item x="11"/>
        <item x="12"/>
        <item x="13"/>
        <item x="14"/>
        <item x="15"/>
        <item x="16"/>
      </items>
    </pivotField>
    <pivotField dataField="1" subtotalTop="0" showAll="0" defaultSubtotal="0"/>
    <pivotField dataField="1" subtotalTop="0" showAll="0" defaultSubtotal="0"/>
    <pivotField dataField="1" subtotalTop="0" showAll="0" defaultSubtotal="0"/>
    <pivotField dataField="1" subtotalTop="0" showAll="0" defaultSubtotal="0"/>
    <pivotField allDrilled="1" subtotalTop="0" showAll="0" dataSourceSort="1" defaultSubtotal="0" defaultAttributeDrillState="1"/>
  </pivotFields>
  <rowFields count="1">
    <field x="-2"/>
  </rowFields>
  <rowItems count="4">
    <i>
      <x/>
    </i>
    <i i="1">
      <x v="1"/>
    </i>
    <i i="2">
      <x v="2"/>
    </i>
    <i i="3">
      <x v="3"/>
    </i>
  </rowItems>
  <colFields count="1">
    <field x="0"/>
  </colFields>
  <colItems count="17">
    <i>
      <x/>
    </i>
    <i>
      <x v="1"/>
    </i>
    <i>
      <x v="2"/>
    </i>
    <i>
      <x v="3"/>
    </i>
    <i>
      <x v="4"/>
    </i>
    <i>
      <x v="5"/>
    </i>
    <i>
      <x v="6"/>
    </i>
    <i>
      <x v="7"/>
    </i>
    <i>
      <x v="8"/>
    </i>
    <i>
      <x v="9"/>
    </i>
    <i>
      <x v="10"/>
    </i>
    <i>
      <x v="11"/>
    </i>
    <i>
      <x v="12"/>
    </i>
    <i>
      <x v="13"/>
    </i>
    <i>
      <x v="14"/>
    </i>
    <i>
      <x v="15"/>
    </i>
    <i>
      <x v="16"/>
    </i>
  </colItems>
  <dataFields count="4">
    <dataField fld="1" subtotal="count" baseField="0" baseItem="0"/>
    <dataField fld="2" subtotal="count" baseField="0" baseItem="0"/>
    <dataField fld="3" subtotal="count" baseField="0" baseItem="0"/>
    <dataField fld="4" subtotal="count" baseField="0" baseItem="0"/>
  </dataFields>
  <formats count="67">
    <format dxfId="1066">
      <pivotArea type="all" dataOnly="0" outline="0" fieldPosition="0"/>
    </format>
    <format dxfId="1065">
      <pivotArea outline="0" collapsedLevelsAreSubtotals="1" fieldPosition="0"/>
    </format>
    <format dxfId="1064">
      <pivotArea field="0" type="button" dataOnly="0" labelOnly="1" outline="0" axis="axisCol" fieldPosition="0"/>
    </format>
    <format dxfId="1063">
      <pivotArea dataOnly="0" labelOnly="1" fieldPosition="0">
        <references count="1">
          <reference field="0" count="0"/>
        </references>
      </pivotArea>
    </format>
    <format dxfId="1062">
      <pivotArea dataOnly="0" labelOnly="1" grandRow="1" outline="0" fieldPosition="0"/>
    </format>
    <format dxfId="1061">
      <pivotArea type="all" dataOnly="0" outline="0" fieldPosition="0"/>
    </format>
    <format dxfId="1060">
      <pivotArea outline="0" collapsedLevelsAreSubtotals="1" fieldPosition="0"/>
    </format>
    <format dxfId="1059">
      <pivotArea field="0" type="button" dataOnly="0" labelOnly="1" outline="0" axis="axisCol" fieldPosition="0"/>
    </format>
    <format dxfId="1058">
      <pivotArea dataOnly="0" labelOnly="1" fieldPosition="0">
        <references count="1">
          <reference field="0" count="0"/>
        </references>
      </pivotArea>
    </format>
    <format dxfId="1057">
      <pivotArea dataOnly="0" labelOnly="1" grandRow="1" outline="0" fieldPosition="0"/>
    </format>
    <format dxfId="1056">
      <pivotArea type="all" dataOnly="0" outline="0" fieldPosition="0"/>
    </format>
    <format dxfId="1055">
      <pivotArea outline="0" collapsedLevelsAreSubtotals="1" fieldPosition="0"/>
    </format>
    <format dxfId="1054">
      <pivotArea field="0" type="button" dataOnly="0" labelOnly="1" outline="0" axis="axisCol" fieldPosition="0"/>
    </format>
    <format dxfId="1053">
      <pivotArea dataOnly="0" labelOnly="1" fieldPosition="0">
        <references count="1">
          <reference field="0" count="0"/>
        </references>
      </pivotArea>
    </format>
    <format dxfId="1052">
      <pivotArea dataOnly="0" labelOnly="1" grandRow="1" outline="0" fieldPosition="0"/>
    </format>
    <format dxfId="1051">
      <pivotArea collapsedLevelsAreSubtotals="1" fieldPosition="0">
        <references count="1">
          <reference field="0" count="0"/>
        </references>
      </pivotArea>
    </format>
    <format dxfId="1050">
      <pivotArea type="all" dataOnly="0" outline="0" fieldPosition="0"/>
    </format>
    <format dxfId="1049">
      <pivotArea outline="0" collapsedLevelsAreSubtotals="1" fieldPosition="0"/>
    </format>
    <format dxfId="1048">
      <pivotArea dataOnly="0" labelOnly="1" fieldPosition="0">
        <references count="1">
          <reference field="0" count="0"/>
        </references>
      </pivotArea>
    </format>
    <format dxfId="1047">
      <pivotArea dataOnly="0" labelOnly="1" grandRow="1" outline="0" fieldPosition="0"/>
    </format>
    <format dxfId="1046">
      <pivotArea outline="0" collapsedLevelsAreSubtotals="1" fieldPosition="0">
        <references count="1">
          <reference field="0" count="4" selected="0">
            <x v="0"/>
            <x v="1"/>
            <x v="2"/>
            <x v="3"/>
          </reference>
        </references>
      </pivotArea>
    </format>
    <format dxfId="1045">
      <pivotArea type="origin" dataOnly="0" labelOnly="1" outline="0" fieldPosition="0"/>
    </format>
    <format dxfId="1044">
      <pivotArea field="0" type="button" dataOnly="0" labelOnly="1" outline="0" axis="axisCol" fieldPosition="0"/>
    </format>
    <format dxfId="1043">
      <pivotArea type="topRight" dataOnly="0" labelOnly="1" outline="0" offset="A1:C1" fieldPosition="0"/>
    </format>
    <format dxfId="1042">
      <pivotArea field="-2" type="button" dataOnly="0" labelOnly="1" outline="0" axis="axisRow" fieldPosition="0"/>
    </format>
    <format dxfId="1041">
      <pivotArea dataOnly="0" labelOnly="1" outline="0" fieldPosition="0">
        <references count="1">
          <reference field="4294967294" count="4">
            <x v="0"/>
            <x v="1"/>
            <x v="2"/>
            <x v="3"/>
          </reference>
        </references>
      </pivotArea>
    </format>
    <format dxfId="1040">
      <pivotArea dataOnly="0" labelOnly="1" fieldPosition="0">
        <references count="1">
          <reference field="0" count="4">
            <x v="0"/>
            <x v="1"/>
            <x v="2"/>
            <x v="3"/>
          </reference>
        </references>
      </pivotArea>
    </format>
    <format dxfId="1039">
      <pivotArea type="all" dataOnly="0" outline="0" fieldPosition="0"/>
    </format>
    <format dxfId="1038">
      <pivotArea outline="0" collapsedLevelsAreSubtotals="1" fieldPosition="0"/>
    </format>
    <format dxfId="1037">
      <pivotArea type="origin" dataOnly="0" labelOnly="1" outline="0" fieldPosition="0"/>
    </format>
    <format dxfId="1036">
      <pivotArea field="0" type="button" dataOnly="0" labelOnly="1" outline="0" axis="axisCol" fieldPosition="0"/>
    </format>
    <format dxfId="1035">
      <pivotArea type="topRight" dataOnly="0" labelOnly="1" outline="0" fieldPosition="0"/>
    </format>
    <format dxfId="1034">
      <pivotArea field="-2" type="button" dataOnly="0" labelOnly="1" outline="0" axis="axisRow" fieldPosition="0"/>
    </format>
    <format dxfId="1033">
      <pivotArea dataOnly="0" labelOnly="1" outline="0" fieldPosition="0">
        <references count="1">
          <reference field="4294967294" count="4">
            <x v="0"/>
            <x v="1"/>
            <x v="2"/>
            <x v="3"/>
          </reference>
        </references>
      </pivotArea>
    </format>
    <format dxfId="1032">
      <pivotArea dataOnly="0" labelOnly="1" fieldPosition="0">
        <references count="1">
          <reference field="0" count="0"/>
        </references>
      </pivotArea>
    </format>
    <format dxfId="1031">
      <pivotArea type="all" dataOnly="0" outline="0" fieldPosition="0"/>
    </format>
    <format dxfId="1030">
      <pivotArea outline="0" collapsedLevelsAreSubtotals="1" fieldPosition="0"/>
    </format>
    <format dxfId="1029">
      <pivotArea type="origin" dataOnly="0" labelOnly="1" outline="0" fieldPosition="0"/>
    </format>
    <format dxfId="1028">
      <pivotArea field="0" type="button" dataOnly="0" labelOnly="1" outline="0" axis="axisCol" fieldPosition="0"/>
    </format>
    <format dxfId="1027">
      <pivotArea type="topRight" dataOnly="0" labelOnly="1" outline="0" fieldPosition="0"/>
    </format>
    <format dxfId="1026">
      <pivotArea field="-2" type="button" dataOnly="0" labelOnly="1" outline="0" axis="axisRow" fieldPosition="0"/>
    </format>
    <format dxfId="1025">
      <pivotArea dataOnly="0" labelOnly="1" outline="0" fieldPosition="0">
        <references count="1">
          <reference field="4294967294" count="4">
            <x v="0"/>
            <x v="1"/>
            <x v="2"/>
            <x v="3"/>
          </reference>
        </references>
      </pivotArea>
    </format>
    <format dxfId="1024">
      <pivotArea dataOnly="0" labelOnly="1" fieldPosition="0">
        <references count="1">
          <reference field="0" count="0"/>
        </references>
      </pivotArea>
    </format>
    <format dxfId="1023">
      <pivotArea type="all" dataOnly="0" outline="0" fieldPosition="0"/>
    </format>
    <format dxfId="1022">
      <pivotArea outline="0" collapsedLevelsAreSubtotals="1" fieldPosition="0"/>
    </format>
    <format dxfId="1021">
      <pivotArea type="origin" dataOnly="0" labelOnly="1" outline="0" fieldPosition="0"/>
    </format>
    <format dxfId="1020">
      <pivotArea field="0" type="button" dataOnly="0" labelOnly="1" outline="0" axis="axisCol" fieldPosition="0"/>
    </format>
    <format dxfId="1019">
      <pivotArea type="topRight" dataOnly="0" labelOnly="1" outline="0" fieldPosition="0"/>
    </format>
    <format dxfId="1018">
      <pivotArea field="-2" type="button" dataOnly="0" labelOnly="1" outline="0" axis="axisRow" fieldPosition="0"/>
    </format>
    <format dxfId="1017">
      <pivotArea dataOnly="0" labelOnly="1" outline="0" fieldPosition="0">
        <references count="1">
          <reference field="4294967294" count="4">
            <x v="0"/>
            <x v="1"/>
            <x v="2"/>
            <x v="3"/>
          </reference>
        </references>
      </pivotArea>
    </format>
    <format dxfId="1016">
      <pivotArea dataOnly="0" labelOnly="1" fieldPosition="0">
        <references count="1">
          <reference field="0" count="0"/>
        </references>
      </pivotArea>
    </format>
    <format dxfId="1015">
      <pivotArea type="all" dataOnly="0" outline="0" fieldPosition="0"/>
    </format>
    <format dxfId="1014">
      <pivotArea outline="0" collapsedLevelsAreSubtotals="1" fieldPosition="0"/>
    </format>
    <format dxfId="1013">
      <pivotArea type="origin" dataOnly="0" labelOnly="1" outline="0" fieldPosition="0"/>
    </format>
    <format dxfId="1012">
      <pivotArea field="0" type="button" dataOnly="0" labelOnly="1" outline="0" axis="axisCol" fieldPosition="0"/>
    </format>
    <format dxfId="1011">
      <pivotArea type="topRight" dataOnly="0" labelOnly="1" outline="0" fieldPosition="0"/>
    </format>
    <format dxfId="1010">
      <pivotArea field="-2" type="button" dataOnly="0" labelOnly="1" outline="0" axis="axisRow" fieldPosition="0"/>
    </format>
    <format dxfId="1009">
      <pivotArea dataOnly="0" labelOnly="1" outline="0" fieldPosition="0">
        <references count="1">
          <reference field="4294967294" count="4">
            <x v="0"/>
            <x v="1"/>
            <x v="2"/>
            <x v="3"/>
          </reference>
        </references>
      </pivotArea>
    </format>
    <format dxfId="1008">
      <pivotArea dataOnly="0" labelOnly="1" fieldPosition="0">
        <references count="1">
          <reference field="0" count="0"/>
        </references>
      </pivotArea>
    </format>
    <format dxfId="1007">
      <pivotArea type="all" dataOnly="0" outline="0" fieldPosition="0"/>
    </format>
    <format dxfId="1006">
      <pivotArea outline="0" collapsedLevelsAreSubtotals="1" fieldPosition="0"/>
    </format>
    <format dxfId="1005">
      <pivotArea type="origin" dataOnly="0" labelOnly="1" outline="0" fieldPosition="0"/>
    </format>
    <format dxfId="1004">
      <pivotArea field="0" type="button" dataOnly="0" labelOnly="1" outline="0" axis="axisCol" fieldPosition="0"/>
    </format>
    <format dxfId="1003">
      <pivotArea type="topRight" dataOnly="0" labelOnly="1" outline="0" fieldPosition="0"/>
    </format>
    <format dxfId="1002">
      <pivotArea field="-2" type="button" dataOnly="0" labelOnly="1" outline="0" axis="axisRow" fieldPosition="0"/>
    </format>
    <format dxfId="1001">
      <pivotArea dataOnly="0" labelOnly="1" outline="0" fieldPosition="0">
        <references count="1">
          <reference field="4294967294" count="4">
            <x v="0"/>
            <x v="1"/>
            <x v="2"/>
            <x v="3"/>
          </reference>
        </references>
      </pivotArea>
    </format>
    <format dxfId="1000">
      <pivotArea dataOnly="0" labelOnly="1" fieldPosition="0">
        <references count="1">
          <reference field="0" count="0"/>
        </references>
      </pivotArea>
    </format>
  </formats>
  <pivotHierarchies count="53">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Sales %"/>
    <pivotHierarchy dragToData="1" caption="Quantity %"/>
    <pivotHierarchy dragToData="1" caption="Profit %"/>
    <pivotHierarchy dragToData="1"/>
    <pivotHierarchy dragToData="1"/>
    <pivotHierarchy dragToData="1" caption="Shipping Cost"/>
    <pivotHierarchy dragToData="1" caption="Discount"/>
    <pivotHierarchy dragToData="1" caption="Cumulative cost"/>
    <pivotHierarchy dragToData="1"/>
    <pivotHierarchy dragToData="1"/>
    <pivotHierarchy dragToData="1"/>
    <pivotHierarchy dragToData="1"/>
    <pivotHierarchy dragToData="1"/>
    <pivotHierarchy dragToData="1"/>
    <pivotHierarchy dragToData="1"/>
  </pivotHierarchies>
  <pivotTableStyleInfo name="PivotStyleLight7" showRowHeaders="1" showColHeaders="1" showRowStripes="0" showColStripes="0" showLastColumn="1"/>
  <rowHierarchiesUsage count="1">
    <rowHierarchyUsage hierarchyUsage="-2"/>
  </rowHierarchiesUsage>
  <colHierarchiesUsage count="1">
    <colHierarchyUsage hierarchyUsage="9"/>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uperstore Raw Data.xlsx!Table_1">
        <x15:activeTabTopLevelEntity name="[Table_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0.xml><?xml version="1.0" encoding="utf-8"?>
<pivotTableDefinition xmlns="http://schemas.openxmlformats.org/spreadsheetml/2006/main" xmlns:mc="http://schemas.openxmlformats.org/markup-compatibility/2006" xmlns:xr="http://schemas.microsoft.com/office/spreadsheetml/2014/revision" mc:Ignorable="xr" xr:uid="{D47BEB05-3799-40AA-BB06-B117BDD96904}" name="Sales&amp;Profit_Matrix+ScatterChart+Donught" cacheId="16" applyNumberFormats="0" applyBorderFormats="0" applyFontFormats="0" applyPatternFormats="0" applyAlignmentFormats="0" applyWidthHeightFormats="1" dataCaption="Values" tag="9f396733-ea91-42d0-a039-72bb8499b448" updatedVersion="8" minRefreshableVersion="3" subtotalHiddenItems="1" itemPrintTitles="1" createdVersion="8" indent="0" outline="1" outlineData="1" multipleFieldFilters="0" rowHeaderCaption="Product Sub-Category">
  <location ref="B5:F23" firstHeaderRow="0" firstDataRow="1" firstDataCol="1"/>
  <pivotFields count="6">
    <pivotField dataField="1" subtotalTop="0" showAll="0" defaultSubtotal="0"/>
    <pivotField axis="axisRow" allDrilled="1" subtotalTop="0" showAll="0" dataSourceSort="1" defaultSubtotal="0" defaultAttributeDrillState="1">
      <items count="17">
        <item x="0"/>
        <item x="1"/>
        <item x="2"/>
        <item x="3"/>
        <item x="4"/>
        <item x="5"/>
        <item x="6"/>
        <item x="7"/>
        <item x="8"/>
        <item x="9"/>
        <item x="10"/>
        <item x="11"/>
        <item x="12"/>
        <item x="13"/>
        <item x="14"/>
        <item x="15"/>
        <item x="16"/>
      </items>
    </pivotField>
    <pivotField dataField="1" subtotalTop="0" showAll="0" defaultSubtotal="0"/>
    <pivotField allDrilled="1" subtotalTop="0" showAll="0" dataSourceSort="1" defaultSubtotal="0" defaultAttributeDrillState="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1"/>
  </rowFields>
  <rowItems count="18">
    <i>
      <x/>
    </i>
    <i>
      <x v="1"/>
    </i>
    <i>
      <x v="2"/>
    </i>
    <i>
      <x v="3"/>
    </i>
    <i>
      <x v="4"/>
    </i>
    <i>
      <x v="5"/>
    </i>
    <i>
      <x v="6"/>
    </i>
    <i>
      <x v="7"/>
    </i>
    <i>
      <x v="8"/>
    </i>
    <i>
      <x v="9"/>
    </i>
    <i>
      <x v="10"/>
    </i>
    <i>
      <x v="11"/>
    </i>
    <i>
      <x v="12"/>
    </i>
    <i>
      <x v="13"/>
    </i>
    <i>
      <x v="14"/>
    </i>
    <i>
      <x v="15"/>
    </i>
    <i>
      <x v="16"/>
    </i>
    <i t="grand">
      <x/>
    </i>
  </rowItems>
  <colFields count="1">
    <field x="-2"/>
  </colFields>
  <colItems count="4">
    <i>
      <x/>
    </i>
    <i i="1">
      <x v="1"/>
    </i>
    <i i="2">
      <x v="2"/>
    </i>
    <i i="3">
      <x v="3"/>
    </i>
  </colItems>
  <dataFields count="4">
    <dataField name="Sales" fld="0" baseField="0" baseItem="0"/>
    <dataField name="Sales %" fld="4" showDataAs="percentOfCol" baseField="0" baseItem="0" numFmtId="10">
      <extLst>
        <ext xmlns:x14="http://schemas.microsoft.com/office/spreadsheetml/2009/9/main" uri="{E15A36E0-9728-4e99-A89B-3F7291B0FE68}">
          <x14:dataField sourceField="0" uniqueName="[__Xl2].[Measures].[Sum of Sales]"/>
        </ext>
      </extLst>
    </dataField>
    <dataField name="Quantity Sold" fld="2" baseField="0" baseItem="0"/>
    <dataField name="% of Sold Qty" fld="5" showDataAs="percentOfTotal" baseField="1" baseItem="0" numFmtId="10">
      <extLst>
        <ext xmlns:x14="http://schemas.microsoft.com/office/spreadsheetml/2009/9/main" uri="{E15A36E0-9728-4e99-A89B-3F7291B0FE68}">
          <x14:dataField sourceField="2" uniqueName="[__Xl2].[Measures].[Sum of Quantity ordered new]"/>
        </ext>
      </extLst>
    </dataField>
  </dataFields>
  <formats count="48">
    <format dxfId="1114">
      <pivotArea type="all" dataOnly="0" outline="0" fieldPosition="0"/>
    </format>
    <format dxfId="1113">
      <pivotArea outline="0" collapsedLevelsAreSubtotals="1" fieldPosition="0"/>
    </format>
    <format dxfId="1112">
      <pivotArea field="1" type="button" dataOnly="0" labelOnly="1" outline="0" axis="axisRow" fieldPosition="0"/>
    </format>
    <format dxfId="1111">
      <pivotArea dataOnly="0" labelOnly="1" fieldPosition="0">
        <references count="1">
          <reference field="1" count="0"/>
        </references>
      </pivotArea>
    </format>
    <format dxfId="1110">
      <pivotArea dataOnly="0" labelOnly="1" grandRow="1" outline="0" fieldPosition="0"/>
    </format>
    <format dxfId="1109">
      <pivotArea dataOnly="0" labelOnly="1" outline="0" fieldPosition="0">
        <references count="1">
          <reference field="4294967294" count="4">
            <x v="0"/>
            <x v="1"/>
            <x v="2"/>
            <x v="3"/>
          </reference>
        </references>
      </pivotArea>
    </format>
    <format dxfId="1108">
      <pivotArea type="all" dataOnly="0" outline="0" fieldPosition="0"/>
    </format>
    <format dxfId="1107">
      <pivotArea outline="0" collapsedLevelsAreSubtotals="1" fieldPosition="0"/>
    </format>
    <format dxfId="1106">
      <pivotArea field="1" type="button" dataOnly="0" labelOnly="1" outline="0" axis="axisRow" fieldPosition="0"/>
    </format>
    <format dxfId="1105">
      <pivotArea dataOnly="0" labelOnly="1" fieldPosition="0">
        <references count="1">
          <reference field="1" count="0"/>
        </references>
      </pivotArea>
    </format>
    <format dxfId="1104">
      <pivotArea dataOnly="0" labelOnly="1" grandRow="1" outline="0" fieldPosition="0"/>
    </format>
    <format dxfId="1103">
      <pivotArea dataOnly="0" labelOnly="1" outline="0" fieldPosition="0">
        <references count="1">
          <reference field="4294967294" count="4">
            <x v="0"/>
            <x v="1"/>
            <x v="2"/>
            <x v="3"/>
          </reference>
        </references>
      </pivotArea>
    </format>
    <format dxfId="1102">
      <pivotArea type="all" dataOnly="0" outline="0" fieldPosition="0"/>
    </format>
    <format dxfId="1101">
      <pivotArea outline="0" collapsedLevelsAreSubtotals="1" fieldPosition="0"/>
    </format>
    <format dxfId="1100">
      <pivotArea field="1" type="button" dataOnly="0" labelOnly="1" outline="0" axis="axisRow" fieldPosition="0"/>
    </format>
    <format dxfId="1099">
      <pivotArea dataOnly="0" labelOnly="1" fieldPosition="0">
        <references count="1">
          <reference field="1" count="0"/>
        </references>
      </pivotArea>
    </format>
    <format dxfId="1098">
      <pivotArea dataOnly="0" labelOnly="1" grandRow="1" outline="0" fieldPosition="0"/>
    </format>
    <format dxfId="1097">
      <pivotArea dataOnly="0" labelOnly="1" outline="0" fieldPosition="0">
        <references count="1">
          <reference field="4294967294" count="4">
            <x v="0"/>
            <x v="1"/>
            <x v="2"/>
            <x v="3"/>
          </reference>
        </references>
      </pivotArea>
    </format>
    <format dxfId="1096">
      <pivotArea type="all" dataOnly="0" outline="0" fieldPosition="0"/>
    </format>
    <format dxfId="1095">
      <pivotArea outline="0" collapsedLevelsAreSubtotals="1" fieldPosition="0"/>
    </format>
    <format dxfId="1094">
      <pivotArea field="1" type="button" dataOnly="0" labelOnly="1" outline="0" axis="axisRow" fieldPosition="0"/>
    </format>
    <format dxfId="1093">
      <pivotArea dataOnly="0" labelOnly="1" fieldPosition="0">
        <references count="1">
          <reference field="1" count="0"/>
        </references>
      </pivotArea>
    </format>
    <format dxfId="1092">
      <pivotArea dataOnly="0" labelOnly="1" grandRow="1" outline="0" fieldPosition="0"/>
    </format>
    <format dxfId="1091">
      <pivotArea dataOnly="0" labelOnly="1" outline="0" fieldPosition="0">
        <references count="1">
          <reference field="4294967294" count="4">
            <x v="0"/>
            <x v="1"/>
            <x v="2"/>
            <x v="3"/>
          </reference>
        </references>
      </pivotArea>
    </format>
    <format dxfId="1090">
      <pivotArea type="all" dataOnly="0" outline="0" fieldPosition="0"/>
    </format>
    <format dxfId="1089">
      <pivotArea outline="0" collapsedLevelsAreSubtotals="1" fieldPosition="0"/>
    </format>
    <format dxfId="1088">
      <pivotArea field="1" type="button" dataOnly="0" labelOnly="1" outline="0" axis="axisRow" fieldPosition="0"/>
    </format>
    <format dxfId="1087">
      <pivotArea dataOnly="0" labelOnly="1" fieldPosition="0">
        <references count="1">
          <reference field="1" count="0"/>
        </references>
      </pivotArea>
    </format>
    <format dxfId="1086">
      <pivotArea dataOnly="0" labelOnly="1" grandRow="1" outline="0" fieldPosition="0"/>
    </format>
    <format dxfId="1085">
      <pivotArea dataOnly="0" labelOnly="1" outline="0" fieldPosition="0">
        <references count="1">
          <reference field="4294967294" count="4">
            <x v="0"/>
            <x v="1"/>
            <x v="2"/>
            <x v="3"/>
          </reference>
        </references>
      </pivotArea>
    </format>
    <format dxfId="1084">
      <pivotArea type="all" dataOnly="0" outline="0" fieldPosition="0"/>
    </format>
    <format dxfId="1083">
      <pivotArea outline="0" collapsedLevelsAreSubtotals="1" fieldPosition="0"/>
    </format>
    <format dxfId="1082">
      <pivotArea field="1" type="button" dataOnly="0" labelOnly="1" outline="0" axis="axisRow" fieldPosition="0"/>
    </format>
    <format dxfId="1081">
      <pivotArea dataOnly="0" labelOnly="1" fieldPosition="0">
        <references count="1">
          <reference field="1" count="0"/>
        </references>
      </pivotArea>
    </format>
    <format dxfId="1080">
      <pivotArea dataOnly="0" labelOnly="1" grandRow="1" outline="0" fieldPosition="0"/>
    </format>
    <format dxfId="1079">
      <pivotArea dataOnly="0" labelOnly="1" outline="0" fieldPosition="0">
        <references count="1">
          <reference field="4294967294" count="4">
            <x v="0"/>
            <x v="1"/>
            <x v="2"/>
            <x v="3"/>
          </reference>
        </references>
      </pivotArea>
    </format>
    <format dxfId="1078">
      <pivotArea type="all" dataOnly="0" outline="0" fieldPosition="0"/>
    </format>
    <format dxfId="1077">
      <pivotArea outline="0" collapsedLevelsAreSubtotals="1" fieldPosition="0"/>
    </format>
    <format dxfId="1076">
      <pivotArea field="1" type="button" dataOnly="0" labelOnly="1" outline="0" axis="axisRow" fieldPosition="0"/>
    </format>
    <format dxfId="1075">
      <pivotArea dataOnly="0" labelOnly="1" fieldPosition="0">
        <references count="1">
          <reference field="1" count="0"/>
        </references>
      </pivotArea>
    </format>
    <format dxfId="1074">
      <pivotArea dataOnly="0" labelOnly="1" grandRow="1" outline="0" fieldPosition="0"/>
    </format>
    <format dxfId="1073">
      <pivotArea dataOnly="0" labelOnly="1" outline="0" fieldPosition="0">
        <references count="1">
          <reference field="4294967294" count="4">
            <x v="0"/>
            <x v="1"/>
            <x v="2"/>
            <x v="3"/>
          </reference>
        </references>
      </pivotArea>
    </format>
    <format dxfId="1072">
      <pivotArea type="all" dataOnly="0" outline="0" fieldPosition="0"/>
    </format>
    <format dxfId="1071">
      <pivotArea outline="0" collapsedLevelsAreSubtotals="1" fieldPosition="0"/>
    </format>
    <format dxfId="1070">
      <pivotArea field="1" type="button" dataOnly="0" labelOnly="1" outline="0" axis="axisRow" fieldPosition="0"/>
    </format>
    <format dxfId="1069">
      <pivotArea dataOnly="0" labelOnly="1" fieldPosition="0">
        <references count="1">
          <reference field="1" count="0"/>
        </references>
      </pivotArea>
    </format>
    <format dxfId="1068">
      <pivotArea dataOnly="0" labelOnly="1" grandRow="1" outline="0" fieldPosition="0"/>
    </format>
    <format dxfId="1067">
      <pivotArea dataOnly="0" labelOnly="1" outline="0" fieldPosition="0">
        <references count="1">
          <reference field="4294967294" count="4">
            <x v="0"/>
            <x v="1"/>
            <x v="2"/>
            <x v="3"/>
          </reference>
        </references>
      </pivotArea>
    </format>
  </formats>
  <pivotHierarchies count="55">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Sales %"/>
    <pivotHierarchy dragToData="1" caption="Quantity %"/>
    <pivotHierarchy dragToData="1" caption="Profit %"/>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7" showRowHeaders="1" showColHeaders="1" showRowStripes="0" showColStripes="0" showLastColumn="1"/>
  <rowHierarchiesUsage count="1">
    <rowHierarchyUsage hierarchyUsage="9"/>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uperstore Raw Data.xlsx!Table_1">
        <x15:activeTabTopLevelEntity name="[Table_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1.xml><?xml version="1.0" encoding="utf-8"?>
<pivotTableDefinition xmlns="http://schemas.openxmlformats.org/spreadsheetml/2006/main" xmlns:mc="http://schemas.openxmlformats.org/markup-compatibility/2006" xmlns:xr="http://schemas.microsoft.com/office/spreadsheetml/2014/revision" mc:Ignorable="xr" xr:uid="{4D831DD6-3947-4CCD-8750-7DC15B0B0499}" name="Distribution_LeastSellingProducts" cacheId="7" applyNumberFormats="0" applyBorderFormats="0" applyFontFormats="0" applyPatternFormats="0" applyAlignmentFormats="0" applyWidthHeightFormats="1" dataCaption="Values" updatedVersion="8" minRefreshableVersion="3" useAutoFormatting="1" subtotalHiddenItems="1" rowGrandTotals="0" itemPrintTitles="1" createdVersion="8" indent="0" outline="1" outlineData="1" multipleFieldFilters="0" rowHeaderCaption="Product Name">
  <location ref="CJ17:CL20" firstHeaderRow="0" firstDataRow="1" firstDataCol="1"/>
  <pivotFields count="4">
    <pivotField axis="axisRow" allDrilled="1" subtotalTop="0" showAll="0" measureFilter="1" dataSourceSort="1" defaultSubtotal="0" defaultAttributeDrillState="1">
      <items count="3">
        <item x="0"/>
        <item x="1"/>
        <item x="2"/>
      </items>
    </pivotField>
    <pivotField dataField="1" subtotalTop="0" showAll="0" defaultSubtotal="0"/>
    <pivotField dataField="1" subtotalTop="0" showAll="0" defaultSubtotal="0"/>
    <pivotField allDrilled="1" subtotalTop="0" showAll="0" dataSourceSort="1" defaultSubtotal="0" defaultAttributeDrillState="1"/>
  </pivotFields>
  <rowFields count="1">
    <field x="0"/>
  </rowFields>
  <rowItems count="3">
    <i>
      <x/>
    </i>
    <i>
      <x v="1"/>
    </i>
    <i>
      <x v="2"/>
    </i>
  </rowItems>
  <colFields count="1">
    <field x="-2"/>
  </colFields>
  <colItems count="2">
    <i>
      <x/>
    </i>
    <i i="1">
      <x v="1"/>
    </i>
  </colItems>
  <dataFields count="2">
    <dataField name="Sales" fld="1" baseField="0" baseItem="0" numFmtId="168"/>
    <dataField name="Quantity" fld="2" baseField="0" baseItem="0"/>
  </dataFields>
  <formats count="17">
    <format dxfId="1131">
      <pivotArea outline="0" collapsedLevelsAreSubtotals="1" fieldPosition="0">
        <references count="1">
          <reference field="4294967294" count="1" selected="0">
            <x v="0"/>
          </reference>
        </references>
      </pivotArea>
    </format>
    <format dxfId="1130">
      <pivotArea dataOnly="0" labelOnly="1" outline="0" fieldPosition="0">
        <references count="1">
          <reference field="4294967294" count="1">
            <x v="0"/>
          </reference>
        </references>
      </pivotArea>
    </format>
    <format dxfId="1129">
      <pivotArea type="all" dataOnly="0" outline="0" fieldPosition="0"/>
    </format>
    <format dxfId="1128">
      <pivotArea outline="0" collapsedLevelsAreSubtotals="1" fieldPosition="0"/>
    </format>
    <format dxfId="1127">
      <pivotArea field="0" type="button" dataOnly="0" labelOnly="1" outline="0" axis="axisRow" fieldPosition="0"/>
    </format>
    <format dxfId="1126">
      <pivotArea dataOnly="0" labelOnly="1" fieldPosition="0">
        <references count="1">
          <reference field="0" count="0"/>
        </references>
      </pivotArea>
    </format>
    <format dxfId="1125">
      <pivotArea dataOnly="0" labelOnly="1" outline="0" fieldPosition="0">
        <references count="1">
          <reference field="4294967294" count="2">
            <x v="0"/>
            <x v="1"/>
          </reference>
        </references>
      </pivotArea>
    </format>
    <format dxfId="1124">
      <pivotArea type="all" dataOnly="0" outline="0" fieldPosition="0"/>
    </format>
    <format dxfId="1123">
      <pivotArea outline="0" collapsedLevelsAreSubtotals="1" fieldPosition="0"/>
    </format>
    <format dxfId="1122">
      <pivotArea field="0" type="button" dataOnly="0" labelOnly="1" outline="0" axis="axisRow" fieldPosition="0"/>
    </format>
    <format dxfId="1121">
      <pivotArea dataOnly="0" labelOnly="1" fieldPosition="0">
        <references count="1">
          <reference field="0" count="0"/>
        </references>
      </pivotArea>
    </format>
    <format dxfId="1120">
      <pivotArea dataOnly="0" labelOnly="1" outline="0" fieldPosition="0">
        <references count="1">
          <reference field="4294967294" count="2">
            <x v="0"/>
            <x v="1"/>
          </reference>
        </references>
      </pivotArea>
    </format>
    <format dxfId="1119">
      <pivotArea type="all" dataOnly="0" outline="0" fieldPosition="0"/>
    </format>
    <format dxfId="1118">
      <pivotArea outline="0" collapsedLevelsAreSubtotals="1" fieldPosition="0"/>
    </format>
    <format dxfId="1117">
      <pivotArea field="0" type="button" dataOnly="0" labelOnly="1" outline="0" axis="axisRow" fieldPosition="0"/>
    </format>
    <format dxfId="1116">
      <pivotArea dataOnly="0" labelOnly="1" fieldPosition="0">
        <references count="1">
          <reference field="0" count="0"/>
        </references>
      </pivotArea>
    </format>
    <format dxfId="1115">
      <pivotArea dataOnly="0" labelOnly="1" outline="0" fieldPosition="0">
        <references count="1">
          <reference field="4294967294" count="2">
            <x v="0"/>
            <x v="1"/>
          </reference>
        </references>
      </pivotArea>
    </format>
  </formats>
  <pivotHierarchies count="53">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Sales"/>
    <pivotHierarchy dragToData="1" caption="Quantit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1">
    <filter fld="0" type="count" id="2" iMeasureHier="38">
      <autoFilter ref="A1">
        <filterColumn colId="0">
          <top10 top="0" val="3" filterVal="3"/>
        </filterColumn>
      </autoFilter>
    </filter>
  </filters>
  <rowHierarchiesUsage count="1">
    <rowHierarchyUsage hierarchyUsage="11"/>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able_1]"/>
      </x15:pivotTableUISettings>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duct_Category" xr10:uid="{42F22CCD-C771-4907-A506-19D0EDC0B5F6}" sourceName="[Table_1].[Product Category]">
  <pivotTables>
    <pivotTable tabId="20" name="SalesMap_The Map"/>
    <pivotTable tabId="20" name="Sales&amp;Profit_PercentageDial"/>
    <pivotTable tabId="20" name="Sales&amp;Profit_TrendChart"/>
    <pivotTable tabId="20" name="Sales&amp;Profit_Matrix+ScatterChart+Donught"/>
    <pivotTable tabId="20" name="Sales&amp;Profit_BarChart"/>
    <pivotTable tabId="20" name="Sales&amp;Profit_SmallDonut"/>
    <pivotTable tabId="20" name="SalesMap_RegionalBars+Matrix"/>
    <pivotTable tabId="20" name="Sales&amp;Profit_VBAhover"/>
  </pivotTables>
  <data>
    <olap pivotCacheId="1056932175">
      <levels count="2">
        <level uniqueName="[Table_1].[Product Category].[(All)]" sourceCaption="(All)" count="0"/>
        <level uniqueName="[Table_1].[Product Category].[Product Category]" sourceCaption="Product Category" count="3">
          <ranges>
            <range startItem="0">
              <i n="[Table_1].[Product Category].&amp;[Furniture]" c="Furniture"/>
              <i n="[Table_1].[Product Category].&amp;[Office Supplies]" c="Office Supplies"/>
              <i n="[Table_1].[Product Category].&amp;[Technology]" c="Technology"/>
            </range>
          </ranges>
        </level>
      </levels>
      <selections count="1">
        <selection n="[Table_1].[Product Category].[All]"/>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Order_Date__Month" xr10:uid="{116F933C-F3A6-4EBD-8CD6-92371C26F378}" sourceName="[Table_1].[Order Date (Month)]">
  <pivotTables>
    <pivotTable tabId="20" name="Sales&amp;Profit_PercentageDial"/>
    <pivotTable tabId="20" name="Sales&amp;Profit_SmallDonut"/>
    <pivotTable tabId="20" name="Sales&amp;Profit_Matrix+ScatterChart+Donught"/>
    <pivotTable tabId="20" name="Sales&amp;Profit_BarChart"/>
    <pivotTable tabId="20" name="Sales&amp;Profit_TrendChart"/>
    <pivotTable tabId="20" name="Sales&amp;Profit_VBAhover"/>
  </pivotTables>
  <data>
    <olap pivotCacheId="1056932175">
      <levels count="2">
        <level uniqueName="[Table_1].[Order Date (Month)].[(All)]" sourceCaption="(All)" count="0"/>
        <level uniqueName="[Table_1].[Order Date (Month)].[Order Date (Month)]" sourceCaption="Order Date (Month)" count="6">
          <ranges>
            <range startItem="0">
              <i n="[Table_1].[Order Date (Month)].&amp;[Jan]" c="Jan"/>
              <i n="[Table_1].[Order Date (Month)].&amp;[Feb]" c="Feb"/>
              <i n="[Table_1].[Order Date (Month)].&amp;[Mar]" c="Mar"/>
              <i n="[Table_1].[Order Date (Month)].&amp;[Apr]" c="Apr"/>
              <i n="[Table_1].[Order Date (Month)].&amp;[May]" c="May"/>
              <i n="[Table_1].[Order Date (Month)].&amp;[Jun]" c="Jun"/>
            </range>
          </ranges>
        </level>
      </levels>
      <selections count="1">
        <selection n="[Table_1].[Order Date (Month)].[All]"/>
      </selections>
    </olap>
  </data>
  <extLst>
    <x:ext xmlns:x15="http://schemas.microsoft.com/office/spreadsheetml/2010/11/main" uri="{470722E0-AACD-4C17-9CDC-17EF765DBC7E}">
      <x15:slicerCacheHideItemsWithNoData count="1">
        <x15:slicerCacheOlapLevelName uniqueName="[Table_1].[Order Date (Month)].[Order Date (Month)]" count="0"/>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ustomer_Segment" xr10:uid="{242162D8-0B1B-4B06-9CEF-DE0D40582C2D}" sourceName="[Table_1].[Customer Segment]">
  <pivotTables>
    <pivotTable tabId="20" name="Trends_LineChart+Matrix"/>
    <pivotTable tabId="20" name="Trends_Bars"/>
    <pivotTable tabId="20" name="Trends_Matrix"/>
  </pivotTables>
  <data>
    <olap pivotCacheId="1028005513">
      <levels count="2">
        <level uniqueName="[Table_1].[Customer Segment].[(All)]" sourceCaption="(All)" count="0"/>
        <level uniqueName="[Table_1].[Customer Segment].[Customer Segment]" sourceCaption="Customer Segment" count="4">
          <ranges>
            <range startItem="0">
              <i n="[Table_1].[Customer Segment].&amp;[Consumer]" c="Consumer"/>
              <i n="[Table_1].[Customer Segment].&amp;[Corporate]" c="Corporate"/>
              <i n="[Table_1].[Customer Segment].&amp;[Home Office]" c="Home Office"/>
              <i n="[Table_1].[Customer Segment].&amp;[Small Business]" c="Small Business"/>
            </range>
          </ranges>
        </level>
      </levels>
      <selections count="1">
        <selection n="[Table_1].[Customer Segment].[All]"/>
      </selections>
    </olap>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anager" xr10:uid="{44BB75D1-895C-4F10-80A0-7A0F495529AD}" sourceName="[Table_1].[Manager]">
  <pivotTables>
    <pivotTable tabId="20" name="Trends_LineChart+Matrix"/>
    <pivotTable tabId="20" name="Trends_Bars"/>
    <pivotTable tabId="20" name="Trends_Matrix"/>
  </pivotTables>
  <data>
    <olap pivotCacheId="1028005513">
      <levels count="2">
        <level uniqueName="[Table_1].[Manager].[(All)]" sourceCaption="(All)" count="0"/>
        <level uniqueName="[Table_1].[Manager].[Manager]" sourceCaption="Manager" count="4">
          <ranges>
            <range startItem="0">
              <i n="[Table_1].[Manager].&amp;[Chris]" c="Chris"/>
              <i n="[Table_1].[Manager].&amp;[Erin]" c="Erin"/>
              <i n="[Table_1].[Manager].&amp;[Sam]" c="Sam"/>
              <i n="[Table_1].[Manager].&amp;[William]" c="William"/>
            </range>
          </ranges>
        </level>
      </levels>
      <selections count="1">
        <selection n="[Table_1].[Manager].[All]"/>
      </selections>
    </olap>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Order_Date__Month1" xr10:uid="{A3115CAD-02F4-4896-BA09-2CD777A851A0}" sourceName="[Table_1].[Order Date (Month)]">
  <pivotTables>
    <pivotTable tabId="20" name="Trends_LineChart+Matrix"/>
    <pivotTable tabId="20" name="Trends_Bars"/>
    <pivotTable tabId="20" name="Trends_Matrix"/>
  </pivotTables>
  <data>
    <olap pivotCacheId="1028005513">
      <levels count="2">
        <level uniqueName="[Table_1].[Order Date (Month)].[(All)]" sourceCaption="(All)" count="0"/>
        <level uniqueName="[Table_1].[Order Date (Month)].[Order Date (Month)]" sourceCaption="Order Date (Month)" count="6">
          <ranges>
            <range startItem="0">
              <i n="[Table_1].[Order Date (Month)].&amp;[Jan]" c="Jan"/>
              <i n="[Table_1].[Order Date (Month)].&amp;[Feb]" c="Feb"/>
              <i n="[Table_1].[Order Date (Month)].&amp;[Mar]" c="Mar"/>
              <i n="[Table_1].[Order Date (Month)].&amp;[Apr]" c="Apr"/>
              <i n="[Table_1].[Order Date (Month)].&amp;[May]" c="May"/>
              <i n="[Table_1].[Order Date (Month)].&amp;[Jun]" c="Jun"/>
            </range>
          </ranges>
        </level>
      </levels>
      <selections count="1">
        <selection n="[Table_1].[Order Date (Month)].[All]"/>
      </selections>
    </olap>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ustomer_Segment1" xr10:uid="{36DC0AF2-F750-4418-9C32-08D04CA0E770}" sourceName="[Table_1].[Customer Segment]">
  <pivotTables>
    <pivotTable tabId="20" name="Didtribution_OrderPriority"/>
    <pivotTable tabId="20" name="Distribution_LeastProfitCities"/>
    <pivotTable tabId="20" name="Distribution_LeastSellingCities"/>
    <pivotTable tabId="20" name="Distribution_LeastSellingProducts"/>
    <pivotTable tabId="20" name="Distribution_TopLossProducts"/>
    <pivotTable tabId="20" name="Distribution_TopProfitCities"/>
    <pivotTable tabId="20" name="Distribution_TopProfitProducts"/>
    <pivotTable tabId="20" name="Distribution_TopSellingCities"/>
    <pivotTable tabId="20" name="Distribution_TopSellingProducts"/>
  </pivotTables>
  <data>
    <olap pivotCacheId="1183887746">
      <levels count="2">
        <level uniqueName="[Table_1].[Customer Segment].[(All)]" sourceCaption="(All)" count="0"/>
        <level uniqueName="[Table_1].[Customer Segment].[Customer Segment]" sourceCaption="Customer Segment" count="4">
          <ranges>
            <range startItem="0">
              <i n="[Table_1].[Customer Segment].&amp;[Consumer]" c="Consumer"/>
              <i n="[Table_1].[Customer Segment].&amp;[Corporate]" c="Corporate"/>
              <i n="[Table_1].[Customer Segment].&amp;[Home Office]" c="Home Office"/>
              <i n="[Table_1].[Customer Segment].&amp;[Small Business]" c="Small Business"/>
            </range>
          </ranges>
        </level>
      </levels>
      <selections count="1">
        <selection n="[Table_1].[Customer Segment].[All]"/>
      </selections>
    </olap>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Order_Priority" xr10:uid="{379D673A-5E62-4AB4-A8D2-5F727DAABCF1}" sourceName="[Table_1].[Order Priority]">
  <pivotTables>
    <pivotTable tabId="20" name="Didtribution_Cust.Segment"/>
    <pivotTable tabId="20" name="Distribution_LeastProfitCities"/>
    <pivotTable tabId="20" name="Distribution_LeastSellingCities"/>
    <pivotTable tabId="20" name="Distribution_LeastSellingProducts"/>
    <pivotTable tabId="20" name="Distribution_TopLossProducts"/>
    <pivotTable tabId="20" name="Distribution_TopProfitCities"/>
    <pivotTable tabId="20" name="Distribution_TopProfitProducts"/>
    <pivotTable tabId="20" name="Distribution_TopSellingCities"/>
    <pivotTable tabId="20" name="Distribution_TopSellingProducts"/>
  </pivotTables>
  <data>
    <olap pivotCacheId="384521452">
      <levels count="2">
        <level uniqueName="[Table_1].[Order Priority].[(All)]" sourceCaption="(All)" count="0"/>
        <level uniqueName="[Table_1].[Order Priority].[Order Priority]" sourceCaption="Order Priority" count="5">
          <ranges>
            <range startItem="0">
              <i n="[Table_1].[Order Priority].&amp;[Critical]" c="Critical"/>
              <i n="[Table_1].[Order Priority].&amp;[High]" c="High"/>
              <i n="[Table_1].[Order Priority].&amp;[Low]" c="Low"/>
              <i n="[Table_1].[Order Priority].&amp;[Medium]" c="Medium"/>
              <i n="[Table_1].[Order Priority].&amp;[N/A]" c="N/A"/>
            </range>
          </ranges>
        </level>
      </levels>
      <selections count="1">
        <selection n="[Table_1].[Order Priority].[All]"/>
      </selections>
    </olap>
  </data>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duct_Sub_Category" xr10:uid="{2C296ED4-6259-4FCF-BBFF-0F2DC387FDCE}" sourceName="[Table_1].[Product Sub-Category]">
  <pivotTables>
    <pivotTable tabId="20" name="Didtribution_OrderPriority"/>
    <pivotTable tabId="20" name="Didtribution_Cust.Segment"/>
    <pivotTable tabId="20" name="Distribution_TopProfitProducts"/>
    <pivotTable tabId="20" name="Distribution_TopSellingProducts"/>
    <pivotTable tabId="20" name="Distribution_LeastProfitCities"/>
    <pivotTable tabId="20" name="Distribution_LeastSellingCities"/>
    <pivotTable tabId="20" name="Distribution_LeastSellingProducts"/>
    <pivotTable tabId="20" name="Distribution_TopLossProducts"/>
    <pivotTable tabId="20" name="Distribution_TopProfitCities"/>
    <pivotTable tabId="20" name="Distribution_TopSellingCities"/>
  </pivotTables>
  <data>
    <olap pivotCacheId="1183887746">
      <levels count="2">
        <level uniqueName="[Table_1].[Product Sub-Category].[(All)]" sourceCaption="(All)" count="0"/>
        <level uniqueName="[Table_1].[Product Sub-Category].[Product Sub-Category]" sourceCaption="Product Sub-Category" count="17">
          <ranges>
            <range startItem="0">
              <i n="[Table_1].[Product Sub-Category].&amp;[Appliances]" c="Appliances"/>
              <i n="[Table_1].[Product Sub-Category].&amp;[Binders and Binder Accessories]" c="Binders and Binder Accessories"/>
              <i n="[Table_1].[Product Sub-Category].&amp;[Bookcases]" c="Bookcases"/>
              <i n="[Table_1].[Product Sub-Category].&amp;[Chairs &amp; Chairmats]" c="Chairs &amp; Chairmats"/>
              <i n="[Table_1].[Product Sub-Category].&amp;[Computer Peripherals]" c="Computer Peripherals"/>
              <i n="[Table_1].[Product Sub-Category].&amp;[Copiers and Fax]" c="Copiers and Fax"/>
              <i n="[Table_1].[Product Sub-Category].&amp;[Envelopes]" c="Envelopes"/>
              <i n="[Table_1].[Product Sub-Category].&amp;[Labels]" c="Labels"/>
              <i n="[Table_1].[Product Sub-Category].&amp;[Office Furnishings]" c="Office Furnishings"/>
              <i n="[Table_1].[Product Sub-Category].&amp;[Office Machines]" c="Office Machines"/>
              <i n="[Table_1].[Product Sub-Category].&amp;[Paper]" c="Paper"/>
              <i n="[Table_1].[Product Sub-Category].&amp;[Pens &amp; Art Supplies]" c="Pens &amp; Art Supplies"/>
              <i n="[Table_1].[Product Sub-Category].&amp;[Rubber Bands]" c="Rubber Bands"/>
              <i n="[Table_1].[Product Sub-Category].&amp;[Scissors, Rulers and Trimmers]" c="Scissors, Rulers and Trimmers"/>
              <i n="[Table_1].[Product Sub-Category].&amp;[Storage &amp; Organization]" c="Storage &amp; Organization"/>
              <i n="[Table_1].[Product Sub-Category].&amp;[Tables]" c="Tables"/>
              <i n="[Table_1].[Product Sub-Category].&amp;[Telephones and Communication]" c="Telephones and Communication"/>
            </range>
          </ranges>
        </level>
      </levels>
      <selections count="1">
        <selection n="[Table_1].[Product Sub-Category].[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roduct Category" xr10:uid="{F1568B4E-6A26-4691-81C2-45FE450ACC59}" cache="Slicer_Product_Category" columnCount="3" level="1" style="Slicer Style 1" lockedPosition="1" rowHeight="324000"/>
  <slicer name="Order Date (Month)" xr10:uid="{56AED562-A469-4DBA-895F-C4B3A3CCA94F}" cache="Slicer_Order_Date__Month" columnCount="6" level="1" style="Slicer Style 1" lockedPosition="1" rowHeight="225425"/>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ustomer Segment" xr10:uid="{CD519504-2850-44AF-8A52-96AE62A059EA}" cache="Slicer_Customer_Segment" caption="Consumer Segment" columnCount="4" level="1" style="Slicer Style 1 2" lockedPosition="1" rowHeight="225425"/>
  <slicer name="Manager" xr10:uid="{F6DD7321-8FE3-4149-8B57-69EA253A96B8}" cache="Slicer_Manager" caption="Regional Managers" columnCount="4" level="1" style="Slicer Style 1 2" lockedPosition="1" rowHeight="225425"/>
  <slicer name="Order Date (Month) 1" xr10:uid="{728B7233-5B48-4FB3-9BDE-1D8A0D0AA3EB}" cache="Slicer_Order_Date__Month1" caption="Monthly Fliter" columnCount="6" level="1" style="Slicer Style 1 2" lockedPosition="1" rowHeight="225425"/>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ustomer Segment 2" xr10:uid="{A3BB5B70-9237-4889-9474-1BFD19AB2F05}" cache="Slicer_Customer_Segment1" columnCount="4" level="1" style="Slicer Style 1 2" lockedPosition="1" rowHeight="225425"/>
  <slicer name="Order Priority" xr10:uid="{CF607CAB-7CD2-420B-B314-75C37537F3B8}" cache="Slicer_Order_Priority" columnCount="5" level="1" style="Slicer Style 1 2" lockedPosition="1" rowHeight="225425"/>
  <slicer name="Product Sub-Category" xr10:uid="{E590952F-9507-4524-A524-41A15856898F}" cache="Slicer_Product_Sub_Category" columnCount="9" level="1" style="Slicer Style 1 2" lockedPosition="1" rowHeight="225425"/>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roduct Category 2" xr10:uid="{7346601B-6DE1-4064-933D-C60CB45CFA2A}" cache="Slicer_Product_Category" level="1" style="Slicer Style 1" lockedPosition="1" rowHeight="225425"/>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_1" displayName="Table_1" ref="A1:AD1938" totalsRowCount="1" headerRowDxfId="61" dataDxfId="60" totalsRowDxfId="59">
  <autoFilter ref="A1:AD1937" xr:uid="{00000000-000C-0000-FFFF-FFFF00000000}"/>
  <sortState xmlns:xlrd2="http://schemas.microsoft.com/office/spreadsheetml/2017/richdata2" ref="A2:AD1937">
    <sortCondition ref="S1:S1937"/>
  </sortState>
  <tableColumns count="30">
    <tableColumn id="1" xr3:uid="{00000000-0010-0000-0000-000001000000}" name="Customer ID" dataDxfId="58" totalsRowDxfId="57"/>
    <tableColumn id="2" xr3:uid="{00000000-0010-0000-0000-000002000000}" name="Customer Name" dataDxfId="56" totalsRowDxfId="55"/>
    <tableColumn id="3" xr3:uid="{00000000-0010-0000-0000-000003000000}" name="Order Priority" dataDxfId="54" totalsRowDxfId="53"/>
    <tableColumn id="4" xr3:uid="{00000000-0010-0000-0000-000004000000}" name="Discount" dataDxfId="52" totalsRowDxfId="51"/>
    <tableColumn id="5" xr3:uid="{00000000-0010-0000-0000-000005000000}" name="Unit Price" dataDxfId="50" totalsRowDxfId="49"/>
    <tableColumn id="6" xr3:uid="{00000000-0010-0000-0000-000006000000}" name="Shipping Cost" totalsRowFunction="sum" dataDxfId="48" totalsRowDxfId="47"/>
    <tableColumn id="7" xr3:uid="{00000000-0010-0000-0000-000007000000}" name="Ship Mode" dataDxfId="46" totalsRowDxfId="45"/>
    <tableColumn id="8" xr3:uid="{00000000-0010-0000-0000-000008000000}" name="Customer Segment" dataDxfId="44" totalsRowDxfId="43"/>
    <tableColumn id="9" xr3:uid="{00000000-0010-0000-0000-000009000000}" name="Product Category" dataDxfId="42" totalsRowDxfId="41"/>
    <tableColumn id="10" xr3:uid="{00000000-0010-0000-0000-00000A000000}" name="Product Sub-Category" totalsRowFunction="custom" dataDxfId="40" totalsRowDxfId="39">
      <totalsRowFormula>COUNT(DataSheet!$J$2:$J$1937)</totalsRowFormula>
    </tableColumn>
    <tableColumn id="11" xr3:uid="{00000000-0010-0000-0000-00000B000000}" name="Product Container" dataDxfId="38" totalsRowDxfId="37"/>
    <tableColumn id="12" xr3:uid="{00000000-0010-0000-0000-00000C000000}" name="Product Name" dataDxfId="36" totalsRowDxfId="35"/>
    <tableColumn id="13" xr3:uid="{00000000-0010-0000-0000-00000D000000}" name="Product Base Margin" dataDxfId="34" totalsRowDxfId="33"/>
    <tableColumn id="14" xr3:uid="{00000000-0010-0000-0000-00000E000000}" name="Country" dataDxfId="32" totalsRowDxfId="31"/>
    <tableColumn id="15" xr3:uid="{00000000-0010-0000-0000-00000F000000}" name="Region" dataDxfId="30" totalsRowDxfId="29"/>
    <tableColumn id="16" xr3:uid="{00000000-0010-0000-0000-000010000000}" name="State or Province" dataDxfId="28" totalsRowDxfId="27"/>
    <tableColumn id="17" xr3:uid="{00000000-0010-0000-0000-000011000000}" name="City" dataDxfId="26" totalsRowDxfId="25"/>
    <tableColumn id="18" xr3:uid="{00000000-0010-0000-0000-000012000000}" name="Postal Code" dataDxfId="24" totalsRowDxfId="23"/>
    <tableColumn id="19" xr3:uid="{00000000-0010-0000-0000-000013000000}" name="Order Date" dataDxfId="22" totalsRowDxfId="21"/>
    <tableColumn id="20" xr3:uid="{00000000-0010-0000-0000-000014000000}" name="Ship Date" dataDxfId="20" totalsRowDxfId="19"/>
    <tableColumn id="21" xr3:uid="{00000000-0010-0000-0000-000015000000}" name="Profit" totalsRowFunction="sum" dataDxfId="18" totalsRowDxfId="17"/>
    <tableColumn id="22" xr3:uid="{00000000-0010-0000-0000-000016000000}" name="Quantity ordered new" dataDxfId="16" totalsRowDxfId="15"/>
    <tableColumn id="23" xr3:uid="{00000000-0010-0000-0000-000017000000}" name="Sales" dataDxfId="14" totalsRowDxfId="13"/>
    <tableColumn id="24" xr3:uid="{00000000-0010-0000-0000-000018000000}" name="Order ID" totalsRowFunction="countNums" dataDxfId="12"/>
    <tableColumn id="25" xr3:uid="{00000000-0010-0000-0000-000019000000}" name="Total" dataDxfId="11" totalsRowDxfId="10"/>
    <tableColumn id="26" xr3:uid="{00000000-0010-0000-0000-00001A000000}" name="Manager" dataDxfId="9" totalsRowDxfId="8"/>
    <tableColumn id="32" xr3:uid="{4AA82A38-907F-448F-B0F2-AC0739A5A8E3}" name="Dollar Discount" dataDxfId="7" totalsRowDxfId="6"/>
    <tableColumn id="33" xr3:uid="{8598C223-A85F-421C-A3A6-6CE324975790}" name="Gross Cost" dataDxfId="5" totalsRowDxfId="4"/>
    <tableColumn id="34" xr3:uid="{C5930121-7904-4A4E-9FED-EDD928B9615E}" name="Gross Profit" dataDxfId="3" totalsRowDxfId="2"/>
    <tableColumn id="35" xr3:uid="{06A02C17-C7E9-4F7A-BD00-55989649C908}" name="Cumulative cost" totalsRowFunction="sum" dataDxfId="1" totalsRowDxfId="0"/>
  </tableColumns>
  <tableStyleInfo name="DataSheet-style" showFirstColumn="1" showLastColumn="1" showRowStripes="1" showColumnStripes="0"/>
</table>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285F4"/>
      </a:accent1>
      <a:accent2>
        <a:srgbClr val="EA4335"/>
      </a:accent2>
      <a:accent3>
        <a:srgbClr val="FBBC04"/>
      </a:accent3>
      <a:accent4>
        <a:srgbClr val="34A853"/>
      </a:accent4>
      <a:accent5>
        <a:srgbClr val="FF6D01"/>
      </a:accent5>
      <a:accent6>
        <a:srgbClr val="46BDC6"/>
      </a:accent6>
      <a:hlink>
        <a:srgbClr val="1155CC"/>
      </a:hlink>
      <a:folHlink>
        <a:srgbClr val="1155CC"/>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26" Type="http://schemas.openxmlformats.org/officeDocument/2006/relationships/image" Target="../media/image12.emf"/><Relationship Id="rId21" Type="http://schemas.openxmlformats.org/officeDocument/2006/relationships/control" Target="../activeX/activeX10.xml"/><Relationship Id="rId34" Type="http://schemas.openxmlformats.org/officeDocument/2006/relationships/image" Target="../media/image16.emf"/><Relationship Id="rId42" Type="http://schemas.openxmlformats.org/officeDocument/2006/relationships/image" Target="../media/image20.emf"/><Relationship Id="rId47" Type="http://schemas.openxmlformats.org/officeDocument/2006/relationships/control" Target="../activeX/activeX23.xml"/><Relationship Id="rId50" Type="http://schemas.openxmlformats.org/officeDocument/2006/relationships/image" Target="../media/image24.emf"/><Relationship Id="rId55" Type="http://schemas.openxmlformats.org/officeDocument/2006/relationships/control" Target="../activeX/activeX27.xml"/><Relationship Id="rId63" Type="http://schemas.openxmlformats.org/officeDocument/2006/relationships/control" Target="../activeX/activeX31.xml"/><Relationship Id="rId7" Type="http://schemas.openxmlformats.org/officeDocument/2006/relationships/control" Target="../activeX/activeX3.xml"/><Relationship Id="rId2" Type="http://schemas.openxmlformats.org/officeDocument/2006/relationships/vmlDrawing" Target="../drawings/vmlDrawing1.vml"/><Relationship Id="rId16" Type="http://schemas.openxmlformats.org/officeDocument/2006/relationships/image" Target="../media/image7.emf"/><Relationship Id="rId29" Type="http://schemas.openxmlformats.org/officeDocument/2006/relationships/control" Target="../activeX/activeX14.xml"/><Relationship Id="rId11" Type="http://schemas.openxmlformats.org/officeDocument/2006/relationships/control" Target="../activeX/activeX5.xml"/><Relationship Id="rId24" Type="http://schemas.openxmlformats.org/officeDocument/2006/relationships/image" Target="../media/image11.emf"/><Relationship Id="rId32" Type="http://schemas.openxmlformats.org/officeDocument/2006/relationships/image" Target="../media/image15.emf"/><Relationship Id="rId37" Type="http://schemas.openxmlformats.org/officeDocument/2006/relationships/control" Target="../activeX/activeX18.xml"/><Relationship Id="rId40" Type="http://schemas.openxmlformats.org/officeDocument/2006/relationships/image" Target="../media/image19.emf"/><Relationship Id="rId45" Type="http://schemas.openxmlformats.org/officeDocument/2006/relationships/control" Target="../activeX/activeX22.xml"/><Relationship Id="rId53" Type="http://schemas.openxmlformats.org/officeDocument/2006/relationships/control" Target="../activeX/activeX26.xml"/><Relationship Id="rId58" Type="http://schemas.openxmlformats.org/officeDocument/2006/relationships/image" Target="../media/image28.emf"/><Relationship Id="rId66" Type="http://schemas.openxmlformats.org/officeDocument/2006/relationships/image" Target="../media/image32.emf"/><Relationship Id="rId5" Type="http://schemas.openxmlformats.org/officeDocument/2006/relationships/control" Target="../activeX/activeX2.xml"/><Relationship Id="rId61" Type="http://schemas.openxmlformats.org/officeDocument/2006/relationships/control" Target="../activeX/activeX30.xml"/><Relationship Id="rId19" Type="http://schemas.openxmlformats.org/officeDocument/2006/relationships/control" Target="../activeX/activeX9.xml"/><Relationship Id="rId14" Type="http://schemas.openxmlformats.org/officeDocument/2006/relationships/image" Target="../media/image6.emf"/><Relationship Id="rId22" Type="http://schemas.openxmlformats.org/officeDocument/2006/relationships/image" Target="../media/image10.emf"/><Relationship Id="rId27" Type="http://schemas.openxmlformats.org/officeDocument/2006/relationships/control" Target="../activeX/activeX13.xml"/><Relationship Id="rId30" Type="http://schemas.openxmlformats.org/officeDocument/2006/relationships/image" Target="../media/image14.emf"/><Relationship Id="rId35" Type="http://schemas.openxmlformats.org/officeDocument/2006/relationships/control" Target="../activeX/activeX17.xml"/><Relationship Id="rId43" Type="http://schemas.openxmlformats.org/officeDocument/2006/relationships/control" Target="../activeX/activeX21.xml"/><Relationship Id="rId48" Type="http://schemas.openxmlformats.org/officeDocument/2006/relationships/image" Target="../media/image23.emf"/><Relationship Id="rId56" Type="http://schemas.openxmlformats.org/officeDocument/2006/relationships/image" Target="../media/image27.emf"/><Relationship Id="rId64" Type="http://schemas.openxmlformats.org/officeDocument/2006/relationships/image" Target="../media/image31.emf"/><Relationship Id="rId8" Type="http://schemas.openxmlformats.org/officeDocument/2006/relationships/image" Target="../media/image3.emf"/><Relationship Id="rId51" Type="http://schemas.openxmlformats.org/officeDocument/2006/relationships/control" Target="../activeX/activeX25.xml"/><Relationship Id="rId3" Type="http://schemas.openxmlformats.org/officeDocument/2006/relationships/control" Target="../activeX/activeX1.xml"/><Relationship Id="rId12" Type="http://schemas.openxmlformats.org/officeDocument/2006/relationships/image" Target="../media/image5.emf"/><Relationship Id="rId17" Type="http://schemas.openxmlformats.org/officeDocument/2006/relationships/control" Target="../activeX/activeX8.xml"/><Relationship Id="rId25" Type="http://schemas.openxmlformats.org/officeDocument/2006/relationships/control" Target="../activeX/activeX12.xml"/><Relationship Id="rId33" Type="http://schemas.openxmlformats.org/officeDocument/2006/relationships/control" Target="../activeX/activeX16.xml"/><Relationship Id="rId38" Type="http://schemas.openxmlformats.org/officeDocument/2006/relationships/image" Target="../media/image18.emf"/><Relationship Id="rId46" Type="http://schemas.openxmlformats.org/officeDocument/2006/relationships/image" Target="../media/image22.emf"/><Relationship Id="rId59" Type="http://schemas.openxmlformats.org/officeDocument/2006/relationships/control" Target="../activeX/activeX29.xml"/><Relationship Id="rId67" Type="http://schemas.microsoft.com/office/2007/relationships/slicer" Target="../slicers/slicer1.xml"/><Relationship Id="rId20" Type="http://schemas.openxmlformats.org/officeDocument/2006/relationships/image" Target="../media/image9.emf"/><Relationship Id="rId41" Type="http://schemas.openxmlformats.org/officeDocument/2006/relationships/control" Target="../activeX/activeX20.xml"/><Relationship Id="rId54" Type="http://schemas.openxmlformats.org/officeDocument/2006/relationships/image" Target="../media/image26.emf"/><Relationship Id="rId62" Type="http://schemas.openxmlformats.org/officeDocument/2006/relationships/image" Target="../media/image30.emf"/><Relationship Id="rId1" Type="http://schemas.openxmlformats.org/officeDocument/2006/relationships/drawing" Target="../drawings/drawing1.xml"/><Relationship Id="rId6" Type="http://schemas.openxmlformats.org/officeDocument/2006/relationships/image" Target="../media/image2.emf"/><Relationship Id="rId15" Type="http://schemas.openxmlformats.org/officeDocument/2006/relationships/control" Target="../activeX/activeX7.xml"/><Relationship Id="rId23" Type="http://schemas.openxmlformats.org/officeDocument/2006/relationships/control" Target="../activeX/activeX11.xml"/><Relationship Id="rId28" Type="http://schemas.openxmlformats.org/officeDocument/2006/relationships/image" Target="../media/image13.emf"/><Relationship Id="rId36" Type="http://schemas.openxmlformats.org/officeDocument/2006/relationships/image" Target="../media/image17.emf"/><Relationship Id="rId49" Type="http://schemas.openxmlformats.org/officeDocument/2006/relationships/control" Target="../activeX/activeX24.xml"/><Relationship Id="rId57" Type="http://schemas.openxmlformats.org/officeDocument/2006/relationships/control" Target="../activeX/activeX28.xml"/><Relationship Id="rId10" Type="http://schemas.openxmlformats.org/officeDocument/2006/relationships/image" Target="../media/image4.emf"/><Relationship Id="rId31" Type="http://schemas.openxmlformats.org/officeDocument/2006/relationships/control" Target="../activeX/activeX15.xml"/><Relationship Id="rId44" Type="http://schemas.openxmlformats.org/officeDocument/2006/relationships/image" Target="../media/image21.emf"/><Relationship Id="rId52" Type="http://schemas.openxmlformats.org/officeDocument/2006/relationships/image" Target="../media/image25.emf"/><Relationship Id="rId60" Type="http://schemas.openxmlformats.org/officeDocument/2006/relationships/image" Target="../media/image29.emf"/><Relationship Id="rId65" Type="http://schemas.openxmlformats.org/officeDocument/2006/relationships/control" Target="../activeX/activeX32.xml"/><Relationship Id="rId4" Type="http://schemas.openxmlformats.org/officeDocument/2006/relationships/image" Target="../media/image1.emf"/><Relationship Id="rId9" Type="http://schemas.openxmlformats.org/officeDocument/2006/relationships/control" Target="../activeX/activeX4.xml"/><Relationship Id="rId13" Type="http://schemas.openxmlformats.org/officeDocument/2006/relationships/control" Target="../activeX/activeX6.xml"/><Relationship Id="rId18" Type="http://schemas.openxmlformats.org/officeDocument/2006/relationships/image" Target="../media/image8.emf"/><Relationship Id="rId39" Type="http://schemas.openxmlformats.org/officeDocument/2006/relationships/control" Target="../activeX/activeX19.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ctrlProp" Target="../ctrlProps/ctrlProp1.xml"/><Relationship Id="rId7" Type="http://schemas.openxmlformats.org/officeDocument/2006/relationships/ctrlProp" Target="../ctrlProps/ctrlProp5.xml"/><Relationship Id="rId2" Type="http://schemas.openxmlformats.org/officeDocument/2006/relationships/vmlDrawing" Target="../drawings/vmlDrawing2.vml"/><Relationship Id="rId1" Type="http://schemas.openxmlformats.org/officeDocument/2006/relationships/drawing" Target="../drawings/drawing2.xml"/><Relationship Id="rId6" Type="http://schemas.openxmlformats.org/officeDocument/2006/relationships/ctrlProp" Target="../ctrlProps/ctrlProp4.xml"/><Relationship Id="rId11" Type="http://schemas.microsoft.com/office/2007/relationships/slicer" Target="../slicers/slicer2.xml"/><Relationship Id="rId5" Type="http://schemas.openxmlformats.org/officeDocument/2006/relationships/ctrlProp" Target="../ctrlProps/ctrlProp3.xml"/><Relationship Id="rId10" Type="http://schemas.openxmlformats.org/officeDocument/2006/relationships/ctrlProp" Target="../ctrlProps/ctrlProp8.xml"/><Relationship Id="rId4" Type="http://schemas.openxmlformats.org/officeDocument/2006/relationships/ctrlProp" Target="../ctrlProps/ctrlProp2.xml"/><Relationship Id="rId9" Type="http://schemas.openxmlformats.org/officeDocument/2006/relationships/ctrlProp" Target="../ctrlProps/ctrlProp7.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14.xml"/><Relationship Id="rId13" Type="http://schemas.openxmlformats.org/officeDocument/2006/relationships/ctrlProp" Target="../ctrlProps/ctrlProp19.xml"/><Relationship Id="rId18" Type="http://schemas.openxmlformats.org/officeDocument/2006/relationships/ctrlProp" Target="../ctrlProps/ctrlProp24.xml"/><Relationship Id="rId3" Type="http://schemas.openxmlformats.org/officeDocument/2006/relationships/ctrlProp" Target="../ctrlProps/ctrlProp9.xml"/><Relationship Id="rId21" Type="http://schemas.microsoft.com/office/2007/relationships/slicer" Target="../slicers/slicer3.xml"/><Relationship Id="rId7" Type="http://schemas.openxmlformats.org/officeDocument/2006/relationships/ctrlProp" Target="../ctrlProps/ctrlProp13.xml"/><Relationship Id="rId12" Type="http://schemas.openxmlformats.org/officeDocument/2006/relationships/ctrlProp" Target="../ctrlProps/ctrlProp18.xml"/><Relationship Id="rId17" Type="http://schemas.openxmlformats.org/officeDocument/2006/relationships/ctrlProp" Target="../ctrlProps/ctrlProp23.xml"/><Relationship Id="rId2" Type="http://schemas.openxmlformats.org/officeDocument/2006/relationships/vmlDrawing" Target="../drawings/vmlDrawing3.vml"/><Relationship Id="rId16" Type="http://schemas.openxmlformats.org/officeDocument/2006/relationships/ctrlProp" Target="../ctrlProps/ctrlProp22.xml"/><Relationship Id="rId20" Type="http://schemas.openxmlformats.org/officeDocument/2006/relationships/ctrlProp" Target="../ctrlProps/ctrlProp26.xml"/><Relationship Id="rId1" Type="http://schemas.openxmlformats.org/officeDocument/2006/relationships/drawing" Target="../drawings/drawing3.xml"/><Relationship Id="rId6" Type="http://schemas.openxmlformats.org/officeDocument/2006/relationships/ctrlProp" Target="../ctrlProps/ctrlProp12.xml"/><Relationship Id="rId11" Type="http://schemas.openxmlformats.org/officeDocument/2006/relationships/ctrlProp" Target="../ctrlProps/ctrlProp17.xml"/><Relationship Id="rId5" Type="http://schemas.openxmlformats.org/officeDocument/2006/relationships/ctrlProp" Target="../ctrlProps/ctrlProp11.xml"/><Relationship Id="rId15" Type="http://schemas.openxmlformats.org/officeDocument/2006/relationships/ctrlProp" Target="../ctrlProps/ctrlProp21.xml"/><Relationship Id="rId10" Type="http://schemas.openxmlformats.org/officeDocument/2006/relationships/ctrlProp" Target="../ctrlProps/ctrlProp16.xml"/><Relationship Id="rId19" Type="http://schemas.openxmlformats.org/officeDocument/2006/relationships/ctrlProp" Target="../ctrlProps/ctrlProp25.xml"/><Relationship Id="rId4" Type="http://schemas.openxmlformats.org/officeDocument/2006/relationships/ctrlProp" Target="../ctrlProps/ctrlProp10.xml"/><Relationship Id="rId9" Type="http://schemas.openxmlformats.org/officeDocument/2006/relationships/ctrlProp" Target="../ctrlProps/ctrlProp15.xml"/><Relationship Id="rId14" Type="http://schemas.openxmlformats.org/officeDocument/2006/relationships/ctrlProp" Target="../ctrlProps/ctrlProp20.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32.xml"/><Relationship Id="rId13" Type="http://schemas.microsoft.com/office/2007/relationships/slicer" Target="../slicers/slicer4.xml"/><Relationship Id="rId3" Type="http://schemas.openxmlformats.org/officeDocument/2006/relationships/ctrlProp" Target="../ctrlProps/ctrlProp27.xml"/><Relationship Id="rId7" Type="http://schemas.openxmlformats.org/officeDocument/2006/relationships/ctrlProp" Target="../ctrlProps/ctrlProp31.xml"/><Relationship Id="rId12" Type="http://schemas.openxmlformats.org/officeDocument/2006/relationships/ctrlProp" Target="../ctrlProps/ctrlProp36.xml"/><Relationship Id="rId2" Type="http://schemas.openxmlformats.org/officeDocument/2006/relationships/vmlDrawing" Target="../drawings/vmlDrawing4.vml"/><Relationship Id="rId1" Type="http://schemas.openxmlformats.org/officeDocument/2006/relationships/drawing" Target="../drawings/drawing4.xml"/><Relationship Id="rId6" Type="http://schemas.openxmlformats.org/officeDocument/2006/relationships/ctrlProp" Target="../ctrlProps/ctrlProp30.xml"/><Relationship Id="rId11" Type="http://schemas.openxmlformats.org/officeDocument/2006/relationships/ctrlProp" Target="../ctrlProps/ctrlProp35.xml"/><Relationship Id="rId5" Type="http://schemas.openxmlformats.org/officeDocument/2006/relationships/ctrlProp" Target="../ctrlProps/ctrlProp29.xml"/><Relationship Id="rId10" Type="http://schemas.openxmlformats.org/officeDocument/2006/relationships/ctrlProp" Target="../ctrlProps/ctrlProp34.xml"/><Relationship Id="rId4" Type="http://schemas.openxmlformats.org/officeDocument/2006/relationships/ctrlProp" Target="../ctrlProps/ctrlProp28.xml"/><Relationship Id="rId9" Type="http://schemas.openxmlformats.org/officeDocument/2006/relationships/ctrlProp" Target="../ctrlProps/ctrlProp33.xml"/></Relationships>
</file>

<file path=xl/worksheets/_rels/sheet5.xml.rels><?xml version="1.0" encoding="UTF-8" standalone="yes"?>
<Relationships xmlns="http://schemas.openxmlformats.org/package/2006/relationships"><Relationship Id="rId8" Type="http://schemas.openxmlformats.org/officeDocument/2006/relationships/pivotTable" Target="../pivotTables/pivotTable8.xml"/><Relationship Id="rId13" Type="http://schemas.openxmlformats.org/officeDocument/2006/relationships/pivotTable" Target="../pivotTables/pivotTable13.xml"/><Relationship Id="rId18" Type="http://schemas.openxmlformats.org/officeDocument/2006/relationships/pivotTable" Target="../pivotTables/pivotTable18.xml"/><Relationship Id="rId3" Type="http://schemas.openxmlformats.org/officeDocument/2006/relationships/pivotTable" Target="../pivotTables/pivotTable3.xml"/><Relationship Id="rId21" Type="http://schemas.openxmlformats.org/officeDocument/2006/relationships/pivotTable" Target="../pivotTables/pivotTable21.xml"/><Relationship Id="rId7" Type="http://schemas.openxmlformats.org/officeDocument/2006/relationships/pivotTable" Target="../pivotTables/pivotTable7.xml"/><Relationship Id="rId12" Type="http://schemas.openxmlformats.org/officeDocument/2006/relationships/pivotTable" Target="../pivotTables/pivotTable12.xml"/><Relationship Id="rId17" Type="http://schemas.openxmlformats.org/officeDocument/2006/relationships/pivotTable" Target="../pivotTables/pivotTable17.xml"/><Relationship Id="rId2" Type="http://schemas.openxmlformats.org/officeDocument/2006/relationships/pivotTable" Target="../pivotTables/pivotTable2.xml"/><Relationship Id="rId16" Type="http://schemas.openxmlformats.org/officeDocument/2006/relationships/pivotTable" Target="../pivotTables/pivotTable16.xml"/><Relationship Id="rId20" Type="http://schemas.openxmlformats.org/officeDocument/2006/relationships/pivotTable" Target="../pivotTables/pivotTable20.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5" Type="http://schemas.openxmlformats.org/officeDocument/2006/relationships/pivotTable" Target="../pivotTables/pivotTable5.xml"/><Relationship Id="rId15" Type="http://schemas.openxmlformats.org/officeDocument/2006/relationships/pivotTable" Target="../pivotTables/pivotTable15.xml"/><Relationship Id="rId10" Type="http://schemas.openxmlformats.org/officeDocument/2006/relationships/pivotTable" Target="../pivotTables/pivotTable10.xml"/><Relationship Id="rId19" Type="http://schemas.openxmlformats.org/officeDocument/2006/relationships/pivotTable" Target="../pivotTables/pivotTable19.xml"/><Relationship Id="rId4" Type="http://schemas.openxmlformats.org/officeDocument/2006/relationships/pivotTable" Target="../pivotTables/pivotTable4.xml"/><Relationship Id="rId9" Type="http://schemas.openxmlformats.org/officeDocument/2006/relationships/pivotTable" Target="../pivotTables/pivotTable9.xml"/><Relationship Id="rId14" Type="http://schemas.openxmlformats.org/officeDocument/2006/relationships/pivotTable" Target="../pivotTables/pivotTable14.xml"/></Relationships>
</file>

<file path=xl/worksheets/_rels/sheet6.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098845-DBAB-4F79-98BB-F25AE3B661E7}">
  <sheetPr codeName="Sheet1">
    <tabColor theme="1"/>
  </sheetPr>
  <dimension ref="A1:AF36"/>
  <sheetViews>
    <sheetView showGridLines="0" showRowColHeaders="0" workbookViewId="0">
      <selection activeCell="A9" sqref="A9"/>
    </sheetView>
  </sheetViews>
  <sheetFormatPr defaultRowHeight="12.75" x14ac:dyDescent="0.2"/>
  <cols>
    <col min="1" max="16384" width="9.140625" style="2"/>
  </cols>
  <sheetData>
    <row r="1" spans="1:2" x14ac:dyDescent="0.2">
      <c r="A1" s="10"/>
    </row>
    <row r="2" spans="1:2" ht="12.75" customHeight="1" x14ac:dyDescent="0.2"/>
    <row r="3" spans="1:2" ht="12.75" customHeight="1" x14ac:dyDescent="0.2"/>
    <row r="4" spans="1:2" ht="12.75" customHeight="1" x14ac:dyDescent="0.2"/>
    <row r="5" spans="1:2" ht="12.75" customHeight="1" x14ac:dyDescent="0.2"/>
    <row r="6" spans="1:2" ht="12.75" customHeight="1" x14ac:dyDescent="0.25">
      <c r="B6" s="6"/>
    </row>
    <row r="7" spans="1:2" ht="12.75" customHeight="1" x14ac:dyDescent="0.25">
      <c r="B7" s="5"/>
    </row>
    <row r="8" spans="1:2" ht="12.75" customHeight="1" x14ac:dyDescent="0.25">
      <c r="B8" s="5"/>
    </row>
    <row r="9" spans="1:2" ht="12.75" customHeight="1" x14ac:dyDescent="0.2">
      <c r="B9" s="3"/>
    </row>
    <row r="10" spans="1:2" ht="12.75" customHeight="1" x14ac:dyDescent="0.2"/>
    <row r="11" spans="1:2" ht="12.75" customHeight="1" x14ac:dyDescent="0.2"/>
    <row r="12" spans="1:2" ht="12.75" customHeight="1" x14ac:dyDescent="0.2"/>
    <row r="13" spans="1:2" ht="12.75" customHeight="1" x14ac:dyDescent="0.2"/>
    <row r="14" spans="1:2" ht="12.75" customHeight="1" x14ac:dyDescent="0.2"/>
    <row r="15" spans="1:2" ht="12.75" customHeight="1" x14ac:dyDescent="0.2"/>
    <row r="16" spans="1:2" ht="12.75" customHeight="1" x14ac:dyDescent="0.2"/>
    <row r="17" spans="32:32" ht="12.75" customHeight="1" x14ac:dyDescent="0.2"/>
    <row r="18" spans="32:32" ht="12.75" customHeight="1" x14ac:dyDescent="0.2"/>
    <row r="19" spans="32:32" ht="12.75" customHeight="1" x14ac:dyDescent="0.2"/>
    <row r="20" spans="32:32" ht="12.75" customHeight="1" x14ac:dyDescent="0.2">
      <c r="AF20" s="7" t="s">
        <v>50</v>
      </c>
    </row>
    <row r="21" spans="32:32" ht="12.75" customHeight="1" x14ac:dyDescent="0.2"/>
    <row r="22" spans="32:32" ht="12.75" customHeight="1" x14ac:dyDescent="0.2"/>
    <row r="23" spans="32:32" ht="12.75" customHeight="1" x14ac:dyDescent="0.2"/>
    <row r="36" spans="6:6" x14ac:dyDescent="0.2">
      <c r="F36" s="4"/>
    </row>
  </sheetData>
  <sheetProtection algorithmName="SHA-512" hashValue="EMZBS1HTBEJE0vqU8VDWvzaq57WiZ1CUWqL2bm/slkcfZSkr5s3ZoJRoypg+44mCVKssbcTECVEEN3B3baIwbQ==" saltValue="rVE1WYWB0pvmGrJQCAhN+Q==" spinCount="100000" sheet="1" objects="1" scenarios="1" selectLockedCells="1" selectUnlockedCells="1"/>
  <pageMargins left="0.7" right="0.7" top="0.75" bottom="0.75" header="0.3" footer="0.3"/>
  <drawing r:id="rId1"/>
  <legacyDrawing r:id="rId2"/>
  <controls>
    <mc:AlternateContent xmlns:mc="http://schemas.openxmlformats.org/markup-compatibility/2006">
      <mc:Choice Requires="x14">
        <control shapeId="1304" r:id="rId3" name="Binders">
          <controlPr locked="0" defaultSize="0" autoLine="0" autoPict="0" r:id="rId4">
            <anchor moveWithCells="1">
              <from>
                <xdr:col>13</xdr:col>
                <xdr:colOff>381000</xdr:colOff>
                <xdr:row>43</xdr:row>
                <xdr:rowOff>0</xdr:rowOff>
              </from>
              <to>
                <xdr:col>15</xdr:col>
                <xdr:colOff>85725</xdr:colOff>
                <xdr:row>48</xdr:row>
                <xdr:rowOff>104775</xdr:rowOff>
              </to>
            </anchor>
          </controlPr>
        </control>
      </mc:Choice>
      <mc:Fallback>
        <control shapeId="1304" r:id="rId3" name="Binders"/>
      </mc:Fallback>
    </mc:AlternateContent>
    <mc:AlternateContent xmlns:mc="http://schemas.openxmlformats.org/markup-compatibility/2006">
      <mc:Choice Requires="x14">
        <control shapeId="1303" r:id="rId5" name="Chairs">
          <controlPr locked="0" defaultSize="0" autoLine="0" autoPict="0" r:id="rId6">
            <anchor moveWithCells="1">
              <from>
                <xdr:col>16</xdr:col>
                <xdr:colOff>419100</xdr:colOff>
                <xdr:row>42</xdr:row>
                <xdr:rowOff>114300</xdr:rowOff>
              </from>
              <to>
                <xdr:col>18</xdr:col>
                <xdr:colOff>276225</xdr:colOff>
                <xdr:row>49</xdr:row>
                <xdr:rowOff>0</xdr:rowOff>
              </to>
            </anchor>
          </controlPr>
        </control>
      </mc:Choice>
      <mc:Fallback>
        <control shapeId="1303" r:id="rId5" name="Chairs"/>
      </mc:Fallback>
    </mc:AlternateContent>
    <mc:AlternateContent xmlns:mc="http://schemas.openxmlformats.org/markup-compatibility/2006">
      <mc:Choice Requires="x14">
        <control shapeId="1302" r:id="rId7" name="Computer">
          <controlPr locked="0" defaultSize="0" autoLine="0" autoPict="0" r:id="rId8">
            <anchor moveWithCells="1">
              <from>
                <xdr:col>19</xdr:col>
                <xdr:colOff>438150</xdr:colOff>
                <xdr:row>45</xdr:row>
                <xdr:rowOff>104775</xdr:rowOff>
              </from>
              <to>
                <xdr:col>20</xdr:col>
                <xdr:colOff>542925</xdr:colOff>
                <xdr:row>49</xdr:row>
                <xdr:rowOff>114300</xdr:rowOff>
              </to>
            </anchor>
          </controlPr>
        </control>
      </mc:Choice>
      <mc:Fallback>
        <control shapeId="1302" r:id="rId7" name="Computer"/>
      </mc:Fallback>
    </mc:AlternateContent>
    <mc:AlternateContent xmlns:mc="http://schemas.openxmlformats.org/markup-compatibility/2006">
      <mc:Choice Requires="x14">
        <control shapeId="1301" r:id="rId9" name="Copiers">
          <controlPr locked="0" defaultSize="0" autoLine="0" autoPict="0" r:id="rId10">
            <anchor moveWithCells="1">
              <from>
                <xdr:col>20</xdr:col>
                <xdr:colOff>104775</xdr:colOff>
                <xdr:row>38</xdr:row>
                <xdr:rowOff>19050</xdr:rowOff>
              </from>
              <to>
                <xdr:col>21</xdr:col>
                <xdr:colOff>209550</xdr:colOff>
                <xdr:row>42</xdr:row>
                <xdr:rowOff>66675</xdr:rowOff>
              </to>
            </anchor>
          </controlPr>
        </control>
      </mc:Choice>
      <mc:Fallback>
        <control shapeId="1301" r:id="rId9" name="Copiers"/>
      </mc:Fallback>
    </mc:AlternateContent>
    <mc:AlternateContent xmlns:mc="http://schemas.openxmlformats.org/markup-compatibility/2006">
      <mc:Choice Requires="x14">
        <control shapeId="1300" r:id="rId11" name="Storage">
          <controlPr locked="0" defaultSize="0" autoLine="0" autoPict="0" r:id="rId12">
            <anchor moveWithCells="1">
              <from>
                <xdr:col>10</xdr:col>
                <xdr:colOff>523875</xdr:colOff>
                <xdr:row>26</xdr:row>
                <xdr:rowOff>66675</xdr:rowOff>
              </from>
              <to>
                <xdr:col>12</xdr:col>
                <xdr:colOff>209550</xdr:colOff>
                <xdr:row>31</xdr:row>
                <xdr:rowOff>114300</xdr:rowOff>
              </to>
            </anchor>
          </controlPr>
        </control>
      </mc:Choice>
      <mc:Fallback>
        <control shapeId="1300" r:id="rId11" name="Storage"/>
      </mc:Fallback>
    </mc:AlternateContent>
    <mc:AlternateContent xmlns:mc="http://schemas.openxmlformats.org/markup-compatibility/2006">
      <mc:Choice Requires="x14">
        <control shapeId="1299" r:id="rId13" name="Envelope">
          <controlPr locked="0" defaultSize="0" autoLine="0" autoPict="0" r:id="rId14">
            <anchor moveWithCells="1">
              <from>
                <xdr:col>22</xdr:col>
                <xdr:colOff>419100</xdr:colOff>
                <xdr:row>31</xdr:row>
                <xdr:rowOff>95250</xdr:rowOff>
              </from>
              <to>
                <xdr:col>23</xdr:col>
                <xdr:colOff>276225</xdr:colOff>
                <xdr:row>34</xdr:row>
                <xdr:rowOff>66675</xdr:rowOff>
              </to>
            </anchor>
          </controlPr>
        </control>
      </mc:Choice>
      <mc:Fallback>
        <control shapeId="1299" r:id="rId13" name="Envelope"/>
      </mc:Fallback>
    </mc:AlternateContent>
    <mc:AlternateContent xmlns:mc="http://schemas.openxmlformats.org/markup-compatibility/2006">
      <mc:Choice Requires="x14">
        <control shapeId="1298" r:id="rId15" name="LabelsProducts">
          <controlPr locked="0" defaultSize="0" autoLine="0" r:id="rId16">
            <anchor moveWithCells="1">
              <from>
                <xdr:col>20</xdr:col>
                <xdr:colOff>314325</xdr:colOff>
                <xdr:row>26</xdr:row>
                <xdr:rowOff>85725</xdr:rowOff>
              </from>
              <to>
                <xdr:col>21</xdr:col>
                <xdr:colOff>9525</xdr:colOff>
                <xdr:row>28</xdr:row>
                <xdr:rowOff>28575</xdr:rowOff>
              </to>
            </anchor>
          </controlPr>
        </control>
      </mc:Choice>
      <mc:Fallback>
        <control shapeId="1298" r:id="rId15" name="LabelsProducts"/>
      </mc:Fallback>
    </mc:AlternateContent>
    <mc:AlternateContent xmlns:mc="http://schemas.openxmlformats.org/markup-compatibility/2006">
      <mc:Choice Requires="x14">
        <control shapeId="1297" r:id="rId17" name="Scissors">
          <controlPr locked="0" defaultSize="0" autoLine="0" r:id="rId18">
            <anchor moveWithCells="1">
              <from>
                <xdr:col>12</xdr:col>
                <xdr:colOff>161925</xdr:colOff>
                <xdr:row>22</xdr:row>
                <xdr:rowOff>95250</xdr:rowOff>
              </from>
              <to>
                <xdr:col>12</xdr:col>
                <xdr:colOff>466725</xdr:colOff>
                <xdr:row>24</xdr:row>
                <xdr:rowOff>76200</xdr:rowOff>
              </to>
            </anchor>
          </controlPr>
        </control>
      </mc:Choice>
      <mc:Fallback>
        <control shapeId="1297" r:id="rId17" name="Scissors"/>
      </mc:Fallback>
    </mc:AlternateContent>
    <mc:AlternateContent xmlns:mc="http://schemas.openxmlformats.org/markup-compatibility/2006">
      <mc:Choice Requires="x14">
        <control shapeId="1296" r:id="rId19" name="RubberBand">
          <controlPr locked="0" defaultSize="0" autoLine="0" autoPict="0" r:id="rId20">
            <anchor moveWithCells="1">
              <from>
                <xdr:col>13</xdr:col>
                <xdr:colOff>133350</xdr:colOff>
                <xdr:row>17</xdr:row>
                <xdr:rowOff>9525</xdr:rowOff>
              </from>
              <to>
                <xdr:col>13</xdr:col>
                <xdr:colOff>381000</xdr:colOff>
                <xdr:row>18</xdr:row>
                <xdr:rowOff>152400</xdr:rowOff>
              </to>
            </anchor>
          </controlPr>
        </control>
      </mc:Choice>
      <mc:Fallback>
        <control shapeId="1296" r:id="rId19" name="RubberBand"/>
      </mc:Fallback>
    </mc:AlternateContent>
    <mc:AlternateContent xmlns:mc="http://schemas.openxmlformats.org/markup-compatibility/2006">
      <mc:Choice Requires="x14">
        <control shapeId="1295" r:id="rId21" name="Pens">
          <controlPr locked="0" defaultSize="0" autoLine="0" autoPict="0" r:id="rId22">
            <anchor moveWithCells="1">
              <from>
                <xdr:col>14</xdr:col>
                <xdr:colOff>523875</xdr:colOff>
                <xdr:row>20</xdr:row>
                <xdr:rowOff>85725</xdr:rowOff>
              </from>
              <to>
                <xdr:col>15</xdr:col>
                <xdr:colOff>400050</xdr:colOff>
                <xdr:row>22</xdr:row>
                <xdr:rowOff>152400</xdr:rowOff>
              </to>
            </anchor>
          </controlPr>
        </control>
      </mc:Choice>
      <mc:Fallback>
        <control shapeId="1295" r:id="rId21" name="Pens"/>
      </mc:Fallback>
    </mc:AlternateContent>
    <mc:AlternateContent xmlns:mc="http://schemas.openxmlformats.org/markup-compatibility/2006">
      <mc:Choice Requires="x14">
        <control shapeId="1294" r:id="rId23" name="Papers">
          <controlPr locked="0" defaultSize="0" autoLine="0" autoPict="0" r:id="rId24">
            <anchor moveWithCells="1">
              <from>
                <xdr:col>16</xdr:col>
                <xdr:colOff>123825</xdr:colOff>
                <xdr:row>16</xdr:row>
                <xdr:rowOff>66675</xdr:rowOff>
              </from>
              <to>
                <xdr:col>17</xdr:col>
                <xdr:colOff>47625</xdr:colOff>
                <xdr:row>19</xdr:row>
                <xdr:rowOff>104775</xdr:rowOff>
              </to>
            </anchor>
          </controlPr>
        </control>
      </mc:Choice>
      <mc:Fallback>
        <control shapeId="1294" r:id="rId23" name="Papers"/>
      </mc:Fallback>
    </mc:AlternateContent>
    <mc:AlternateContent xmlns:mc="http://schemas.openxmlformats.org/markup-compatibility/2006">
      <mc:Choice Requires="x14">
        <control shapeId="1293" r:id="rId25" name="Telephones">
          <controlPr locked="0" defaultSize="0" autoLine="0" autoPict="0" r:id="rId26">
            <anchor moveWithCells="1">
              <from>
                <xdr:col>22</xdr:col>
                <xdr:colOff>466725</xdr:colOff>
                <xdr:row>18</xdr:row>
                <xdr:rowOff>114300</xdr:rowOff>
              </from>
              <to>
                <xdr:col>24</xdr:col>
                <xdr:colOff>161925</xdr:colOff>
                <xdr:row>24</xdr:row>
                <xdr:rowOff>123825</xdr:rowOff>
              </to>
            </anchor>
          </controlPr>
        </control>
      </mc:Choice>
      <mc:Fallback>
        <control shapeId="1293" r:id="rId25" name="Telephones"/>
      </mc:Fallback>
    </mc:AlternateContent>
    <mc:AlternateContent xmlns:mc="http://schemas.openxmlformats.org/markup-compatibility/2006">
      <mc:Choice Requires="x14">
        <control shapeId="1292" r:id="rId27" name="OfficeFurn">
          <controlPr locked="0" defaultSize="0" autoLine="0" autoPict="0" r:id="rId28">
            <anchor moveWithCells="1">
              <from>
                <xdr:col>20</xdr:col>
                <xdr:colOff>133350</xdr:colOff>
                <xdr:row>17</xdr:row>
                <xdr:rowOff>152400</xdr:rowOff>
              </from>
              <to>
                <xdr:col>21</xdr:col>
                <xdr:colOff>238125</xdr:colOff>
                <xdr:row>22</xdr:row>
                <xdr:rowOff>9525</xdr:rowOff>
              </to>
            </anchor>
          </controlPr>
        </control>
      </mc:Choice>
      <mc:Fallback>
        <control shapeId="1292" r:id="rId27" name="OfficeFurn"/>
      </mc:Fallback>
    </mc:AlternateContent>
    <mc:AlternateContent xmlns:mc="http://schemas.openxmlformats.org/markup-compatibility/2006">
      <mc:Choice Requires="x14">
        <control shapeId="1291" r:id="rId29" name="OfficeMachine">
          <controlPr locked="0" defaultSize="0" autoLine="0" r:id="rId30">
            <anchor moveWithCells="1">
              <from>
                <xdr:col>17</xdr:col>
                <xdr:colOff>533400</xdr:colOff>
                <xdr:row>10</xdr:row>
                <xdr:rowOff>57150</xdr:rowOff>
              </from>
              <to>
                <xdr:col>19</xdr:col>
                <xdr:colOff>590550</xdr:colOff>
                <xdr:row>18</xdr:row>
                <xdr:rowOff>19050</xdr:rowOff>
              </to>
            </anchor>
          </controlPr>
        </control>
      </mc:Choice>
      <mc:Fallback>
        <control shapeId="1291" r:id="rId29" name="OfficeMachine"/>
      </mc:Fallback>
    </mc:AlternateContent>
    <mc:AlternateContent xmlns:mc="http://schemas.openxmlformats.org/markup-compatibility/2006">
      <mc:Choice Requires="x14">
        <control shapeId="1089" r:id="rId31" name="Bookcases">
          <controlPr locked="0" defaultSize="0" autoLine="0" autoPict="0" r:id="rId32">
            <anchor moveWithCells="1">
              <from>
                <xdr:col>12</xdr:col>
                <xdr:colOff>238125</xdr:colOff>
                <xdr:row>48</xdr:row>
                <xdr:rowOff>123825</xdr:rowOff>
              </from>
              <to>
                <xdr:col>13</xdr:col>
                <xdr:colOff>342900</xdr:colOff>
                <xdr:row>53</xdr:row>
                <xdr:rowOff>0</xdr:rowOff>
              </to>
            </anchor>
          </controlPr>
        </control>
      </mc:Choice>
      <mc:Fallback>
        <control shapeId="1089" r:id="rId31" name="Bookcases"/>
      </mc:Fallback>
    </mc:AlternateContent>
    <mc:AlternateContent xmlns:mc="http://schemas.openxmlformats.org/markup-compatibility/2006">
      <mc:Choice Requires="x14">
        <control shapeId="1088" r:id="rId33" name="Appliances">
          <controlPr locked="0" defaultSize="0" autoLine="0" autoPict="0" r:id="rId34">
            <anchor moveWithCells="1">
              <from>
                <xdr:col>11</xdr:col>
                <xdr:colOff>66675</xdr:colOff>
                <xdr:row>44</xdr:row>
                <xdr:rowOff>0</xdr:rowOff>
              </from>
              <to>
                <xdr:col>12</xdr:col>
                <xdr:colOff>104775</xdr:colOff>
                <xdr:row>47</xdr:row>
                <xdr:rowOff>114300</xdr:rowOff>
              </to>
            </anchor>
          </controlPr>
        </control>
      </mc:Choice>
      <mc:Fallback>
        <control shapeId="1088" r:id="rId33" name="Appliances"/>
      </mc:Fallback>
    </mc:AlternateContent>
    <mc:AlternateContent xmlns:mc="http://schemas.openxmlformats.org/markup-compatibility/2006">
      <mc:Choice Requires="x14">
        <control shapeId="1087" r:id="rId35" name="BindersandBinderAccessories">
          <controlPr locked="0" defaultSize="0" autoLine="0" r:id="rId36">
            <anchor moveWithCells="1">
              <from>
                <xdr:col>13</xdr:col>
                <xdr:colOff>342900</xdr:colOff>
                <xdr:row>42</xdr:row>
                <xdr:rowOff>104775</xdr:rowOff>
              </from>
              <to>
                <xdr:col>15</xdr:col>
                <xdr:colOff>66675</xdr:colOff>
                <xdr:row>48</xdr:row>
                <xdr:rowOff>66675</xdr:rowOff>
              </to>
            </anchor>
          </controlPr>
        </control>
      </mc:Choice>
      <mc:Fallback>
        <control shapeId="1087" r:id="rId35" name="BindersandBinderAccessories"/>
      </mc:Fallback>
    </mc:AlternateContent>
    <mc:AlternateContent xmlns:mc="http://schemas.openxmlformats.org/markup-compatibility/2006">
      <mc:Choice Requires="x14">
        <control shapeId="1086" r:id="rId37" name="ChairsandChairmats">
          <controlPr locked="0" defaultSize="0" autoLine="0" r:id="rId38">
            <anchor moveWithCells="1">
              <from>
                <xdr:col>16</xdr:col>
                <xdr:colOff>381000</xdr:colOff>
                <xdr:row>42</xdr:row>
                <xdr:rowOff>38100</xdr:rowOff>
              </from>
              <to>
                <xdr:col>18</xdr:col>
                <xdr:colOff>247650</xdr:colOff>
                <xdr:row>49</xdr:row>
                <xdr:rowOff>19050</xdr:rowOff>
              </to>
            </anchor>
          </controlPr>
        </control>
      </mc:Choice>
      <mc:Fallback>
        <control shapeId="1086" r:id="rId37" name="ChairsandChairmats"/>
      </mc:Fallback>
    </mc:AlternateContent>
    <mc:AlternateContent xmlns:mc="http://schemas.openxmlformats.org/markup-compatibility/2006">
      <mc:Choice Requires="x14">
        <control shapeId="1085" r:id="rId39" name="ComputerPeripherals">
          <controlPr locked="0" defaultSize="0" autoLine="0" r:id="rId40">
            <anchor moveWithCells="1">
              <from>
                <xdr:col>19</xdr:col>
                <xdr:colOff>457200</xdr:colOff>
                <xdr:row>45</xdr:row>
                <xdr:rowOff>47625</xdr:rowOff>
              </from>
              <to>
                <xdr:col>20</xdr:col>
                <xdr:colOff>533400</xdr:colOff>
                <xdr:row>49</xdr:row>
                <xdr:rowOff>133350</xdr:rowOff>
              </to>
            </anchor>
          </controlPr>
        </control>
      </mc:Choice>
      <mc:Fallback>
        <control shapeId="1085" r:id="rId39" name="ComputerPeripherals"/>
      </mc:Fallback>
    </mc:AlternateContent>
    <mc:AlternateContent xmlns:mc="http://schemas.openxmlformats.org/markup-compatibility/2006">
      <mc:Choice Requires="x14">
        <control shapeId="1084" r:id="rId41" name="CopiersandFax">
          <controlPr locked="0" defaultSize="0" autoLine="0" r:id="rId42">
            <anchor moveWithCells="1">
              <from>
                <xdr:col>20</xdr:col>
                <xdr:colOff>123825</xdr:colOff>
                <xdr:row>36</xdr:row>
                <xdr:rowOff>95250</xdr:rowOff>
              </from>
              <to>
                <xdr:col>21</xdr:col>
                <xdr:colOff>200025</xdr:colOff>
                <xdr:row>42</xdr:row>
                <xdr:rowOff>85725</xdr:rowOff>
              </to>
            </anchor>
          </controlPr>
        </control>
      </mc:Choice>
      <mc:Fallback>
        <control shapeId="1084" r:id="rId41" name="CopiersandFax"/>
      </mc:Fallback>
    </mc:AlternateContent>
    <mc:AlternateContent xmlns:mc="http://schemas.openxmlformats.org/markup-compatibility/2006">
      <mc:Choice Requires="x14">
        <control shapeId="1083" r:id="rId43" name="Tables">
          <controlPr locked="0" defaultSize="0" autoLine="0" autoPict="0" r:id="rId44">
            <anchor moveWithCells="1">
              <from>
                <xdr:col>12</xdr:col>
                <xdr:colOff>114300</xdr:colOff>
                <xdr:row>32</xdr:row>
                <xdr:rowOff>0</xdr:rowOff>
              </from>
              <to>
                <xdr:col>13</xdr:col>
                <xdr:colOff>476250</xdr:colOff>
                <xdr:row>38</xdr:row>
                <xdr:rowOff>9525</xdr:rowOff>
              </to>
            </anchor>
          </controlPr>
        </control>
      </mc:Choice>
      <mc:Fallback>
        <control shapeId="1083" r:id="rId43" name="Tables"/>
      </mc:Fallback>
    </mc:AlternateContent>
    <mc:AlternateContent xmlns:mc="http://schemas.openxmlformats.org/markup-compatibility/2006">
      <mc:Choice Requires="x14">
        <control shapeId="1082" r:id="rId45" name="StorageandOrganization">
          <controlPr locked="0" defaultSize="0" autoLine="0" r:id="rId46">
            <anchor moveWithCells="1">
              <from>
                <xdr:col>10</xdr:col>
                <xdr:colOff>476250</xdr:colOff>
                <xdr:row>25</xdr:row>
                <xdr:rowOff>142875</xdr:rowOff>
              </from>
              <to>
                <xdr:col>12</xdr:col>
                <xdr:colOff>190500</xdr:colOff>
                <xdr:row>31</xdr:row>
                <xdr:rowOff>133350</xdr:rowOff>
              </to>
            </anchor>
          </controlPr>
        </control>
      </mc:Choice>
      <mc:Fallback>
        <control shapeId="1082" r:id="rId45" name="StorageandOrganization"/>
      </mc:Fallback>
    </mc:AlternateContent>
    <mc:AlternateContent xmlns:mc="http://schemas.openxmlformats.org/markup-compatibility/2006">
      <mc:Choice Requires="x14">
        <control shapeId="1081" r:id="rId47" name="Envelopes">
          <controlPr locked="0" defaultSize="0" autoLine="0" r:id="rId48">
            <anchor moveWithCells="1">
              <from>
                <xdr:col>22</xdr:col>
                <xdr:colOff>438150</xdr:colOff>
                <xdr:row>31</xdr:row>
                <xdr:rowOff>0</xdr:rowOff>
              </from>
              <to>
                <xdr:col>23</xdr:col>
                <xdr:colOff>180975</xdr:colOff>
                <xdr:row>34</xdr:row>
                <xdr:rowOff>95250</xdr:rowOff>
              </to>
            </anchor>
          </controlPr>
        </control>
      </mc:Choice>
      <mc:Fallback>
        <control shapeId="1081" r:id="rId47" name="Envelopes"/>
      </mc:Fallback>
    </mc:AlternateContent>
    <mc:AlternateContent xmlns:mc="http://schemas.openxmlformats.org/markup-compatibility/2006">
      <mc:Choice Requires="x14">
        <control shapeId="1080" r:id="rId49" name="LabelsProduct">
          <controlPr locked="0" defaultSize="0" autoLine="0" r:id="rId50">
            <anchor moveWithCells="1">
              <from>
                <xdr:col>20</xdr:col>
                <xdr:colOff>257175</xdr:colOff>
                <xdr:row>24</xdr:row>
                <xdr:rowOff>114300</xdr:rowOff>
              </from>
              <to>
                <xdr:col>21</xdr:col>
                <xdr:colOff>9525</xdr:colOff>
                <xdr:row>28</xdr:row>
                <xdr:rowOff>57150</xdr:rowOff>
              </to>
            </anchor>
          </controlPr>
        </control>
      </mc:Choice>
      <mc:Fallback>
        <control shapeId="1080" r:id="rId49" name="LabelsProduct"/>
      </mc:Fallback>
    </mc:AlternateContent>
    <mc:AlternateContent xmlns:mc="http://schemas.openxmlformats.org/markup-compatibility/2006">
      <mc:Choice Requires="x14">
        <control shapeId="1079" r:id="rId51" name="ScissorsRulersandTrimmers">
          <controlPr locked="0" defaultSize="0" autoLine="0" r:id="rId52">
            <anchor moveWithCells="1">
              <from>
                <xdr:col>12</xdr:col>
                <xdr:colOff>142875</xdr:colOff>
                <xdr:row>21</xdr:row>
                <xdr:rowOff>152400</xdr:rowOff>
              </from>
              <to>
                <xdr:col>12</xdr:col>
                <xdr:colOff>438150</xdr:colOff>
                <xdr:row>24</xdr:row>
                <xdr:rowOff>95250</xdr:rowOff>
              </to>
            </anchor>
          </controlPr>
        </control>
      </mc:Choice>
      <mc:Fallback>
        <control shapeId="1079" r:id="rId51" name="ScissorsRulersandTrimmers"/>
      </mc:Fallback>
    </mc:AlternateContent>
    <mc:AlternateContent xmlns:mc="http://schemas.openxmlformats.org/markup-compatibility/2006">
      <mc:Choice Requires="x14">
        <control shapeId="1078" r:id="rId53" name="RubberBands">
          <controlPr locked="0" defaultSize="0" autoLine="0" r:id="rId54">
            <anchor moveWithCells="1">
              <from>
                <xdr:col>13</xdr:col>
                <xdr:colOff>85725</xdr:colOff>
                <xdr:row>16</xdr:row>
                <xdr:rowOff>133350</xdr:rowOff>
              </from>
              <to>
                <xdr:col>13</xdr:col>
                <xdr:colOff>390525</xdr:colOff>
                <xdr:row>19</xdr:row>
                <xdr:rowOff>19050</xdr:rowOff>
              </to>
            </anchor>
          </controlPr>
        </control>
      </mc:Choice>
      <mc:Fallback>
        <control shapeId="1078" r:id="rId53" name="RubberBands"/>
      </mc:Fallback>
    </mc:AlternateContent>
    <mc:AlternateContent xmlns:mc="http://schemas.openxmlformats.org/markup-compatibility/2006">
      <mc:Choice Requires="x14">
        <control shapeId="1077" r:id="rId55" name="PensAndArtSupplies">
          <controlPr locked="0" defaultSize="0" autoLine="0" r:id="rId56">
            <anchor moveWithCells="1">
              <from>
                <xdr:col>14</xdr:col>
                <xdr:colOff>542925</xdr:colOff>
                <xdr:row>19</xdr:row>
                <xdr:rowOff>85725</xdr:rowOff>
              </from>
              <to>
                <xdr:col>15</xdr:col>
                <xdr:colOff>333375</xdr:colOff>
                <xdr:row>23</xdr:row>
                <xdr:rowOff>19050</xdr:rowOff>
              </to>
            </anchor>
          </controlPr>
        </control>
      </mc:Choice>
      <mc:Fallback>
        <control shapeId="1077" r:id="rId55" name="PensAndArtSupplies"/>
      </mc:Fallback>
    </mc:AlternateContent>
    <mc:AlternateContent xmlns:mc="http://schemas.openxmlformats.org/markup-compatibility/2006">
      <mc:Choice Requires="x14">
        <control shapeId="1076" r:id="rId57" name="Paper">
          <controlPr locked="0" defaultSize="0" autoLine="0" r:id="rId58">
            <anchor moveWithCells="1">
              <from>
                <xdr:col>16</xdr:col>
                <xdr:colOff>85725</xdr:colOff>
                <xdr:row>15</xdr:row>
                <xdr:rowOff>9525</xdr:rowOff>
              </from>
              <to>
                <xdr:col>17</xdr:col>
                <xdr:colOff>47625</xdr:colOff>
                <xdr:row>19</xdr:row>
                <xdr:rowOff>123825</xdr:rowOff>
              </to>
            </anchor>
          </controlPr>
        </control>
      </mc:Choice>
      <mc:Fallback>
        <control shapeId="1076" r:id="rId57" name="Paper"/>
      </mc:Fallback>
    </mc:AlternateContent>
    <mc:AlternateContent xmlns:mc="http://schemas.openxmlformats.org/markup-compatibility/2006">
      <mc:Choice Requires="x14">
        <control shapeId="1068" r:id="rId59" name="TelephonesAndCommunication">
          <controlPr locked="0" defaultSize="0" autoLine="0" r:id="rId60">
            <anchor moveWithCells="1">
              <from>
                <xdr:col>22</xdr:col>
                <xdr:colOff>400050</xdr:colOff>
                <xdr:row>18</xdr:row>
                <xdr:rowOff>114300</xdr:rowOff>
              </from>
              <to>
                <xdr:col>24</xdr:col>
                <xdr:colOff>142875</xdr:colOff>
                <xdr:row>24</xdr:row>
                <xdr:rowOff>104775</xdr:rowOff>
              </to>
            </anchor>
          </controlPr>
        </control>
      </mc:Choice>
      <mc:Fallback>
        <control shapeId="1068" r:id="rId59" name="TelephonesAndCommunication"/>
      </mc:Fallback>
    </mc:AlternateContent>
    <mc:AlternateContent xmlns:mc="http://schemas.openxmlformats.org/markup-compatibility/2006">
      <mc:Choice Requires="x14">
        <control shapeId="1064" r:id="rId61" name="OfficeFurnishings">
          <controlPr locked="0" defaultSize="0" autoLine="0" r:id="rId62">
            <anchor moveWithCells="1">
              <from>
                <xdr:col>20</xdr:col>
                <xdr:colOff>114300</xdr:colOff>
                <xdr:row>17</xdr:row>
                <xdr:rowOff>114300</xdr:rowOff>
              </from>
              <to>
                <xdr:col>21</xdr:col>
                <xdr:colOff>142875</xdr:colOff>
                <xdr:row>22</xdr:row>
                <xdr:rowOff>28575</xdr:rowOff>
              </to>
            </anchor>
          </controlPr>
        </control>
      </mc:Choice>
      <mc:Fallback>
        <control shapeId="1064" r:id="rId61" name="OfficeFurnishings"/>
      </mc:Fallback>
    </mc:AlternateContent>
    <mc:AlternateContent xmlns:mc="http://schemas.openxmlformats.org/markup-compatibility/2006">
      <mc:Choice Requires="x14">
        <control shapeId="1059" r:id="rId63" name="Hide">
          <controlPr locked="0" defaultSize="0" autoLine="0" autoPict="0" r:id="rId64">
            <anchor moveWithCells="1">
              <from>
                <xdr:col>8</xdr:col>
                <xdr:colOff>295275</xdr:colOff>
                <xdr:row>3</xdr:row>
                <xdr:rowOff>47625</xdr:rowOff>
              </from>
              <to>
                <xdr:col>26</xdr:col>
                <xdr:colOff>133350</xdr:colOff>
                <xdr:row>56</xdr:row>
                <xdr:rowOff>19050</xdr:rowOff>
              </to>
            </anchor>
          </controlPr>
        </control>
      </mc:Choice>
      <mc:Fallback>
        <control shapeId="1059" r:id="rId63" name="Hide"/>
      </mc:Fallback>
    </mc:AlternateContent>
    <mc:AlternateContent xmlns:mc="http://schemas.openxmlformats.org/markup-compatibility/2006">
      <mc:Choice Requires="x14">
        <control shapeId="1033" r:id="rId65" name="OfficeMachines">
          <controlPr locked="0" defaultSize="0" autoLine="0" r:id="rId66">
            <anchor moveWithCells="1">
              <from>
                <xdr:col>17</xdr:col>
                <xdr:colOff>523875</xdr:colOff>
                <xdr:row>10</xdr:row>
                <xdr:rowOff>85725</xdr:rowOff>
              </from>
              <to>
                <xdr:col>19</xdr:col>
                <xdr:colOff>533400</xdr:colOff>
                <xdr:row>18</xdr:row>
                <xdr:rowOff>19050</xdr:rowOff>
              </to>
            </anchor>
          </controlPr>
        </control>
      </mc:Choice>
      <mc:Fallback>
        <control shapeId="1033" r:id="rId65" name="OfficeMachines"/>
      </mc:Fallback>
    </mc:AlternateContent>
  </controls>
  <extLst>
    <ext xmlns:x14="http://schemas.microsoft.com/office/spreadsheetml/2009/9/main" uri="{A8765BA9-456A-4dab-B4F3-ACF838C121DE}">
      <x14:slicerList>
        <x14:slicer r:id="rId67"/>
      </x14:slicerList>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896A70-7373-4AED-BBBF-A5F1197F43CF}">
  <sheetPr codeName="Sheet2">
    <tabColor theme="3"/>
  </sheetPr>
  <dimension ref="A1:AI181"/>
  <sheetViews>
    <sheetView showGridLines="0" showRowColHeaders="0" workbookViewId="0">
      <selection activeCell="A41" sqref="A41"/>
    </sheetView>
  </sheetViews>
  <sheetFormatPr defaultRowHeight="12.75" x14ac:dyDescent="0.2"/>
  <cols>
    <col min="1" max="16384" width="9.140625" style="2"/>
  </cols>
  <sheetData>
    <row r="1" spans="1:35" x14ac:dyDescent="0.2">
      <c r="A1" s="10"/>
    </row>
    <row r="5" spans="1:35" x14ac:dyDescent="0.2">
      <c r="AD5" s="17">
        <v>1</v>
      </c>
    </row>
    <row r="6" spans="1:35" x14ac:dyDescent="0.2">
      <c r="I6" s="7"/>
    </row>
    <row r="9" spans="1:35" x14ac:dyDescent="0.2">
      <c r="AI9" s="11"/>
    </row>
    <row r="10" spans="1:35" x14ac:dyDescent="0.2">
      <c r="AI10" s="11"/>
    </row>
    <row r="11" spans="1:35" x14ac:dyDescent="0.2">
      <c r="AI11" s="11"/>
    </row>
    <row r="12" spans="1:35" x14ac:dyDescent="0.2">
      <c r="AI12" s="11"/>
    </row>
    <row r="13" spans="1:35" x14ac:dyDescent="0.2">
      <c r="AI13" s="11"/>
    </row>
    <row r="14" spans="1:35" x14ac:dyDescent="0.2">
      <c r="AI14" s="11"/>
    </row>
    <row r="15" spans="1:35" x14ac:dyDescent="0.2">
      <c r="AI15" s="11"/>
    </row>
    <row r="16" spans="1:35" x14ac:dyDescent="0.2">
      <c r="AI16" s="11"/>
    </row>
    <row r="17" spans="35:35" x14ac:dyDescent="0.2">
      <c r="AI17" s="11"/>
    </row>
    <row r="18" spans="35:35" x14ac:dyDescent="0.2">
      <c r="AI18" s="11"/>
    </row>
    <row r="19" spans="35:35" x14ac:dyDescent="0.2">
      <c r="AI19" s="11"/>
    </row>
    <row r="20" spans="35:35" x14ac:dyDescent="0.2">
      <c r="AI20" s="11"/>
    </row>
    <row r="21" spans="35:35" x14ac:dyDescent="0.2">
      <c r="AI21" s="11"/>
    </row>
    <row r="22" spans="35:35" x14ac:dyDescent="0.2">
      <c r="AI22" s="11"/>
    </row>
    <row r="23" spans="35:35" x14ac:dyDescent="0.2">
      <c r="AI23" s="11"/>
    </row>
    <row r="24" spans="35:35" x14ac:dyDescent="0.2">
      <c r="AI24" s="11"/>
    </row>
    <row r="34" spans="2:29" ht="15" x14ac:dyDescent="0.2">
      <c r="B34" s="12"/>
      <c r="C34" s="12"/>
      <c r="D34" s="12"/>
      <c r="E34" s="12"/>
      <c r="F34" s="13"/>
      <c r="G34" s="13"/>
      <c r="H34" s="12"/>
      <c r="I34" s="12"/>
      <c r="J34" s="12"/>
      <c r="K34" s="12"/>
      <c r="L34" s="12"/>
      <c r="M34" s="13"/>
      <c r="N34" s="13"/>
      <c r="O34" s="12"/>
      <c r="P34" s="12"/>
      <c r="Q34" s="12"/>
      <c r="R34" s="12"/>
      <c r="S34" s="12"/>
      <c r="T34" s="12"/>
      <c r="U34" s="13"/>
      <c r="V34" s="13"/>
      <c r="W34" s="12"/>
      <c r="X34" s="12"/>
      <c r="Y34" s="12"/>
      <c r="Z34" s="12"/>
      <c r="AA34" s="12"/>
      <c r="AB34" s="12"/>
      <c r="AC34" s="18">
        <v>2</v>
      </c>
    </row>
    <row r="35" spans="2:29" ht="15" x14ac:dyDescent="0.2">
      <c r="B35" s="12"/>
      <c r="C35" s="12"/>
      <c r="D35" s="12"/>
      <c r="E35" s="12"/>
      <c r="F35" s="13"/>
      <c r="G35" s="13"/>
      <c r="H35" s="12"/>
      <c r="L35" s="12"/>
      <c r="M35" s="12"/>
      <c r="N35" s="12"/>
      <c r="O35" s="12"/>
      <c r="P35" s="12"/>
      <c r="Q35" s="12"/>
      <c r="R35" s="12"/>
      <c r="S35" s="12"/>
      <c r="T35" s="12"/>
      <c r="U35" s="13"/>
      <c r="V35" s="13"/>
      <c r="W35" s="12"/>
      <c r="X35" s="12"/>
      <c r="Y35" s="12"/>
      <c r="Z35" s="12"/>
      <c r="AA35" s="12"/>
      <c r="AB35" s="12"/>
      <c r="AC35" s="12"/>
    </row>
    <row r="36" spans="2:29" ht="15" x14ac:dyDescent="0.2">
      <c r="B36" s="12"/>
      <c r="C36" s="12"/>
      <c r="D36" s="12"/>
      <c r="E36" s="12"/>
      <c r="F36" s="13"/>
      <c r="G36" s="13"/>
      <c r="H36" s="12"/>
      <c r="L36" s="12"/>
      <c r="M36" s="12"/>
      <c r="N36" s="12"/>
      <c r="O36" s="12"/>
      <c r="P36" s="12"/>
      <c r="Q36" s="12"/>
      <c r="R36" s="12"/>
      <c r="S36" s="12"/>
      <c r="T36" s="12"/>
      <c r="U36" s="13"/>
      <c r="V36" s="13"/>
      <c r="W36" s="12"/>
      <c r="X36" s="12"/>
      <c r="Y36" s="12"/>
      <c r="Z36" s="12"/>
      <c r="AA36" s="12"/>
      <c r="AB36" s="12"/>
      <c r="AC36" s="12"/>
    </row>
    <row r="37" spans="2:29" ht="15" x14ac:dyDescent="0.2">
      <c r="B37" s="12"/>
      <c r="C37" s="12"/>
      <c r="D37" s="12"/>
      <c r="E37" s="12"/>
      <c r="F37" s="13"/>
      <c r="G37" s="13"/>
      <c r="H37" s="12"/>
      <c r="L37" s="12"/>
      <c r="M37" s="12"/>
      <c r="N37" s="12"/>
      <c r="O37" s="12"/>
      <c r="P37" s="12"/>
      <c r="Q37" s="12"/>
      <c r="R37" s="12"/>
      <c r="S37" s="12"/>
      <c r="T37" s="12"/>
      <c r="U37" s="13"/>
      <c r="V37" s="13"/>
      <c r="W37" s="12"/>
      <c r="X37" s="12"/>
      <c r="Y37" s="12"/>
      <c r="Z37" s="12"/>
      <c r="AA37" s="12"/>
      <c r="AB37" s="12"/>
      <c r="AC37" s="12"/>
    </row>
    <row r="38" spans="2:29" ht="15" x14ac:dyDescent="0.2">
      <c r="B38" s="12"/>
      <c r="C38" s="12"/>
      <c r="D38" s="12"/>
      <c r="E38" s="12"/>
      <c r="F38" s="13"/>
      <c r="G38" s="13"/>
      <c r="H38" s="12"/>
      <c r="L38" s="12"/>
      <c r="M38" s="12"/>
      <c r="N38" s="12"/>
      <c r="O38" s="12"/>
      <c r="P38" s="12"/>
      <c r="Q38" s="12"/>
      <c r="R38" s="12"/>
      <c r="S38" s="12"/>
      <c r="T38" s="12"/>
      <c r="U38" s="13"/>
      <c r="V38" s="13"/>
      <c r="W38" s="12"/>
      <c r="X38" s="12"/>
      <c r="Y38" s="12"/>
      <c r="Z38" s="12"/>
      <c r="AA38" s="12"/>
      <c r="AB38" s="12"/>
      <c r="AC38" s="12"/>
    </row>
    <row r="39" spans="2:29" ht="15" x14ac:dyDescent="0.2">
      <c r="B39" s="12"/>
      <c r="C39" s="12"/>
      <c r="D39" s="12"/>
      <c r="E39" s="12"/>
      <c r="F39" s="13"/>
      <c r="G39" s="13"/>
      <c r="H39" s="12"/>
      <c r="L39" s="12"/>
      <c r="M39" s="12"/>
      <c r="N39" s="12"/>
      <c r="O39" s="12"/>
      <c r="P39" s="12"/>
      <c r="Q39" s="12"/>
      <c r="R39" s="12"/>
      <c r="S39" s="12"/>
      <c r="T39" s="12"/>
      <c r="U39" s="13"/>
      <c r="V39" s="13"/>
      <c r="W39" s="12"/>
      <c r="X39" s="12"/>
      <c r="Y39" s="12"/>
      <c r="Z39" s="12"/>
      <c r="AA39" s="12"/>
      <c r="AB39" s="12"/>
      <c r="AC39" s="12"/>
    </row>
    <row r="40" spans="2:29" ht="15" x14ac:dyDescent="0.2">
      <c r="B40" s="12"/>
      <c r="C40" s="12"/>
      <c r="D40" s="12"/>
      <c r="E40" s="12"/>
      <c r="F40" s="13"/>
      <c r="G40" s="13"/>
      <c r="H40" s="12"/>
      <c r="L40" s="12"/>
      <c r="M40" s="12"/>
      <c r="N40" s="12"/>
      <c r="O40" s="12"/>
      <c r="P40" s="12"/>
      <c r="Q40" s="12"/>
      <c r="R40" s="12"/>
      <c r="S40" s="12"/>
      <c r="T40" s="12"/>
      <c r="U40" s="13"/>
      <c r="V40" s="13"/>
      <c r="W40" s="12"/>
      <c r="X40" s="12"/>
      <c r="Y40" s="12"/>
      <c r="Z40" s="12"/>
      <c r="AA40" s="12"/>
      <c r="AB40" s="12"/>
      <c r="AC40" s="12"/>
    </row>
    <row r="41" spans="2:29" ht="15" x14ac:dyDescent="0.2">
      <c r="B41" s="12"/>
      <c r="C41" s="12"/>
      <c r="D41" s="12"/>
      <c r="E41" s="12"/>
      <c r="F41" s="13"/>
      <c r="G41" s="13"/>
      <c r="H41" s="12"/>
      <c r="L41" s="12"/>
      <c r="M41" s="12"/>
      <c r="N41" s="12"/>
      <c r="O41" s="12"/>
      <c r="P41" s="12"/>
      <c r="Q41" s="12"/>
      <c r="R41" s="12"/>
      <c r="S41" s="12"/>
      <c r="T41" s="12"/>
      <c r="U41" s="13"/>
      <c r="V41" s="13"/>
      <c r="W41" s="12"/>
      <c r="X41" s="12"/>
      <c r="Y41" s="12"/>
      <c r="Z41" s="12"/>
      <c r="AA41" s="12"/>
      <c r="AB41" s="12"/>
      <c r="AC41" s="12"/>
    </row>
    <row r="42" spans="2:29" ht="15" x14ac:dyDescent="0.2">
      <c r="B42" s="12"/>
      <c r="C42" s="12"/>
      <c r="D42" s="12"/>
      <c r="E42" s="12"/>
      <c r="F42" s="13"/>
      <c r="G42" s="13"/>
      <c r="H42" s="12"/>
      <c r="L42" s="12"/>
      <c r="M42" s="12"/>
      <c r="N42" s="12"/>
      <c r="O42" s="12"/>
      <c r="P42" s="12"/>
      <c r="Q42" s="12"/>
      <c r="R42" s="12"/>
      <c r="S42" s="12"/>
      <c r="T42" s="12"/>
      <c r="U42" s="13"/>
      <c r="V42" s="13"/>
      <c r="W42" s="12"/>
      <c r="X42" s="12"/>
      <c r="Y42" s="12"/>
      <c r="Z42" s="12"/>
      <c r="AA42" s="12"/>
      <c r="AB42" s="12"/>
      <c r="AC42" s="12"/>
    </row>
    <row r="43" spans="2:29" ht="15" x14ac:dyDescent="0.2">
      <c r="B43" s="12"/>
      <c r="C43" s="12"/>
      <c r="D43" s="12"/>
      <c r="E43" s="12"/>
      <c r="F43" s="13"/>
      <c r="G43" s="13"/>
      <c r="H43" s="12"/>
      <c r="L43" s="12"/>
      <c r="M43" s="12"/>
      <c r="N43" s="12"/>
      <c r="O43" s="12"/>
      <c r="P43" s="12"/>
      <c r="Q43" s="12"/>
      <c r="R43" s="12"/>
      <c r="S43" s="12"/>
      <c r="T43" s="12"/>
      <c r="U43" s="13"/>
      <c r="V43" s="13"/>
      <c r="W43" s="12"/>
      <c r="X43" s="12"/>
      <c r="Y43" s="12"/>
      <c r="Z43" s="12"/>
      <c r="AA43" s="12"/>
      <c r="AB43" s="12"/>
      <c r="AC43" s="12"/>
    </row>
    <row r="44" spans="2:29" ht="15" x14ac:dyDescent="0.2">
      <c r="B44" s="12"/>
      <c r="C44" s="12"/>
      <c r="D44" s="12"/>
      <c r="E44" s="12"/>
      <c r="F44" s="13"/>
      <c r="G44" s="13"/>
      <c r="H44" s="12"/>
      <c r="L44" s="12"/>
      <c r="M44" s="12"/>
      <c r="N44" s="12"/>
      <c r="O44" s="12"/>
      <c r="P44" s="12"/>
      <c r="Q44" s="12"/>
      <c r="R44" s="12"/>
      <c r="S44" s="12"/>
      <c r="T44" s="12"/>
      <c r="U44" s="13"/>
      <c r="V44" s="13"/>
      <c r="W44" s="12"/>
      <c r="X44" s="12"/>
      <c r="Y44" s="12"/>
      <c r="Z44" s="12"/>
      <c r="AA44" s="12"/>
      <c r="AB44" s="12"/>
      <c r="AC44" s="12"/>
    </row>
    <row r="45" spans="2:29" ht="15" x14ac:dyDescent="0.2">
      <c r="B45" s="12"/>
      <c r="C45" s="12"/>
      <c r="D45" s="12"/>
      <c r="E45" s="12"/>
      <c r="F45" s="13"/>
      <c r="G45" s="13"/>
      <c r="H45" s="12"/>
      <c r="L45" s="12"/>
      <c r="M45" s="12"/>
      <c r="N45" s="12"/>
      <c r="O45" s="12"/>
      <c r="P45" s="12"/>
      <c r="Q45" s="12"/>
      <c r="R45" s="12"/>
      <c r="S45" s="12"/>
      <c r="T45" s="12"/>
      <c r="U45" s="13"/>
      <c r="V45" s="13"/>
      <c r="W45" s="12"/>
      <c r="X45" s="12"/>
      <c r="Y45" s="12"/>
      <c r="Z45" s="12"/>
      <c r="AA45" s="12"/>
      <c r="AB45" s="12"/>
      <c r="AC45" s="12"/>
    </row>
    <row r="46" spans="2:29" ht="15" x14ac:dyDescent="0.2">
      <c r="B46" s="12"/>
      <c r="C46" s="12"/>
      <c r="D46" s="12"/>
      <c r="E46" s="12"/>
      <c r="F46" s="13"/>
      <c r="G46" s="13"/>
      <c r="H46" s="12"/>
      <c r="L46" s="12"/>
      <c r="M46" s="12"/>
      <c r="N46" s="12"/>
      <c r="O46" s="12"/>
      <c r="P46" s="12"/>
      <c r="Q46" s="12"/>
      <c r="R46" s="12"/>
      <c r="S46" s="12"/>
      <c r="T46" s="12"/>
      <c r="U46" s="13"/>
      <c r="V46" s="13"/>
      <c r="W46" s="12"/>
      <c r="X46" s="12"/>
      <c r="Y46" s="12"/>
      <c r="Z46" s="12"/>
      <c r="AA46" s="12"/>
      <c r="AB46" s="12"/>
      <c r="AC46" s="12"/>
    </row>
    <row r="47" spans="2:29" ht="15" x14ac:dyDescent="0.2">
      <c r="B47" s="12"/>
      <c r="C47" s="12"/>
      <c r="D47" s="12"/>
      <c r="E47" s="12"/>
      <c r="F47" s="13"/>
      <c r="G47" s="13"/>
      <c r="H47" s="12"/>
      <c r="L47" s="12"/>
      <c r="M47" s="12"/>
      <c r="N47" s="12"/>
      <c r="O47" s="12"/>
      <c r="P47" s="12"/>
      <c r="Q47" s="12"/>
      <c r="R47" s="12"/>
      <c r="S47" s="12"/>
      <c r="T47" s="12"/>
      <c r="U47" s="13"/>
      <c r="V47" s="13"/>
      <c r="W47" s="12"/>
      <c r="X47" s="12"/>
      <c r="Y47" s="12"/>
      <c r="Z47" s="12"/>
      <c r="AA47" s="12"/>
      <c r="AB47" s="12"/>
      <c r="AC47" s="12"/>
    </row>
    <row r="48" spans="2:29" ht="15" x14ac:dyDescent="0.2">
      <c r="B48" s="12"/>
      <c r="C48" s="12"/>
      <c r="D48" s="12"/>
      <c r="E48" s="12"/>
      <c r="F48" s="13"/>
      <c r="G48" s="13"/>
      <c r="H48" s="12"/>
      <c r="L48" s="12"/>
      <c r="M48" s="12"/>
      <c r="N48" s="12"/>
      <c r="O48" s="12"/>
      <c r="P48" s="12"/>
      <c r="Q48" s="12"/>
      <c r="R48" s="12"/>
      <c r="S48" s="12"/>
      <c r="T48" s="12"/>
      <c r="U48" s="13"/>
      <c r="V48" s="13"/>
      <c r="W48" s="12"/>
      <c r="X48" s="12"/>
      <c r="Y48" s="12"/>
      <c r="Z48" s="12"/>
      <c r="AA48" s="12"/>
      <c r="AB48" s="12"/>
      <c r="AC48" s="12"/>
    </row>
    <row r="49" spans="2:29" ht="15" x14ac:dyDescent="0.2">
      <c r="B49" s="12"/>
      <c r="C49" s="12"/>
      <c r="D49" s="12"/>
      <c r="E49" s="12"/>
      <c r="F49" s="13"/>
      <c r="G49" s="13"/>
      <c r="H49" s="12"/>
      <c r="L49" s="12"/>
      <c r="M49" s="12"/>
      <c r="N49" s="12"/>
      <c r="O49" s="12"/>
      <c r="P49" s="12"/>
      <c r="Q49" s="12"/>
      <c r="R49" s="12"/>
      <c r="S49" s="12"/>
      <c r="T49" s="12"/>
      <c r="U49" s="13"/>
      <c r="V49" s="13"/>
      <c r="W49" s="12"/>
      <c r="X49" s="12"/>
      <c r="Y49" s="12"/>
      <c r="Z49" s="12"/>
      <c r="AA49" s="12"/>
      <c r="AB49" s="12"/>
      <c r="AC49" s="12"/>
    </row>
    <row r="50" spans="2:29" ht="15" x14ac:dyDescent="0.2">
      <c r="B50" s="12"/>
      <c r="C50" s="12"/>
      <c r="D50" s="12"/>
      <c r="E50" s="12"/>
      <c r="F50" s="13"/>
      <c r="G50" s="13"/>
      <c r="H50" s="12"/>
      <c r="I50" s="12"/>
      <c r="J50" s="12"/>
      <c r="K50" s="12"/>
      <c r="L50" s="12"/>
      <c r="M50" s="13"/>
      <c r="N50" s="13"/>
      <c r="O50" s="12"/>
      <c r="P50" s="12"/>
      <c r="Q50" s="12"/>
      <c r="R50" s="12"/>
      <c r="S50" s="12"/>
      <c r="T50" s="12"/>
      <c r="U50" s="13"/>
      <c r="V50" s="13"/>
      <c r="W50" s="12"/>
      <c r="X50" s="12"/>
      <c r="Y50" s="12"/>
      <c r="Z50" s="12"/>
      <c r="AA50" s="12"/>
      <c r="AB50" s="12"/>
      <c r="AC50" s="12"/>
    </row>
    <row r="51" spans="2:29" ht="15" x14ac:dyDescent="0.25">
      <c r="B51" s="6"/>
      <c r="C51" s="6"/>
      <c r="D51" s="6"/>
      <c r="E51" s="6"/>
      <c r="F51" s="14"/>
      <c r="G51" s="14"/>
      <c r="H51" s="6"/>
      <c r="I51" s="6"/>
      <c r="J51" s="6"/>
      <c r="K51" s="6"/>
      <c r="L51" s="6"/>
      <c r="M51" s="14"/>
      <c r="N51" s="14"/>
      <c r="O51" s="6"/>
      <c r="P51" s="6"/>
      <c r="Q51" s="6"/>
      <c r="R51" s="6"/>
      <c r="S51" s="6"/>
      <c r="T51" s="6"/>
      <c r="U51" s="14"/>
      <c r="V51" s="14"/>
      <c r="W51" s="6"/>
      <c r="X51" s="6"/>
      <c r="Y51" s="6"/>
      <c r="Z51" s="6"/>
      <c r="AA51" s="6"/>
      <c r="AB51" s="6"/>
      <c r="AC51" s="6"/>
    </row>
    <row r="52" spans="2:29" ht="15" x14ac:dyDescent="0.25">
      <c r="B52" s="6"/>
      <c r="C52" s="6"/>
      <c r="D52" s="6"/>
      <c r="E52" s="6"/>
      <c r="F52" s="14"/>
      <c r="G52" s="14"/>
      <c r="H52" s="6"/>
      <c r="I52" s="6"/>
      <c r="J52" s="6"/>
      <c r="K52" s="6"/>
      <c r="L52" s="6"/>
      <c r="M52" s="14"/>
      <c r="N52" s="14"/>
      <c r="O52" s="6"/>
      <c r="P52" s="6"/>
      <c r="Q52" s="6"/>
      <c r="R52" s="6"/>
      <c r="S52" s="6"/>
      <c r="T52" s="6"/>
      <c r="U52" s="14"/>
      <c r="V52" s="14"/>
      <c r="W52" s="6"/>
      <c r="X52" s="6"/>
      <c r="Y52" s="6"/>
      <c r="Z52" s="6"/>
      <c r="AA52" s="6"/>
      <c r="AB52" s="6"/>
      <c r="AC52" s="6"/>
    </row>
    <row r="53" spans="2:29" ht="15" x14ac:dyDescent="0.25">
      <c r="B53" s="6"/>
      <c r="C53" s="6"/>
      <c r="D53" s="6"/>
      <c r="E53" s="6"/>
      <c r="F53" s="6"/>
      <c r="G53" s="6"/>
      <c r="H53" s="6"/>
      <c r="I53" s="6"/>
      <c r="J53" s="6"/>
      <c r="K53" s="6"/>
      <c r="L53" s="6"/>
      <c r="M53" s="6"/>
      <c r="N53" s="6"/>
      <c r="O53" s="6"/>
      <c r="P53" s="6"/>
      <c r="Q53" s="6"/>
      <c r="R53" s="6"/>
      <c r="S53" s="6"/>
      <c r="T53" s="6"/>
      <c r="U53" s="6"/>
      <c r="V53" s="6"/>
      <c r="W53" s="6"/>
      <c r="X53" s="6"/>
      <c r="Y53" s="6"/>
      <c r="Z53" s="6"/>
      <c r="AA53" s="6"/>
      <c r="AB53" s="6"/>
      <c r="AC53" s="6"/>
    </row>
    <row r="54" spans="2:29" ht="15" x14ac:dyDescent="0.25">
      <c r="B54" s="6"/>
      <c r="C54" s="6"/>
      <c r="D54" s="6"/>
      <c r="E54" s="6"/>
      <c r="F54" s="6"/>
      <c r="G54" s="6"/>
      <c r="H54" s="6"/>
      <c r="I54" s="6"/>
      <c r="J54" s="6"/>
      <c r="K54" s="6"/>
      <c r="L54" s="6"/>
      <c r="M54" s="6"/>
      <c r="N54" s="6"/>
      <c r="O54" s="6"/>
      <c r="P54" s="6"/>
      <c r="Q54" s="6"/>
      <c r="R54" s="6"/>
      <c r="S54" s="6"/>
      <c r="T54" s="6"/>
      <c r="U54" s="6"/>
      <c r="V54" s="6"/>
      <c r="W54" s="6"/>
      <c r="X54" s="6"/>
      <c r="Y54" s="6"/>
      <c r="Z54" s="6"/>
      <c r="AA54" s="6"/>
      <c r="AB54" s="6"/>
      <c r="AC54" s="6"/>
    </row>
    <row r="55" spans="2:29" ht="15" x14ac:dyDescent="0.25">
      <c r="B55" s="6"/>
      <c r="C55" s="6"/>
      <c r="D55" s="6"/>
      <c r="E55" s="6"/>
      <c r="F55" s="6"/>
      <c r="G55" s="6"/>
      <c r="H55" s="6"/>
      <c r="I55" s="6"/>
      <c r="J55" s="6"/>
      <c r="K55" s="6"/>
      <c r="L55" s="6"/>
      <c r="M55" s="6"/>
      <c r="N55" s="6"/>
      <c r="O55" s="6"/>
      <c r="P55" s="6"/>
      <c r="Q55" s="6"/>
      <c r="R55" s="6"/>
      <c r="S55" s="6"/>
      <c r="T55" s="6"/>
      <c r="U55" s="6"/>
      <c r="V55" s="6"/>
      <c r="W55" s="6"/>
      <c r="X55" s="6"/>
      <c r="Y55" s="6"/>
      <c r="Z55" s="6"/>
      <c r="AA55" s="6"/>
      <c r="AB55" s="6"/>
      <c r="AC55" s="6"/>
    </row>
    <row r="56" spans="2:29" ht="15" x14ac:dyDescent="0.25">
      <c r="B56" s="6"/>
      <c r="C56" s="6"/>
      <c r="D56" s="6"/>
      <c r="E56" s="6"/>
      <c r="F56" s="6"/>
      <c r="G56" s="6"/>
      <c r="H56" s="6"/>
      <c r="I56" s="6"/>
      <c r="J56" s="6"/>
      <c r="K56" s="6"/>
      <c r="L56" s="6"/>
      <c r="M56" s="6"/>
      <c r="N56" s="6"/>
      <c r="O56" s="6"/>
      <c r="P56" s="6"/>
      <c r="Q56" s="6"/>
      <c r="R56" s="6"/>
      <c r="S56" s="6"/>
      <c r="T56" s="6"/>
      <c r="U56" s="6"/>
      <c r="V56" s="6"/>
      <c r="W56" s="6"/>
      <c r="X56" s="6"/>
      <c r="Y56" s="6"/>
      <c r="Z56" s="6"/>
      <c r="AA56" s="6"/>
      <c r="AB56" s="6"/>
      <c r="AC56" s="6"/>
    </row>
    <row r="57" spans="2:29" ht="15" x14ac:dyDescent="0.25">
      <c r="B57" s="6"/>
      <c r="C57" s="6"/>
      <c r="D57" s="6"/>
      <c r="E57" s="6"/>
      <c r="F57" s="6"/>
      <c r="G57" s="6"/>
      <c r="H57" s="6"/>
      <c r="I57" s="6"/>
      <c r="J57" s="6"/>
      <c r="K57" s="6"/>
      <c r="L57" s="6"/>
      <c r="M57" s="6"/>
      <c r="N57" s="6"/>
      <c r="O57" s="6"/>
      <c r="P57" s="6"/>
      <c r="Q57" s="6"/>
      <c r="R57" s="6"/>
      <c r="S57" s="6"/>
      <c r="T57" s="6"/>
      <c r="U57" s="6"/>
      <c r="V57" s="6"/>
      <c r="W57" s="6"/>
      <c r="X57" s="6"/>
      <c r="Y57" s="6"/>
      <c r="Z57" s="6"/>
      <c r="AA57" s="6"/>
      <c r="AB57" s="6"/>
      <c r="AC57" s="6"/>
    </row>
    <row r="58" spans="2:29" ht="15" x14ac:dyDescent="0.25">
      <c r="B58" s="6"/>
      <c r="C58" s="6"/>
      <c r="D58" s="6"/>
      <c r="E58" s="6"/>
      <c r="F58" s="6"/>
      <c r="G58" s="6"/>
      <c r="H58" s="6"/>
      <c r="I58" s="6"/>
      <c r="J58" s="6"/>
      <c r="K58" s="6"/>
      <c r="L58" s="6"/>
      <c r="M58" s="6"/>
      <c r="N58" s="6"/>
      <c r="O58" s="6"/>
      <c r="P58" s="6"/>
      <c r="Q58" s="6"/>
      <c r="R58" s="6"/>
      <c r="S58" s="6"/>
      <c r="T58" s="6"/>
      <c r="U58" s="6"/>
      <c r="V58" s="6"/>
      <c r="W58" s="6"/>
      <c r="X58" s="6"/>
      <c r="Y58" s="6"/>
      <c r="Z58" s="6"/>
      <c r="AA58" s="6"/>
      <c r="AB58" s="6"/>
      <c r="AC58" s="6"/>
    </row>
    <row r="59" spans="2:29" ht="15" x14ac:dyDescent="0.25">
      <c r="B59" s="6"/>
      <c r="C59" s="6"/>
      <c r="D59" s="6"/>
      <c r="E59" s="6"/>
      <c r="F59" s="6"/>
      <c r="G59" s="6"/>
      <c r="H59" s="6"/>
      <c r="I59" s="6"/>
      <c r="J59" s="6"/>
      <c r="K59" s="6"/>
      <c r="L59" s="6"/>
      <c r="M59" s="6"/>
      <c r="N59" s="6"/>
      <c r="O59" s="6"/>
      <c r="P59" s="6"/>
      <c r="Q59" s="6"/>
      <c r="R59" s="6"/>
      <c r="S59" s="6"/>
      <c r="T59" s="6"/>
      <c r="U59" s="6"/>
      <c r="V59" s="6"/>
      <c r="W59" s="6"/>
      <c r="X59" s="6"/>
      <c r="Y59" s="6"/>
      <c r="Z59" s="6"/>
      <c r="AA59" s="6"/>
      <c r="AB59" s="6"/>
      <c r="AC59" s="6"/>
    </row>
    <row r="60" spans="2:29" ht="15" x14ac:dyDescent="0.25">
      <c r="B60" s="6"/>
      <c r="C60" s="6"/>
      <c r="D60" s="6"/>
      <c r="E60" s="6"/>
      <c r="F60" s="6"/>
      <c r="G60" s="6"/>
      <c r="H60" s="6"/>
      <c r="I60" s="6"/>
      <c r="J60" s="6"/>
      <c r="K60" s="6"/>
      <c r="L60" s="6"/>
      <c r="M60" s="6"/>
      <c r="N60" s="6"/>
      <c r="O60" s="6"/>
      <c r="P60" s="6"/>
      <c r="Q60" s="6"/>
      <c r="R60" s="6"/>
      <c r="S60" s="6"/>
      <c r="T60" s="6"/>
      <c r="U60" s="6"/>
      <c r="V60" s="6"/>
      <c r="W60" s="6"/>
      <c r="X60" s="6"/>
      <c r="Y60" s="6"/>
      <c r="Z60" s="6"/>
      <c r="AA60" s="6"/>
      <c r="AB60" s="6"/>
      <c r="AC60" s="6"/>
    </row>
    <row r="61" spans="2:29" ht="15" x14ac:dyDescent="0.25">
      <c r="B61" s="6"/>
      <c r="C61" s="6"/>
      <c r="D61" s="6"/>
      <c r="E61" s="6"/>
      <c r="F61" s="6"/>
      <c r="G61" s="6"/>
      <c r="H61" s="6"/>
      <c r="I61" s="6"/>
      <c r="J61" s="6"/>
      <c r="K61" s="6"/>
      <c r="L61" s="6"/>
      <c r="M61" s="6"/>
      <c r="N61" s="6"/>
      <c r="O61" s="6"/>
      <c r="P61" s="6"/>
      <c r="Q61" s="6"/>
      <c r="R61" s="6"/>
      <c r="S61" s="6"/>
      <c r="T61" s="6"/>
      <c r="U61" s="6"/>
      <c r="V61" s="6"/>
      <c r="W61" s="6"/>
      <c r="X61" s="6"/>
      <c r="Y61" s="6"/>
      <c r="Z61" s="6"/>
      <c r="AA61" s="6"/>
      <c r="AB61" s="6"/>
      <c r="AC61" s="6"/>
    </row>
    <row r="62" spans="2:29" ht="15" x14ac:dyDescent="0.25">
      <c r="B62" s="6"/>
      <c r="C62" s="6"/>
      <c r="D62" s="6"/>
      <c r="E62" s="6"/>
      <c r="F62" s="6"/>
      <c r="G62" s="6"/>
      <c r="H62" s="6"/>
      <c r="I62" s="6"/>
      <c r="J62" s="6"/>
      <c r="K62" s="6"/>
      <c r="L62" s="6"/>
      <c r="M62" s="6"/>
      <c r="N62" s="6"/>
      <c r="O62" s="6"/>
      <c r="P62" s="6"/>
      <c r="Q62" s="6"/>
      <c r="R62" s="6"/>
      <c r="S62" s="6"/>
      <c r="T62" s="6"/>
      <c r="U62" s="6"/>
      <c r="V62" s="6"/>
      <c r="W62" s="6"/>
      <c r="X62" s="6"/>
      <c r="Y62" s="6"/>
      <c r="Z62" s="6"/>
      <c r="AA62" s="6"/>
      <c r="AB62" s="6"/>
      <c r="AC62" s="6"/>
    </row>
    <row r="63" spans="2:29" ht="15" x14ac:dyDescent="0.25">
      <c r="B63" s="6"/>
      <c r="C63" s="6"/>
      <c r="D63" s="6"/>
      <c r="E63" s="6"/>
      <c r="F63" s="6"/>
      <c r="G63" s="6"/>
      <c r="H63" s="6"/>
      <c r="I63" s="6"/>
      <c r="J63" s="6"/>
      <c r="K63" s="6"/>
      <c r="L63" s="6"/>
      <c r="M63" s="6"/>
      <c r="N63" s="6"/>
      <c r="O63" s="6"/>
      <c r="P63" s="6"/>
      <c r="Q63" s="6"/>
      <c r="R63" s="6"/>
      <c r="S63" s="6"/>
      <c r="T63" s="6"/>
      <c r="U63" s="6"/>
      <c r="V63" s="6"/>
      <c r="W63" s="6"/>
      <c r="X63" s="6"/>
      <c r="Y63" s="6"/>
      <c r="Z63" s="6"/>
      <c r="AA63" s="6"/>
      <c r="AB63" s="6"/>
      <c r="AC63" s="6"/>
    </row>
    <row r="64" spans="2:29" ht="15" x14ac:dyDescent="0.25">
      <c r="B64" s="6"/>
      <c r="C64" s="6"/>
      <c r="D64" s="6"/>
      <c r="E64" s="6"/>
      <c r="F64" s="6"/>
      <c r="G64" s="6"/>
      <c r="H64" s="6"/>
      <c r="I64" s="6"/>
      <c r="J64" s="6"/>
      <c r="K64" s="6"/>
      <c r="L64" s="6"/>
      <c r="M64" s="6"/>
      <c r="N64" s="6"/>
      <c r="O64" s="6"/>
      <c r="P64" s="6"/>
      <c r="Q64" s="6"/>
      <c r="R64" s="6"/>
      <c r="S64" s="6"/>
      <c r="T64" s="6"/>
      <c r="U64" s="6"/>
      <c r="V64" s="6"/>
      <c r="W64" s="6"/>
      <c r="X64" s="6"/>
      <c r="Y64" s="6"/>
      <c r="Z64" s="6"/>
      <c r="AA64" s="6"/>
      <c r="AB64" s="6"/>
      <c r="AC64" s="6"/>
    </row>
    <row r="65" spans="2:29" ht="15" x14ac:dyDescent="0.25">
      <c r="B65" s="6"/>
      <c r="C65" s="6"/>
      <c r="D65" s="6"/>
      <c r="E65" s="6"/>
      <c r="F65" s="6"/>
      <c r="G65" s="6"/>
      <c r="H65" s="6"/>
      <c r="I65" s="6"/>
      <c r="J65" s="6"/>
      <c r="K65" s="6"/>
      <c r="L65" s="6"/>
      <c r="M65" s="6"/>
      <c r="N65" s="6"/>
      <c r="O65" s="6"/>
      <c r="P65" s="6"/>
      <c r="Q65" s="6"/>
      <c r="R65" s="6"/>
      <c r="S65" s="6"/>
      <c r="T65" s="6"/>
      <c r="U65" s="6"/>
      <c r="V65" s="6"/>
      <c r="W65" s="6"/>
      <c r="X65" s="6"/>
      <c r="Y65" s="6"/>
      <c r="Z65" s="6"/>
      <c r="AA65" s="6"/>
      <c r="AB65" s="6"/>
      <c r="AC65" s="6"/>
    </row>
    <row r="66" spans="2:29" ht="15" x14ac:dyDescent="0.25">
      <c r="B66" s="6"/>
      <c r="C66" s="6"/>
      <c r="D66" s="6"/>
      <c r="E66" s="6"/>
      <c r="F66" s="6"/>
      <c r="G66" s="6"/>
      <c r="H66" s="6"/>
      <c r="I66" s="6"/>
      <c r="J66" s="6"/>
      <c r="K66" s="6"/>
      <c r="L66" s="6"/>
      <c r="M66" s="6"/>
      <c r="N66" s="6"/>
      <c r="O66" s="6"/>
      <c r="P66" s="6"/>
      <c r="Q66" s="6"/>
      <c r="R66" s="6"/>
      <c r="S66" s="6"/>
      <c r="T66" s="6"/>
      <c r="U66" s="6"/>
      <c r="V66" s="6"/>
      <c r="W66" s="6"/>
      <c r="X66" s="6"/>
      <c r="Y66" s="6"/>
      <c r="Z66" s="6"/>
      <c r="AA66" s="6"/>
      <c r="AB66" s="6"/>
      <c r="AC66" s="6"/>
    </row>
    <row r="67" spans="2:29" ht="15" x14ac:dyDescent="0.25">
      <c r="B67" s="6"/>
      <c r="C67" s="6"/>
      <c r="D67" s="6"/>
      <c r="E67" s="6"/>
      <c r="F67" s="6"/>
      <c r="G67" s="6"/>
      <c r="H67" s="6"/>
      <c r="I67" s="6"/>
      <c r="J67" s="6"/>
      <c r="K67" s="6"/>
      <c r="L67" s="6"/>
      <c r="M67" s="6"/>
      <c r="N67" s="6"/>
      <c r="O67" s="6"/>
      <c r="P67" s="6"/>
      <c r="Q67" s="6"/>
      <c r="R67" s="6"/>
      <c r="S67" s="6"/>
      <c r="T67" s="6"/>
      <c r="U67" s="6"/>
      <c r="V67" s="6"/>
      <c r="W67" s="6"/>
      <c r="X67" s="6"/>
      <c r="Y67" s="6"/>
      <c r="Z67" s="6"/>
      <c r="AA67" s="6"/>
      <c r="AB67" s="6"/>
      <c r="AC67" s="6"/>
    </row>
    <row r="68" spans="2:29" ht="15" x14ac:dyDescent="0.25">
      <c r="B68" s="6"/>
      <c r="C68" s="6"/>
      <c r="D68" s="6"/>
      <c r="E68" s="6"/>
      <c r="F68" s="6"/>
      <c r="G68" s="6"/>
      <c r="H68" s="6"/>
      <c r="I68" s="6"/>
      <c r="J68" s="6"/>
      <c r="K68" s="6"/>
      <c r="L68" s="6"/>
      <c r="M68" s="6"/>
      <c r="N68" s="6"/>
      <c r="O68" s="6"/>
      <c r="P68" s="6"/>
      <c r="Q68" s="6"/>
      <c r="R68" s="6"/>
      <c r="S68" s="6"/>
      <c r="T68" s="6"/>
      <c r="U68" s="6"/>
      <c r="V68" s="6"/>
      <c r="W68" s="6"/>
      <c r="X68" s="6"/>
      <c r="Y68" s="6"/>
      <c r="Z68" s="6"/>
      <c r="AA68" s="6"/>
      <c r="AB68" s="6"/>
      <c r="AC68" s="6"/>
    </row>
    <row r="69" spans="2:29" ht="15" x14ac:dyDescent="0.25">
      <c r="B69" s="6"/>
      <c r="C69" s="6"/>
      <c r="D69" s="6"/>
      <c r="E69" s="6"/>
      <c r="F69" s="6"/>
      <c r="G69" s="6"/>
      <c r="H69" s="6"/>
      <c r="I69" s="6"/>
      <c r="J69" s="6"/>
      <c r="K69" s="6"/>
      <c r="L69" s="6"/>
      <c r="M69" s="6"/>
      <c r="N69" s="6"/>
      <c r="O69" s="6"/>
      <c r="P69" s="6"/>
      <c r="Q69" s="6"/>
      <c r="R69" s="6"/>
      <c r="S69" s="6"/>
      <c r="T69" s="6"/>
      <c r="U69" s="6"/>
      <c r="V69" s="6"/>
      <c r="W69" s="6"/>
      <c r="X69" s="6"/>
      <c r="Y69" s="6"/>
      <c r="Z69" s="6"/>
      <c r="AA69" s="6"/>
      <c r="AB69" s="6"/>
      <c r="AC69" s="6"/>
    </row>
    <row r="70" spans="2:29" ht="15" x14ac:dyDescent="0.25">
      <c r="B70" s="6"/>
      <c r="C70" s="6"/>
      <c r="D70" s="6"/>
      <c r="E70" s="6"/>
      <c r="F70" s="6"/>
      <c r="G70" s="6"/>
      <c r="H70" s="6"/>
      <c r="I70" s="6"/>
      <c r="J70" s="6"/>
      <c r="K70" s="6"/>
      <c r="L70" s="6"/>
      <c r="M70" s="6"/>
      <c r="N70" s="6"/>
      <c r="O70" s="6"/>
      <c r="P70" s="6"/>
      <c r="Q70" s="6"/>
      <c r="R70" s="6"/>
      <c r="S70" s="6"/>
      <c r="T70" s="6"/>
      <c r="U70" s="6"/>
      <c r="V70" s="6"/>
      <c r="W70" s="6"/>
      <c r="X70" s="6"/>
      <c r="Y70" s="6"/>
      <c r="Z70" s="6"/>
      <c r="AA70" s="6"/>
      <c r="AB70" s="6"/>
      <c r="AC70" s="6"/>
    </row>
    <row r="71" spans="2:29" ht="15" x14ac:dyDescent="0.25">
      <c r="B71" s="6"/>
      <c r="C71" s="6"/>
      <c r="D71" s="6"/>
      <c r="E71" s="6"/>
      <c r="F71" s="6"/>
      <c r="G71" s="6"/>
      <c r="H71" s="6"/>
      <c r="I71" s="6"/>
      <c r="J71" s="6"/>
      <c r="K71" s="6"/>
      <c r="L71" s="6"/>
      <c r="M71" s="6"/>
      <c r="N71" s="6"/>
      <c r="O71" s="6"/>
      <c r="P71" s="6"/>
      <c r="Q71" s="6"/>
      <c r="R71" s="6"/>
      <c r="S71" s="6"/>
      <c r="T71" s="6"/>
      <c r="U71" s="6"/>
      <c r="V71" s="6"/>
      <c r="W71" s="6"/>
      <c r="X71" s="6"/>
      <c r="Y71" s="6"/>
      <c r="Z71" s="6"/>
      <c r="AA71" s="6"/>
      <c r="AB71" s="6"/>
      <c r="AC71" s="6"/>
    </row>
    <row r="72" spans="2:29" ht="15" x14ac:dyDescent="0.25">
      <c r="B72" s="6"/>
      <c r="C72" s="6"/>
      <c r="D72" s="6"/>
      <c r="E72" s="6"/>
      <c r="F72" s="6"/>
      <c r="G72" s="6"/>
      <c r="H72" s="6"/>
      <c r="I72" s="6"/>
      <c r="J72" s="6"/>
      <c r="K72" s="6"/>
      <c r="L72" s="6"/>
      <c r="M72" s="6"/>
      <c r="N72" s="6"/>
      <c r="O72" s="6"/>
      <c r="P72" s="6"/>
      <c r="Q72" s="6"/>
      <c r="R72" s="6"/>
      <c r="S72" s="6"/>
      <c r="T72" s="6"/>
      <c r="U72" s="6"/>
      <c r="V72" s="6"/>
      <c r="W72" s="6"/>
      <c r="X72" s="6"/>
      <c r="Y72" s="6"/>
      <c r="Z72" s="6"/>
      <c r="AA72" s="6"/>
      <c r="AB72" s="6"/>
      <c r="AC72" s="6"/>
    </row>
    <row r="73" spans="2:29" ht="15" x14ac:dyDescent="0.25">
      <c r="B73" s="6"/>
      <c r="C73" s="6"/>
      <c r="D73" s="6"/>
      <c r="E73" s="6"/>
      <c r="F73" s="6"/>
      <c r="G73" s="6"/>
      <c r="H73" s="6"/>
      <c r="I73" s="6"/>
      <c r="J73" s="6"/>
      <c r="K73" s="6"/>
      <c r="L73" s="6"/>
      <c r="M73" s="6"/>
      <c r="N73" s="6"/>
      <c r="O73" s="6"/>
      <c r="P73" s="6"/>
      <c r="Q73" s="6"/>
      <c r="R73" s="6"/>
      <c r="S73" s="6"/>
      <c r="T73" s="6"/>
      <c r="U73" s="6"/>
      <c r="V73" s="6"/>
      <c r="W73" s="6"/>
      <c r="X73" s="6"/>
      <c r="Y73" s="6"/>
      <c r="Z73" s="6"/>
      <c r="AA73" s="6"/>
      <c r="AB73" s="6"/>
      <c r="AC73" s="6"/>
    </row>
    <row r="74" spans="2:29" ht="15" x14ac:dyDescent="0.25">
      <c r="B74" s="6"/>
      <c r="C74" s="6"/>
      <c r="D74" s="6"/>
      <c r="E74" s="6"/>
      <c r="F74" s="6"/>
      <c r="G74" s="6"/>
      <c r="H74" s="6"/>
      <c r="I74" s="6"/>
      <c r="J74" s="6"/>
      <c r="K74" s="6"/>
      <c r="L74" s="6"/>
      <c r="M74" s="6"/>
      <c r="N74" s="6"/>
      <c r="O74" s="6"/>
      <c r="P74" s="6"/>
      <c r="Q74" s="6"/>
      <c r="R74" s="6"/>
      <c r="S74" s="6"/>
      <c r="T74" s="6"/>
      <c r="U74" s="6"/>
      <c r="V74" s="6"/>
      <c r="W74" s="6"/>
      <c r="X74" s="6"/>
      <c r="Y74" s="6"/>
      <c r="Z74" s="6"/>
      <c r="AA74" s="6"/>
      <c r="AB74" s="6"/>
      <c r="AC74" s="6"/>
    </row>
    <row r="75" spans="2:29" ht="15" x14ac:dyDescent="0.25">
      <c r="B75" s="6"/>
      <c r="C75" s="6"/>
      <c r="D75" s="6"/>
      <c r="E75" s="6"/>
      <c r="F75" s="6"/>
      <c r="G75" s="6"/>
      <c r="H75" s="6"/>
      <c r="I75" s="6"/>
      <c r="J75" s="6"/>
      <c r="K75" s="6"/>
      <c r="L75" s="6"/>
      <c r="M75" s="6"/>
      <c r="N75" s="6"/>
      <c r="O75" s="6"/>
      <c r="P75" s="6"/>
      <c r="Q75" s="6"/>
      <c r="R75" s="6"/>
      <c r="S75" s="6"/>
      <c r="T75" s="6"/>
      <c r="U75" s="6"/>
      <c r="V75" s="6"/>
      <c r="W75" s="6"/>
      <c r="X75" s="6"/>
      <c r="Y75" s="6"/>
      <c r="Z75" s="6"/>
      <c r="AA75" s="6"/>
      <c r="AB75" s="6"/>
      <c r="AC75" s="6"/>
    </row>
    <row r="76" spans="2:29" ht="15" x14ac:dyDescent="0.25">
      <c r="B76" s="6"/>
      <c r="C76" s="6"/>
      <c r="D76" s="6"/>
      <c r="E76" s="6"/>
      <c r="F76" s="6"/>
      <c r="G76" s="6"/>
      <c r="H76" s="6"/>
      <c r="I76" s="6"/>
      <c r="J76" s="6"/>
      <c r="K76" s="6"/>
      <c r="L76" s="6"/>
      <c r="M76" s="6"/>
      <c r="N76" s="6"/>
      <c r="O76" s="6"/>
      <c r="P76" s="6"/>
      <c r="Q76" s="6"/>
      <c r="R76" s="6"/>
      <c r="S76" s="6"/>
      <c r="T76" s="6"/>
      <c r="U76" s="6"/>
      <c r="V76" s="6"/>
      <c r="W76" s="6"/>
      <c r="X76" s="6"/>
      <c r="Y76" s="6"/>
      <c r="Z76" s="6"/>
      <c r="AA76" s="6"/>
      <c r="AB76" s="6"/>
      <c r="AC76" s="6"/>
    </row>
    <row r="77" spans="2:29" ht="15" x14ac:dyDescent="0.25">
      <c r="B77" s="6"/>
      <c r="C77" s="6"/>
      <c r="D77" s="6"/>
      <c r="E77" s="6"/>
      <c r="F77" s="6"/>
      <c r="G77" s="6"/>
      <c r="H77" s="6"/>
      <c r="I77" s="6"/>
      <c r="J77" s="6"/>
      <c r="K77" s="6"/>
      <c r="L77" s="6"/>
      <c r="M77" s="6"/>
      <c r="N77" s="6"/>
      <c r="O77" s="6"/>
      <c r="P77" s="6"/>
      <c r="Q77" s="6"/>
      <c r="R77" s="6"/>
      <c r="S77" s="6"/>
      <c r="T77" s="6"/>
      <c r="U77" s="6"/>
      <c r="V77" s="6"/>
      <c r="W77" s="6"/>
      <c r="X77" s="6"/>
      <c r="Y77" s="6"/>
      <c r="Z77" s="6"/>
      <c r="AA77" s="6"/>
      <c r="AB77" s="6"/>
      <c r="AC77" s="6"/>
    </row>
    <row r="78" spans="2:29" ht="15" x14ac:dyDescent="0.25">
      <c r="B78" s="6"/>
      <c r="C78" s="6"/>
      <c r="D78" s="6"/>
      <c r="E78" s="6"/>
      <c r="F78" s="6"/>
      <c r="G78" s="6"/>
      <c r="H78" s="6"/>
      <c r="I78" s="6"/>
      <c r="J78" s="6"/>
      <c r="K78" s="6"/>
      <c r="L78" s="6"/>
      <c r="M78" s="6"/>
      <c r="N78" s="6"/>
      <c r="O78" s="6"/>
      <c r="P78" s="6"/>
      <c r="Q78" s="6"/>
      <c r="R78" s="6"/>
      <c r="S78" s="6"/>
      <c r="T78" s="6"/>
      <c r="U78" s="6"/>
      <c r="V78" s="6"/>
      <c r="W78" s="6"/>
      <c r="X78" s="6"/>
      <c r="Y78" s="6"/>
      <c r="Z78" s="6"/>
      <c r="AA78" s="6"/>
      <c r="AB78" s="6"/>
      <c r="AC78" s="6"/>
    </row>
    <row r="79" spans="2:29" ht="15" x14ac:dyDescent="0.25">
      <c r="B79" s="6"/>
      <c r="C79" s="6"/>
      <c r="D79" s="6"/>
      <c r="E79" s="6"/>
      <c r="F79" s="6"/>
      <c r="G79" s="6"/>
      <c r="H79" s="6"/>
      <c r="I79" s="6"/>
      <c r="J79" s="6"/>
      <c r="K79" s="6"/>
      <c r="L79" s="6"/>
      <c r="M79" s="6"/>
      <c r="N79" s="6"/>
      <c r="O79" s="6"/>
      <c r="P79" s="6"/>
      <c r="Q79" s="6"/>
      <c r="R79" s="6"/>
      <c r="S79" s="6"/>
      <c r="T79" s="6"/>
      <c r="U79" s="6"/>
      <c r="V79" s="6"/>
      <c r="W79" s="6"/>
      <c r="X79" s="6"/>
      <c r="Y79" s="6"/>
      <c r="Z79" s="6"/>
      <c r="AA79" s="6"/>
      <c r="AB79" s="6"/>
      <c r="AC79" s="6"/>
    </row>
    <row r="80" spans="2:29" ht="15" x14ac:dyDescent="0.25">
      <c r="B80" s="6"/>
      <c r="C80" s="6"/>
      <c r="D80" s="6"/>
      <c r="E80" s="6"/>
      <c r="F80" s="6"/>
      <c r="G80" s="6"/>
      <c r="H80" s="6"/>
      <c r="I80" s="6"/>
      <c r="J80" s="6"/>
      <c r="K80" s="6"/>
      <c r="L80" s="6"/>
      <c r="M80" s="6"/>
      <c r="N80" s="6"/>
      <c r="O80" s="6"/>
      <c r="P80" s="6"/>
      <c r="Q80" s="6"/>
      <c r="R80" s="6"/>
      <c r="S80" s="6"/>
      <c r="T80" s="6"/>
      <c r="U80" s="6"/>
      <c r="V80" s="6"/>
      <c r="W80" s="6"/>
      <c r="X80" s="6"/>
      <c r="Y80" s="6"/>
      <c r="Z80" s="6"/>
      <c r="AA80" s="6"/>
      <c r="AB80" s="6"/>
      <c r="AC80" s="6"/>
    </row>
    <row r="81" spans="2:29" ht="15" x14ac:dyDescent="0.25">
      <c r="B81" s="6"/>
      <c r="C81" s="6"/>
      <c r="D81" s="6"/>
      <c r="E81" s="6"/>
      <c r="F81" s="6"/>
      <c r="G81" s="6"/>
      <c r="H81" s="6"/>
      <c r="I81" s="6"/>
      <c r="J81" s="6"/>
      <c r="K81" s="6"/>
      <c r="L81" s="6"/>
      <c r="M81" s="6"/>
      <c r="N81" s="6"/>
      <c r="O81" s="6"/>
      <c r="P81" s="6"/>
      <c r="Q81" s="6"/>
      <c r="R81" s="6"/>
      <c r="S81" s="6"/>
      <c r="T81" s="6"/>
      <c r="U81" s="6"/>
      <c r="V81" s="6"/>
      <c r="W81" s="6"/>
      <c r="X81" s="6"/>
      <c r="Y81" s="6"/>
      <c r="Z81" s="6"/>
      <c r="AA81" s="6"/>
      <c r="AB81" s="6"/>
      <c r="AC81" s="6"/>
    </row>
    <row r="82" spans="2:29" ht="15" x14ac:dyDescent="0.25">
      <c r="B82" s="6"/>
      <c r="C82" s="6"/>
      <c r="D82" s="6"/>
      <c r="E82" s="6"/>
      <c r="F82" s="6"/>
      <c r="G82" s="6"/>
      <c r="H82" s="6"/>
      <c r="I82" s="6"/>
      <c r="J82" s="6"/>
      <c r="K82" s="6"/>
      <c r="L82" s="6"/>
      <c r="M82" s="6"/>
      <c r="N82" s="6"/>
      <c r="O82" s="6"/>
      <c r="P82" s="6"/>
      <c r="Q82" s="6"/>
      <c r="R82" s="6"/>
      <c r="S82" s="6"/>
      <c r="T82" s="6"/>
      <c r="U82" s="6"/>
      <c r="V82" s="6"/>
      <c r="W82" s="6"/>
      <c r="X82" s="6"/>
      <c r="Y82" s="6"/>
      <c r="Z82" s="6"/>
      <c r="AA82" s="6"/>
      <c r="AB82" s="6"/>
      <c r="AC82" s="6"/>
    </row>
    <row r="83" spans="2:29" ht="15" x14ac:dyDescent="0.25">
      <c r="B83" s="6"/>
      <c r="C83" s="6"/>
      <c r="D83" s="6"/>
      <c r="E83" s="6"/>
      <c r="F83" s="6"/>
      <c r="G83" s="6"/>
      <c r="H83" s="6"/>
      <c r="I83" s="6"/>
      <c r="J83" s="6"/>
      <c r="K83" s="6"/>
      <c r="L83" s="6"/>
      <c r="M83" s="6"/>
      <c r="N83" s="6"/>
      <c r="O83" s="6"/>
      <c r="P83" s="6"/>
      <c r="Q83" s="6"/>
      <c r="R83" s="6"/>
      <c r="S83" s="6"/>
      <c r="T83" s="6"/>
      <c r="U83" s="6"/>
      <c r="V83" s="6"/>
      <c r="W83" s="6"/>
      <c r="X83" s="6"/>
      <c r="Y83" s="6"/>
      <c r="Z83" s="6"/>
      <c r="AA83" s="6"/>
      <c r="AB83" s="6"/>
      <c r="AC83" s="6"/>
    </row>
    <row r="84" spans="2:29" ht="15" x14ac:dyDescent="0.25">
      <c r="B84" s="6"/>
      <c r="C84" s="6"/>
      <c r="D84" s="6"/>
      <c r="E84" s="6"/>
      <c r="F84" s="6"/>
      <c r="G84" s="6"/>
      <c r="H84" s="6"/>
      <c r="I84" s="6"/>
      <c r="J84" s="6"/>
      <c r="K84" s="6"/>
      <c r="L84" s="6"/>
      <c r="M84" s="6"/>
      <c r="N84" s="6"/>
      <c r="O84" s="6"/>
      <c r="P84" s="6"/>
      <c r="Q84" s="6"/>
      <c r="R84" s="6"/>
      <c r="S84" s="6"/>
      <c r="T84" s="6"/>
      <c r="U84" s="6"/>
      <c r="V84" s="6"/>
      <c r="W84" s="6"/>
      <c r="X84" s="6"/>
      <c r="Y84" s="6"/>
      <c r="Z84" s="6"/>
      <c r="AA84" s="6"/>
      <c r="AB84" s="6"/>
      <c r="AC84" s="6"/>
    </row>
    <row r="85" spans="2:29" ht="15" x14ac:dyDescent="0.25">
      <c r="B85" s="6"/>
      <c r="C85" s="6"/>
      <c r="D85" s="6"/>
      <c r="E85" s="6"/>
      <c r="F85" s="6"/>
      <c r="G85" s="6"/>
      <c r="H85" s="6"/>
      <c r="I85" s="6"/>
      <c r="J85" s="6"/>
      <c r="K85" s="6"/>
      <c r="L85" s="6"/>
      <c r="M85" s="6"/>
      <c r="N85" s="6"/>
      <c r="O85" s="6"/>
      <c r="P85" s="6"/>
      <c r="Q85" s="6"/>
      <c r="R85" s="6"/>
      <c r="S85" s="6"/>
      <c r="T85" s="6"/>
      <c r="U85" s="6"/>
      <c r="V85" s="6"/>
      <c r="W85" s="6"/>
      <c r="X85" s="6"/>
      <c r="Y85" s="6"/>
      <c r="Z85" s="6"/>
      <c r="AA85" s="6"/>
      <c r="AB85" s="6"/>
      <c r="AC85" s="6"/>
    </row>
    <row r="86" spans="2:29" ht="15" x14ac:dyDescent="0.25">
      <c r="B86" s="6"/>
      <c r="C86" s="6"/>
      <c r="D86" s="6"/>
      <c r="E86" s="6"/>
      <c r="F86" s="6"/>
      <c r="G86" s="6"/>
      <c r="H86" s="6"/>
      <c r="I86" s="6"/>
      <c r="J86" s="6"/>
      <c r="K86" s="6"/>
      <c r="L86" s="6"/>
      <c r="M86" s="6"/>
      <c r="N86" s="6"/>
      <c r="O86" s="6"/>
      <c r="P86" s="6"/>
      <c r="Q86" s="6"/>
      <c r="R86" s="6"/>
      <c r="S86" s="6"/>
      <c r="T86" s="6"/>
      <c r="U86" s="6"/>
      <c r="V86" s="6"/>
      <c r="W86" s="6"/>
      <c r="X86" s="6"/>
      <c r="Y86" s="6"/>
      <c r="Z86" s="6"/>
      <c r="AA86" s="6"/>
      <c r="AB86" s="6"/>
      <c r="AC86" s="6"/>
    </row>
    <row r="87" spans="2:29" ht="15" x14ac:dyDescent="0.25">
      <c r="B87" s="6"/>
      <c r="C87" s="6"/>
      <c r="D87" s="6"/>
      <c r="E87" s="6"/>
      <c r="F87" s="6"/>
      <c r="G87" s="6"/>
      <c r="H87" s="6"/>
      <c r="I87" s="6"/>
      <c r="J87" s="6"/>
      <c r="K87" s="6"/>
      <c r="L87" s="6"/>
      <c r="M87" s="6"/>
      <c r="N87" s="6"/>
      <c r="O87" s="6"/>
      <c r="P87" s="6"/>
      <c r="Q87" s="6"/>
      <c r="R87" s="6"/>
      <c r="S87" s="6"/>
      <c r="T87" s="6"/>
      <c r="U87" s="6"/>
      <c r="V87" s="6"/>
      <c r="W87" s="6"/>
      <c r="X87" s="6"/>
      <c r="Y87" s="6"/>
      <c r="Z87" s="6"/>
      <c r="AA87" s="6"/>
      <c r="AB87" s="6"/>
      <c r="AC87" s="6"/>
    </row>
    <row r="88" spans="2:29" ht="15" x14ac:dyDescent="0.25">
      <c r="B88" s="6"/>
      <c r="C88" s="6"/>
      <c r="D88" s="6"/>
      <c r="E88" s="6"/>
      <c r="F88" s="6"/>
      <c r="G88" s="6"/>
      <c r="H88" s="6"/>
      <c r="I88" s="6"/>
      <c r="J88" s="6"/>
      <c r="K88" s="6"/>
      <c r="L88" s="6"/>
      <c r="M88" s="6"/>
      <c r="N88" s="6"/>
      <c r="O88" s="6"/>
      <c r="P88" s="6"/>
      <c r="Q88" s="6"/>
      <c r="R88" s="6"/>
      <c r="S88" s="6"/>
      <c r="T88" s="6"/>
      <c r="U88" s="6"/>
      <c r="V88" s="6"/>
      <c r="W88" s="6"/>
      <c r="X88" s="6"/>
      <c r="Y88" s="6"/>
      <c r="Z88" s="6"/>
      <c r="AA88" s="6"/>
      <c r="AB88" s="6"/>
      <c r="AC88" s="6"/>
    </row>
    <row r="89" spans="2:29" ht="15" x14ac:dyDescent="0.25">
      <c r="B89" s="6"/>
      <c r="C89" s="6"/>
      <c r="D89" s="6"/>
      <c r="E89" s="6"/>
      <c r="F89" s="6"/>
      <c r="G89" s="6"/>
      <c r="H89" s="6"/>
      <c r="I89" s="6"/>
      <c r="J89" s="6"/>
      <c r="K89" s="6"/>
      <c r="L89" s="6"/>
      <c r="M89" s="6"/>
      <c r="N89" s="6"/>
      <c r="O89" s="6"/>
      <c r="P89" s="6"/>
      <c r="Q89" s="6"/>
      <c r="R89" s="6"/>
      <c r="S89" s="6"/>
      <c r="T89" s="6"/>
      <c r="U89" s="6"/>
      <c r="V89" s="6"/>
      <c r="W89" s="6"/>
      <c r="X89" s="6"/>
      <c r="Y89" s="6"/>
      <c r="Z89" s="6"/>
      <c r="AA89" s="6"/>
      <c r="AB89" s="6"/>
      <c r="AC89" s="6"/>
    </row>
    <row r="90" spans="2:29" ht="15" x14ac:dyDescent="0.25">
      <c r="B90" s="6"/>
      <c r="C90" s="6"/>
      <c r="D90" s="6"/>
      <c r="E90" s="6"/>
      <c r="F90" s="6"/>
      <c r="G90" s="6"/>
      <c r="H90" s="6"/>
      <c r="I90" s="6"/>
      <c r="J90" s="6"/>
      <c r="K90" s="6"/>
      <c r="L90" s="6"/>
      <c r="M90" s="6"/>
      <c r="N90" s="6"/>
      <c r="O90" s="6"/>
      <c r="P90" s="6"/>
      <c r="Q90" s="6"/>
      <c r="R90" s="6"/>
      <c r="S90" s="6"/>
      <c r="T90" s="6"/>
      <c r="U90" s="6"/>
      <c r="V90" s="6"/>
      <c r="W90" s="6"/>
      <c r="X90" s="6"/>
      <c r="Y90" s="6"/>
      <c r="Z90" s="6"/>
      <c r="AA90" s="6"/>
      <c r="AB90" s="6"/>
      <c r="AC90" s="6"/>
    </row>
    <row r="91" spans="2:29" ht="15" x14ac:dyDescent="0.25">
      <c r="B91" s="6"/>
      <c r="C91" s="6"/>
      <c r="D91" s="6"/>
      <c r="E91" s="6"/>
      <c r="F91" s="6"/>
      <c r="G91" s="6"/>
      <c r="H91" s="6"/>
      <c r="I91" s="6"/>
      <c r="J91" s="6"/>
      <c r="K91" s="6"/>
      <c r="L91" s="6"/>
      <c r="M91" s="6"/>
      <c r="N91" s="6"/>
      <c r="O91" s="6"/>
      <c r="P91" s="6"/>
      <c r="Q91" s="6"/>
      <c r="R91" s="6"/>
      <c r="S91" s="6"/>
      <c r="T91" s="6"/>
      <c r="U91" s="6"/>
      <c r="V91" s="6"/>
      <c r="W91" s="6"/>
      <c r="X91" s="6"/>
      <c r="Y91" s="6"/>
      <c r="Z91" s="6"/>
      <c r="AA91" s="6"/>
      <c r="AB91" s="6"/>
      <c r="AC91" s="6"/>
    </row>
    <row r="92" spans="2:29" ht="15" x14ac:dyDescent="0.25">
      <c r="B92" s="6"/>
      <c r="C92" s="6"/>
      <c r="D92" s="6"/>
      <c r="E92" s="6"/>
      <c r="F92" s="6"/>
      <c r="G92" s="6"/>
      <c r="H92" s="6"/>
      <c r="I92" s="6"/>
      <c r="J92" s="6"/>
      <c r="K92" s="6"/>
      <c r="L92" s="6"/>
      <c r="M92" s="6"/>
      <c r="N92" s="6"/>
      <c r="O92" s="6"/>
      <c r="P92" s="6"/>
      <c r="Q92" s="6"/>
      <c r="R92" s="6"/>
      <c r="S92" s="6"/>
      <c r="T92" s="6"/>
      <c r="U92" s="6"/>
      <c r="V92" s="6"/>
      <c r="W92" s="6"/>
      <c r="X92" s="6"/>
      <c r="Y92" s="6"/>
      <c r="Z92" s="6"/>
      <c r="AA92" s="6"/>
      <c r="AB92" s="6"/>
      <c r="AC92" s="6"/>
    </row>
    <row r="93" spans="2:29" ht="15" x14ac:dyDescent="0.25">
      <c r="B93" s="6"/>
      <c r="C93" s="6"/>
      <c r="D93" s="6"/>
      <c r="E93" s="6"/>
      <c r="F93" s="6"/>
      <c r="G93" s="6"/>
      <c r="H93" s="6"/>
      <c r="I93" s="6"/>
      <c r="J93" s="6"/>
      <c r="K93" s="6"/>
      <c r="L93" s="6"/>
      <c r="M93" s="6"/>
      <c r="N93" s="6"/>
      <c r="O93" s="6"/>
      <c r="P93" s="6"/>
      <c r="Q93" s="6"/>
      <c r="R93" s="6"/>
      <c r="S93" s="6"/>
      <c r="T93" s="6"/>
      <c r="U93" s="6"/>
      <c r="V93" s="6"/>
      <c r="W93" s="6"/>
      <c r="X93" s="6"/>
      <c r="Y93" s="6"/>
      <c r="Z93" s="6"/>
      <c r="AA93" s="6"/>
      <c r="AB93" s="6"/>
      <c r="AC93" s="6"/>
    </row>
    <row r="94" spans="2:29" ht="15" x14ac:dyDescent="0.25">
      <c r="B94" s="6"/>
      <c r="C94" s="6"/>
      <c r="D94" s="6"/>
      <c r="E94" s="6"/>
      <c r="F94" s="6"/>
      <c r="G94" s="6"/>
      <c r="H94" s="6"/>
      <c r="I94" s="6"/>
      <c r="J94" s="6"/>
      <c r="K94" s="6"/>
      <c r="L94" s="6"/>
      <c r="M94" s="6"/>
      <c r="N94" s="6"/>
      <c r="O94" s="6"/>
      <c r="P94" s="6"/>
      <c r="Q94" s="6"/>
      <c r="R94" s="6"/>
      <c r="S94" s="6"/>
      <c r="T94" s="6"/>
      <c r="U94" s="6"/>
      <c r="V94" s="6"/>
      <c r="W94" s="6"/>
      <c r="X94" s="6"/>
      <c r="Y94" s="6"/>
      <c r="Z94" s="6"/>
      <c r="AA94" s="6"/>
      <c r="AB94" s="6"/>
      <c r="AC94" s="6"/>
    </row>
    <row r="95" spans="2:29" ht="15" x14ac:dyDescent="0.25">
      <c r="B95" s="6"/>
      <c r="C95" s="6"/>
      <c r="D95" s="6"/>
      <c r="E95" s="6"/>
      <c r="F95" s="6"/>
      <c r="G95" s="6"/>
      <c r="H95" s="6"/>
      <c r="I95" s="6"/>
      <c r="J95" s="6"/>
      <c r="K95" s="6"/>
      <c r="L95" s="6"/>
      <c r="M95" s="6"/>
      <c r="N95" s="6"/>
      <c r="O95" s="6"/>
      <c r="P95" s="6"/>
      <c r="Q95" s="6"/>
      <c r="R95" s="6"/>
      <c r="S95" s="6"/>
      <c r="T95" s="6"/>
      <c r="U95" s="6"/>
      <c r="V95" s="6"/>
      <c r="W95" s="6"/>
      <c r="X95" s="6"/>
      <c r="Y95" s="6"/>
      <c r="Z95" s="6"/>
      <c r="AA95" s="6"/>
      <c r="AB95" s="6"/>
      <c r="AC95" s="6"/>
    </row>
    <row r="96" spans="2:29" ht="15" x14ac:dyDescent="0.25">
      <c r="B96" s="6"/>
      <c r="C96" s="6"/>
      <c r="D96" s="6"/>
      <c r="E96" s="6"/>
      <c r="F96" s="6"/>
      <c r="G96" s="6"/>
      <c r="H96" s="6"/>
      <c r="I96" s="6"/>
      <c r="J96" s="6"/>
      <c r="K96" s="6"/>
      <c r="L96" s="6"/>
      <c r="M96" s="6"/>
      <c r="N96" s="6"/>
      <c r="O96" s="6"/>
      <c r="P96" s="6"/>
      <c r="Q96" s="6"/>
      <c r="R96" s="6"/>
      <c r="S96" s="6"/>
      <c r="T96" s="6"/>
      <c r="U96" s="6"/>
      <c r="V96" s="6"/>
      <c r="W96" s="6"/>
      <c r="X96" s="6"/>
      <c r="Y96" s="6"/>
      <c r="Z96" s="6"/>
      <c r="AA96" s="6"/>
      <c r="AB96" s="6"/>
      <c r="AC96" s="6"/>
    </row>
    <row r="97" spans="2:29" ht="15" x14ac:dyDescent="0.25">
      <c r="B97" s="6"/>
      <c r="C97" s="6"/>
      <c r="D97" s="6"/>
      <c r="E97" s="6"/>
      <c r="F97" s="6"/>
      <c r="G97" s="6"/>
      <c r="H97" s="6"/>
      <c r="I97" s="6"/>
      <c r="J97" s="6"/>
      <c r="K97" s="6"/>
      <c r="L97" s="6"/>
      <c r="M97" s="6"/>
      <c r="N97" s="6"/>
      <c r="O97" s="6"/>
      <c r="P97" s="6"/>
      <c r="Q97" s="6"/>
      <c r="R97" s="6"/>
      <c r="S97" s="6"/>
      <c r="T97" s="6"/>
      <c r="U97" s="6"/>
      <c r="V97" s="6"/>
      <c r="W97" s="6"/>
      <c r="X97" s="6"/>
      <c r="Y97" s="6"/>
      <c r="Z97" s="6"/>
      <c r="AA97" s="6"/>
      <c r="AB97" s="6"/>
      <c r="AC97" s="6"/>
    </row>
    <row r="98" spans="2:29" ht="15" x14ac:dyDescent="0.25">
      <c r="B98" s="6"/>
      <c r="C98" s="6"/>
      <c r="D98" s="6"/>
      <c r="E98" s="6"/>
      <c r="F98" s="6"/>
      <c r="G98" s="6"/>
      <c r="H98" s="6"/>
      <c r="I98" s="6"/>
      <c r="J98" s="6"/>
      <c r="K98" s="6"/>
      <c r="L98" s="6"/>
      <c r="M98" s="6"/>
      <c r="N98" s="6"/>
      <c r="O98" s="6"/>
      <c r="P98" s="6"/>
      <c r="Q98" s="6"/>
      <c r="R98" s="6"/>
      <c r="S98" s="6"/>
      <c r="T98" s="6"/>
      <c r="U98" s="6"/>
      <c r="V98" s="6"/>
      <c r="W98" s="6"/>
      <c r="X98" s="6"/>
      <c r="Y98" s="6"/>
      <c r="Z98" s="6"/>
      <c r="AA98" s="6"/>
      <c r="AB98" s="6"/>
      <c r="AC98" s="6"/>
    </row>
    <row r="99" spans="2:29" ht="15" x14ac:dyDescent="0.25">
      <c r="B99" s="6"/>
      <c r="C99" s="6"/>
      <c r="D99" s="6"/>
      <c r="E99" s="6"/>
      <c r="F99" s="6"/>
      <c r="G99" s="6"/>
      <c r="H99" s="6"/>
      <c r="I99" s="6"/>
      <c r="J99" s="6"/>
      <c r="K99" s="6"/>
      <c r="L99" s="6"/>
      <c r="M99" s="6"/>
      <c r="N99" s="6"/>
      <c r="O99" s="6"/>
      <c r="P99" s="6"/>
      <c r="Q99" s="6"/>
      <c r="R99" s="6"/>
      <c r="S99" s="6"/>
      <c r="T99" s="6"/>
      <c r="U99" s="6"/>
      <c r="V99" s="6"/>
      <c r="W99" s="6"/>
      <c r="X99" s="6"/>
      <c r="Y99" s="6"/>
      <c r="Z99" s="6"/>
      <c r="AA99" s="6"/>
      <c r="AB99" s="6"/>
      <c r="AC99" s="6"/>
    </row>
    <row r="100" spans="2:29" ht="15" x14ac:dyDescent="0.25">
      <c r="B100" s="6"/>
      <c r="C100" s="6"/>
      <c r="D100" s="6"/>
      <c r="E100" s="6"/>
      <c r="F100" s="6"/>
      <c r="G100" s="6"/>
      <c r="H100" s="6"/>
      <c r="I100" s="6"/>
      <c r="J100" s="6"/>
      <c r="K100" s="6"/>
      <c r="L100" s="6"/>
      <c r="M100" s="6"/>
      <c r="N100" s="6"/>
      <c r="O100" s="6"/>
      <c r="P100" s="6"/>
      <c r="Q100" s="6"/>
      <c r="R100" s="6"/>
      <c r="S100" s="6"/>
      <c r="T100" s="6"/>
      <c r="U100" s="6"/>
      <c r="V100" s="6"/>
      <c r="W100" s="6"/>
      <c r="X100" s="6"/>
      <c r="Y100" s="6"/>
      <c r="Z100" s="6"/>
      <c r="AA100" s="6"/>
      <c r="AB100" s="6"/>
      <c r="AC100" s="6"/>
    </row>
    <row r="101" spans="2:29" ht="15" x14ac:dyDescent="0.25">
      <c r="B101" s="6"/>
      <c r="C101" s="6"/>
      <c r="D101" s="6"/>
      <c r="E101" s="6"/>
      <c r="F101" s="6"/>
      <c r="G101" s="6"/>
      <c r="H101" s="6"/>
      <c r="I101" s="6"/>
      <c r="J101" s="6"/>
      <c r="K101" s="6"/>
      <c r="L101" s="6"/>
      <c r="M101" s="6"/>
      <c r="N101" s="6"/>
      <c r="O101" s="6"/>
      <c r="P101" s="6"/>
      <c r="Q101" s="6"/>
      <c r="R101" s="6"/>
      <c r="S101" s="6"/>
      <c r="T101" s="6"/>
      <c r="U101" s="6"/>
      <c r="V101" s="6"/>
      <c r="W101" s="6"/>
      <c r="X101" s="6"/>
      <c r="Y101" s="6"/>
      <c r="Z101" s="6"/>
      <c r="AA101" s="6"/>
      <c r="AB101" s="6"/>
      <c r="AC101" s="6"/>
    </row>
    <row r="102" spans="2:29" ht="15" x14ac:dyDescent="0.25">
      <c r="B102" s="6"/>
      <c r="C102" s="6"/>
      <c r="D102" s="6"/>
      <c r="E102" s="6"/>
      <c r="F102" s="6"/>
      <c r="G102" s="6"/>
      <c r="H102" s="6"/>
      <c r="I102" s="6"/>
      <c r="J102" s="6"/>
      <c r="K102" s="6"/>
      <c r="L102" s="6"/>
      <c r="M102" s="6"/>
      <c r="N102" s="6"/>
      <c r="O102" s="6"/>
      <c r="P102" s="6"/>
      <c r="Q102" s="6"/>
      <c r="R102" s="6"/>
      <c r="S102" s="6"/>
      <c r="T102" s="6"/>
      <c r="U102" s="6"/>
      <c r="V102" s="6"/>
      <c r="W102" s="6"/>
      <c r="X102" s="6"/>
      <c r="Y102" s="6"/>
      <c r="Z102" s="6"/>
      <c r="AA102" s="6"/>
      <c r="AB102" s="6"/>
      <c r="AC102" s="6"/>
    </row>
    <row r="103" spans="2:29" ht="15" x14ac:dyDescent="0.25">
      <c r="B103" s="6"/>
      <c r="C103" s="6"/>
      <c r="D103" s="6"/>
      <c r="E103" s="6"/>
      <c r="F103" s="6"/>
      <c r="G103" s="6"/>
      <c r="H103" s="6"/>
      <c r="I103" s="6"/>
      <c r="J103" s="6"/>
      <c r="K103" s="6"/>
      <c r="L103" s="6"/>
      <c r="M103" s="6"/>
      <c r="N103" s="6"/>
      <c r="O103" s="6"/>
      <c r="P103" s="6"/>
      <c r="Q103" s="6"/>
      <c r="R103" s="6"/>
      <c r="S103" s="6"/>
      <c r="T103" s="6"/>
      <c r="U103" s="6"/>
      <c r="V103" s="6"/>
      <c r="W103" s="6"/>
      <c r="X103" s="6"/>
      <c r="Y103" s="6"/>
      <c r="Z103" s="6"/>
      <c r="AA103" s="6"/>
      <c r="AB103" s="6"/>
      <c r="AC103" s="6"/>
    </row>
    <row r="104" spans="2:29" ht="15" x14ac:dyDescent="0.25">
      <c r="B104" s="6"/>
      <c r="C104" s="6"/>
      <c r="D104" s="6"/>
      <c r="E104" s="6"/>
      <c r="F104" s="6"/>
      <c r="G104" s="6"/>
      <c r="H104" s="6"/>
      <c r="I104" s="6"/>
      <c r="J104" s="6"/>
      <c r="K104" s="6"/>
      <c r="L104" s="6"/>
      <c r="M104" s="6"/>
      <c r="N104" s="6"/>
      <c r="O104" s="6"/>
      <c r="P104" s="6"/>
      <c r="Q104" s="6"/>
      <c r="R104" s="6"/>
      <c r="S104" s="6"/>
      <c r="T104" s="6"/>
      <c r="U104" s="6"/>
      <c r="V104" s="6"/>
      <c r="W104" s="6"/>
      <c r="X104" s="6"/>
      <c r="Y104" s="6"/>
      <c r="Z104" s="6"/>
      <c r="AA104" s="6"/>
      <c r="AB104" s="6"/>
      <c r="AC104" s="6"/>
    </row>
    <row r="105" spans="2:29" ht="15" x14ac:dyDescent="0.25">
      <c r="B105" s="6"/>
      <c r="C105" s="6"/>
      <c r="D105" s="6"/>
      <c r="E105" s="6"/>
      <c r="F105" s="6"/>
      <c r="G105" s="6"/>
      <c r="H105" s="6"/>
      <c r="I105" s="6"/>
      <c r="J105" s="6"/>
      <c r="K105" s="6"/>
      <c r="L105" s="6"/>
      <c r="M105" s="6"/>
      <c r="N105" s="6"/>
      <c r="O105" s="6"/>
      <c r="P105" s="6"/>
      <c r="Q105" s="6"/>
      <c r="R105" s="6"/>
      <c r="S105" s="6"/>
      <c r="T105" s="6"/>
      <c r="U105" s="6"/>
      <c r="V105" s="6"/>
      <c r="W105" s="6"/>
      <c r="X105" s="6"/>
      <c r="Y105" s="6"/>
      <c r="Z105" s="6"/>
      <c r="AA105" s="6"/>
      <c r="AB105" s="6"/>
      <c r="AC105" s="6"/>
    </row>
    <row r="106" spans="2:29" ht="15" x14ac:dyDescent="0.25">
      <c r="B106" s="6"/>
      <c r="C106" s="6"/>
      <c r="D106" s="6"/>
      <c r="E106" s="6"/>
      <c r="F106" s="6"/>
      <c r="G106" s="6"/>
      <c r="H106" s="6"/>
      <c r="I106" s="6"/>
      <c r="J106" s="6"/>
      <c r="K106" s="6"/>
      <c r="L106" s="6"/>
      <c r="M106" s="6"/>
      <c r="N106" s="6"/>
      <c r="O106" s="6"/>
      <c r="P106" s="6"/>
      <c r="Q106" s="6"/>
      <c r="R106" s="6"/>
      <c r="S106" s="6"/>
      <c r="T106" s="6"/>
      <c r="U106" s="6"/>
      <c r="V106" s="6"/>
      <c r="W106" s="6"/>
      <c r="X106" s="6"/>
      <c r="Y106" s="6"/>
      <c r="Z106" s="6"/>
      <c r="AA106" s="6"/>
      <c r="AB106" s="6"/>
      <c r="AC106" s="6"/>
    </row>
    <row r="107" spans="2:29" ht="15" x14ac:dyDescent="0.25">
      <c r="B107" s="6"/>
      <c r="C107" s="6"/>
      <c r="D107" s="6"/>
      <c r="E107" s="6"/>
      <c r="F107" s="6"/>
      <c r="G107" s="6"/>
      <c r="H107" s="6"/>
      <c r="I107" s="6"/>
      <c r="J107" s="6"/>
      <c r="K107" s="6"/>
      <c r="L107" s="6"/>
      <c r="M107" s="6"/>
      <c r="N107" s="6"/>
      <c r="O107" s="6"/>
      <c r="P107" s="6"/>
      <c r="Q107" s="6"/>
      <c r="R107" s="6"/>
      <c r="S107" s="6"/>
      <c r="T107" s="6"/>
      <c r="U107" s="6"/>
      <c r="V107" s="6"/>
      <c r="W107" s="6"/>
      <c r="X107" s="6"/>
      <c r="Y107" s="6"/>
      <c r="Z107" s="6"/>
      <c r="AA107" s="6"/>
      <c r="AB107" s="6"/>
      <c r="AC107" s="6"/>
    </row>
    <row r="108" spans="2:29" ht="15" x14ac:dyDescent="0.25">
      <c r="B108" s="6"/>
      <c r="C108" s="6"/>
      <c r="D108" s="6"/>
      <c r="E108" s="6"/>
      <c r="F108" s="6"/>
      <c r="G108" s="6"/>
      <c r="H108" s="6"/>
      <c r="I108" s="6"/>
      <c r="J108" s="6"/>
      <c r="K108" s="6"/>
      <c r="L108" s="6"/>
      <c r="M108" s="6"/>
      <c r="N108" s="6"/>
      <c r="O108" s="6"/>
      <c r="P108" s="6"/>
      <c r="Q108" s="6"/>
      <c r="R108" s="6"/>
      <c r="S108" s="6"/>
      <c r="T108" s="6"/>
      <c r="U108" s="6"/>
      <c r="V108" s="6"/>
      <c r="W108" s="6"/>
      <c r="X108" s="6"/>
      <c r="Y108" s="6"/>
      <c r="Z108" s="6"/>
      <c r="AA108" s="6"/>
      <c r="AB108" s="6"/>
      <c r="AC108" s="6"/>
    </row>
    <row r="109" spans="2:29" ht="15" x14ac:dyDescent="0.25">
      <c r="B109" s="6"/>
      <c r="C109" s="6"/>
      <c r="D109" s="6"/>
      <c r="E109" s="6"/>
      <c r="F109" s="6"/>
      <c r="G109" s="6"/>
      <c r="H109" s="6"/>
      <c r="I109" s="6"/>
      <c r="J109" s="6"/>
      <c r="K109" s="6"/>
      <c r="L109" s="6"/>
      <c r="M109" s="6"/>
      <c r="N109" s="6"/>
      <c r="O109" s="6"/>
      <c r="P109" s="6"/>
      <c r="Q109" s="6"/>
      <c r="R109" s="6"/>
      <c r="S109" s="6"/>
      <c r="T109" s="6"/>
      <c r="U109" s="6"/>
      <c r="V109" s="6"/>
      <c r="W109" s="6"/>
      <c r="X109" s="6"/>
      <c r="Y109" s="6"/>
      <c r="Z109" s="6"/>
      <c r="AA109" s="6"/>
      <c r="AB109" s="6"/>
      <c r="AC109" s="6"/>
    </row>
    <row r="110" spans="2:29" ht="15" x14ac:dyDescent="0.25">
      <c r="B110" s="6"/>
      <c r="C110" s="6"/>
      <c r="D110" s="6"/>
      <c r="E110" s="6"/>
      <c r="F110" s="6"/>
      <c r="G110" s="6"/>
      <c r="H110" s="6"/>
      <c r="I110" s="6"/>
      <c r="J110" s="6"/>
      <c r="K110" s="6"/>
      <c r="L110" s="6"/>
      <c r="M110" s="6"/>
      <c r="N110" s="6"/>
      <c r="O110" s="6"/>
      <c r="P110" s="6"/>
      <c r="Q110" s="6"/>
      <c r="R110" s="6"/>
      <c r="S110" s="6"/>
      <c r="T110" s="6"/>
      <c r="U110" s="6"/>
      <c r="V110" s="6"/>
      <c r="W110" s="6"/>
      <c r="X110" s="6"/>
      <c r="Y110" s="6"/>
      <c r="Z110" s="6"/>
      <c r="AA110" s="6"/>
      <c r="AB110" s="6"/>
      <c r="AC110" s="6"/>
    </row>
    <row r="111" spans="2:29" ht="15" x14ac:dyDescent="0.25">
      <c r="B111" s="6"/>
      <c r="C111" s="6"/>
      <c r="D111" s="6"/>
      <c r="E111" s="6"/>
      <c r="F111" s="6"/>
      <c r="G111" s="6"/>
      <c r="H111" s="6"/>
      <c r="I111" s="6"/>
      <c r="J111" s="6"/>
      <c r="K111" s="6"/>
      <c r="L111" s="6"/>
      <c r="M111" s="6"/>
      <c r="N111" s="6"/>
      <c r="O111" s="6"/>
      <c r="P111" s="6"/>
      <c r="Q111" s="6"/>
      <c r="R111" s="6"/>
      <c r="S111" s="6"/>
      <c r="T111" s="6"/>
      <c r="U111" s="6"/>
      <c r="V111" s="6"/>
      <c r="W111" s="6"/>
      <c r="X111" s="6"/>
      <c r="Y111" s="6"/>
      <c r="Z111" s="6"/>
      <c r="AA111" s="6"/>
      <c r="AB111" s="6"/>
      <c r="AC111" s="6"/>
    </row>
    <row r="112" spans="2:29" ht="15" x14ac:dyDescent="0.25">
      <c r="B112" s="6"/>
      <c r="C112" s="6"/>
      <c r="D112" s="6"/>
      <c r="E112" s="6"/>
      <c r="F112" s="6"/>
      <c r="G112" s="6"/>
      <c r="H112" s="6"/>
      <c r="I112" s="6"/>
      <c r="J112" s="6"/>
      <c r="K112" s="6"/>
      <c r="L112" s="6"/>
      <c r="M112" s="6"/>
      <c r="N112" s="6"/>
      <c r="O112" s="6"/>
      <c r="P112" s="6"/>
      <c r="Q112" s="6"/>
      <c r="R112" s="6"/>
      <c r="S112" s="6"/>
      <c r="T112" s="6"/>
      <c r="U112" s="6"/>
      <c r="V112" s="6"/>
      <c r="W112" s="6"/>
      <c r="X112" s="6"/>
      <c r="Y112" s="6"/>
      <c r="Z112" s="6"/>
      <c r="AA112" s="6"/>
      <c r="AB112" s="6"/>
      <c r="AC112" s="6"/>
    </row>
    <row r="113" spans="2:29" ht="15" x14ac:dyDescent="0.25">
      <c r="B113" s="6"/>
      <c r="C113" s="6"/>
      <c r="D113" s="6"/>
      <c r="E113" s="6"/>
      <c r="F113" s="6"/>
      <c r="G113" s="6"/>
      <c r="H113" s="6"/>
      <c r="I113" s="6"/>
      <c r="J113" s="6"/>
      <c r="K113" s="6"/>
      <c r="L113" s="6"/>
      <c r="M113" s="6"/>
      <c r="N113" s="6"/>
      <c r="O113" s="6"/>
      <c r="P113" s="6"/>
      <c r="Q113" s="6"/>
      <c r="R113" s="6"/>
      <c r="S113" s="6"/>
      <c r="T113" s="6"/>
      <c r="U113" s="6"/>
      <c r="V113" s="6"/>
      <c r="W113" s="6"/>
      <c r="X113" s="6"/>
      <c r="Y113" s="6"/>
      <c r="Z113" s="6"/>
      <c r="AA113" s="6"/>
      <c r="AB113" s="6"/>
      <c r="AC113" s="6"/>
    </row>
    <row r="114" spans="2:29" ht="15" x14ac:dyDescent="0.25">
      <c r="B114" s="6"/>
      <c r="C114" s="6"/>
      <c r="D114" s="6"/>
      <c r="E114" s="6"/>
      <c r="F114" s="6"/>
      <c r="G114" s="6"/>
      <c r="H114" s="6"/>
      <c r="I114" s="6"/>
      <c r="J114" s="6"/>
      <c r="K114" s="6"/>
      <c r="L114" s="6"/>
      <c r="M114" s="6"/>
      <c r="N114" s="6"/>
      <c r="O114" s="6"/>
      <c r="P114" s="6"/>
      <c r="Q114" s="6"/>
      <c r="R114" s="6"/>
      <c r="S114" s="6"/>
      <c r="T114" s="6"/>
      <c r="U114" s="6"/>
      <c r="V114" s="6"/>
      <c r="W114" s="6"/>
      <c r="X114" s="6"/>
      <c r="Y114" s="6"/>
      <c r="Z114" s="6"/>
      <c r="AA114" s="6"/>
      <c r="AB114" s="6"/>
      <c r="AC114" s="6"/>
    </row>
    <row r="115" spans="2:29" ht="15" x14ac:dyDescent="0.25">
      <c r="B115" s="6"/>
      <c r="C115" s="6"/>
      <c r="D115" s="6"/>
      <c r="E115" s="6"/>
      <c r="F115" s="6"/>
      <c r="G115" s="6"/>
      <c r="H115" s="6"/>
      <c r="I115" s="6"/>
      <c r="J115" s="6"/>
      <c r="K115" s="6"/>
      <c r="L115" s="6"/>
      <c r="M115" s="6"/>
      <c r="N115" s="6"/>
      <c r="O115" s="6"/>
      <c r="P115" s="6"/>
      <c r="Q115" s="6"/>
      <c r="R115" s="6"/>
      <c r="S115" s="6"/>
      <c r="T115" s="6"/>
      <c r="U115" s="6"/>
      <c r="V115" s="6"/>
      <c r="W115" s="6"/>
      <c r="X115" s="6"/>
      <c r="Y115" s="6"/>
      <c r="Z115" s="6"/>
      <c r="AA115" s="6"/>
      <c r="AB115" s="6"/>
      <c r="AC115" s="6"/>
    </row>
    <row r="116" spans="2:29" ht="15" x14ac:dyDescent="0.25">
      <c r="B116" s="6"/>
      <c r="C116" s="6"/>
      <c r="D116" s="6"/>
      <c r="E116" s="6"/>
      <c r="F116" s="6"/>
      <c r="G116" s="6"/>
      <c r="H116" s="6"/>
      <c r="I116" s="6"/>
      <c r="J116" s="6"/>
      <c r="K116" s="6"/>
      <c r="L116" s="6"/>
      <c r="M116" s="6"/>
      <c r="N116" s="6"/>
      <c r="O116" s="6"/>
      <c r="P116" s="6"/>
      <c r="Q116" s="6"/>
      <c r="R116" s="6"/>
      <c r="S116" s="6"/>
      <c r="T116" s="6"/>
      <c r="U116" s="6"/>
      <c r="V116" s="6"/>
      <c r="W116" s="6"/>
      <c r="X116" s="6"/>
      <c r="Y116" s="6"/>
      <c r="Z116" s="6"/>
      <c r="AA116" s="6"/>
      <c r="AB116" s="6"/>
      <c r="AC116" s="6"/>
    </row>
    <row r="117" spans="2:29" ht="15" x14ac:dyDescent="0.25">
      <c r="B117" s="6"/>
      <c r="C117" s="6"/>
      <c r="D117" s="6"/>
      <c r="E117" s="6"/>
      <c r="F117" s="6"/>
      <c r="G117" s="6"/>
      <c r="H117" s="6"/>
      <c r="I117" s="6"/>
      <c r="J117" s="6"/>
      <c r="K117" s="6"/>
      <c r="L117" s="6"/>
      <c r="M117" s="6"/>
      <c r="N117" s="6"/>
      <c r="O117" s="6"/>
      <c r="P117" s="6"/>
      <c r="Q117" s="6"/>
      <c r="R117" s="6"/>
      <c r="S117" s="6"/>
      <c r="T117" s="6"/>
      <c r="U117" s="6"/>
      <c r="V117" s="6"/>
      <c r="W117" s="6"/>
      <c r="X117" s="6"/>
      <c r="Y117" s="6"/>
      <c r="Z117" s="6"/>
      <c r="AA117" s="6"/>
      <c r="AB117" s="6"/>
      <c r="AC117" s="6"/>
    </row>
    <row r="118" spans="2:29" ht="15" x14ac:dyDescent="0.25">
      <c r="B118" s="6"/>
      <c r="C118" s="6"/>
      <c r="D118" s="6"/>
      <c r="E118" s="6"/>
      <c r="F118" s="6"/>
      <c r="G118" s="6"/>
      <c r="H118" s="6"/>
      <c r="I118" s="6"/>
      <c r="J118" s="6"/>
      <c r="K118" s="6"/>
      <c r="L118" s="6"/>
      <c r="M118" s="6"/>
      <c r="N118" s="6"/>
      <c r="O118" s="6"/>
      <c r="P118" s="6"/>
      <c r="Q118" s="6"/>
      <c r="R118" s="6"/>
      <c r="S118" s="6"/>
      <c r="T118" s="6"/>
      <c r="U118" s="6"/>
      <c r="V118" s="6"/>
      <c r="W118" s="6"/>
      <c r="X118" s="6"/>
      <c r="Y118" s="6"/>
      <c r="Z118" s="6"/>
      <c r="AA118" s="6"/>
      <c r="AB118" s="6"/>
      <c r="AC118" s="6"/>
    </row>
    <row r="119" spans="2:29" ht="15" x14ac:dyDescent="0.25">
      <c r="B119" s="6"/>
      <c r="C119" s="6"/>
      <c r="D119" s="6"/>
      <c r="E119" s="6"/>
      <c r="F119" s="6"/>
      <c r="G119" s="6"/>
      <c r="H119" s="6"/>
      <c r="I119" s="6"/>
      <c r="J119" s="6"/>
      <c r="K119" s="6"/>
      <c r="L119" s="6"/>
      <c r="M119" s="6"/>
      <c r="N119" s="6"/>
      <c r="O119" s="6"/>
      <c r="P119" s="6"/>
      <c r="Q119" s="6"/>
      <c r="R119" s="6"/>
      <c r="S119" s="6"/>
      <c r="T119" s="6"/>
      <c r="U119" s="6"/>
      <c r="V119" s="6"/>
      <c r="W119" s="6"/>
      <c r="X119" s="6"/>
      <c r="Y119" s="6"/>
      <c r="Z119" s="6"/>
      <c r="AA119" s="6"/>
      <c r="AB119" s="6"/>
      <c r="AC119" s="6"/>
    </row>
    <row r="120" spans="2:29" ht="15" x14ac:dyDescent="0.25">
      <c r="B120" s="6"/>
      <c r="C120" s="6"/>
      <c r="D120" s="6"/>
      <c r="E120" s="6"/>
      <c r="F120" s="6"/>
      <c r="G120" s="6"/>
      <c r="H120" s="6"/>
      <c r="I120" s="6"/>
      <c r="J120" s="6"/>
      <c r="K120" s="6"/>
      <c r="L120" s="6"/>
      <c r="M120" s="6"/>
      <c r="N120" s="6"/>
      <c r="O120" s="6"/>
      <c r="P120" s="6"/>
      <c r="Q120" s="6"/>
      <c r="R120" s="6"/>
      <c r="S120" s="6"/>
      <c r="T120" s="6"/>
      <c r="U120" s="6"/>
      <c r="V120" s="6"/>
      <c r="W120" s="6"/>
      <c r="X120" s="6"/>
      <c r="Y120" s="6"/>
      <c r="Z120" s="6"/>
      <c r="AA120" s="6"/>
      <c r="AB120" s="6"/>
      <c r="AC120" s="6"/>
    </row>
    <row r="121" spans="2:29" ht="15" x14ac:dyDescent="0.25">
      <c r="B121" s="6"/>
      <c r="C121" s="6"/>
      <c r="D121" s="6"/>
      <c r="E121" s="6"/>
      <c r="F121" s="6"/>
      <c r="G121" s="6"/>
      <c r="H121" s="6"/>
      <c r="I121" s="6"/>
      <c r="J121" s="6"/>
      <c r="K121" s="6"/>
      <c r="L121" s="6"/>
      <c r="M121" s="6"/>
      <c r="N121" s="6"/>
      <c r="O121" s="6"/>
      <c r="P121" s="6"/>
      <c r="Q121" s="6"/>
      <c r="R121" s="6"/>
      <c r="S121" s="6"/>
      <c r="T121" s="6"/>
      <c r="U121" s="6"/>
      <c r="V121" s="6"/>
      <c r="W121" s="6"/>
      <c r="X121" s="6"/>
      <c r="Y121" s="6"/>
      <c r="Z121" s="6"/>
      <c r="AA121" s="6"/>
      <c r="AB121" s="6"/>
      <c r="AC121" s="6"/>
    </row>
    <row r="122" spans="2:29" ht="15" x14ac:dyDescent="0.25">
      <c r="B122" s="6"/>
      <c r="C122" s="6"/>
      <c r="D122" s="6"/>
      <c r="E122" s="6"/>
      <c r="F122" s="6"/>
      <c r="G122" s="6"/>
      <c r="H122" s="6"/>
      <c r="I122" s="6"/>
      <c r="J122" s="6"/>
      <c r="K122" s="6"/>
      <c r="L122" s="6"/>
      <c r="M122" s="6"/>
      <c r="N122" s="6"/>
      <c r="O122" s="6"/>
      <c r="P122" s="6"/>
      <c r="Q122" s="6"/>
      <c r="R122" s="6"/>
      <c r="S122" s="6"/>
      <c r="T122" s="6"/>
      <c r="U122" s="6"/>
      <c r="V122" s="6"/>
      <c r="W122" s="6"/>
      <c r="X122" s="6"/>
      <c r="Y122" s="6"/>
      <c r="Z122" s="6"/>
      <c r="AA122" s="6"/>
      <c r="AB122" s="6"/>
      <c r="AC122" s="6"/>
    </row>
    <row r="123" spans="2:29" ht="15" x14ac:dyDescent="0.25">
      <c r="B123" s="6"/>
      <c r="C123" s="6"/>
      <c r="D123" s="6"/>
      <c r="E123" s="6"/>
      <c r="F123" s="6"/>
      <c r="G123" s="6"/>
      <c r="H123" s="6"/>
      <c r="I123" s="6"/>
      <c r="J123" s="6"/>
      <c r="K123" s="6"/>
      <c r="L123" s="6"/>
      <c r="M123" s="6"/>
      <c r="N123" s="6"/>
      <c r="O123" s="6"/>
      <c r="P123" s="6"/>
      <c r="Q123" s="6"/>
      <c r="R123" s="6"/>
      <c r="S123" s="6"/>
      <c r="T123" s="6"/>
      <c r="U123" s="6"/>
      <c r="V123" s="6"/>
      <c r="W123" s="6"/>
      <c r="X123" s="6"/>
      <c r="Y123" s="6"/>
      <c r="Z123" s="6"/>
      <c r="AA123" s="6"/>
      <c r="AB123" s="6"/>
      <c r="AC123" s="6"/>
    </row>
    <row r="124" spans="2:29" ht="15" x14ac:dyDescent="0.25">
      <c r="B124" s="6"/>
      <c r="C124" s="6"/>
      <c r="D124" s="6"/>
      <c r="E124" s="6"/>
      <c r="F124" s="6"/>
      <c r="G124" s="6"/>
      <c r="H124" s="6"/>
      <c r="I124" s="6"/>
      <c r="J124" s="6"/>
      <c r="K124" s="6"/>
      <c r="L124" s="6"/>
      <c r="M124" s="6"/>
      <c r="N124" s="6"/>
      <c r="O124" s="6"/>
      <c r="P124" s="6"/>
      <c r="Q124" s="6"/>
      <c r="R124" s="6"/>
      <c r="S124" s="6"/>
      <c r="T124" s="6"/>
      <c r="U124" s="6"/>
      <c r="V124" s="6"/>
      <c r="W124" s="6"/>
      <c r="X124" s="6"/>
      <c r="Y124" s="6"/>
      <c r="Z124" s="6"/>
      <c r="AA124" s="6"/>
      <c r="AB124" s="6"/>
      <c r="AC124" s="6"/>
    </row>
    <row r="125" spans="2:29" ht="15" x14ac:dyDescent="0.25">
      <c r="B125" s="6"/>
      <c r="C125" s="6"/>
      <c r="D125" s="6"/>
      <c r="E125" s="6"/>
      <c r="F125" s="6"/>
      <c r="G125" s="6"/>
      <c r="H125" s="6"/>
      <c r="I125" s="6"/>
      <c r="J125" s="6"/>
      <c r="K125" s="6"/>
      <c r="L125" s="6"/>
      <c r="M125" s="6"/>
      <c r="N125" s="6"/>
      <c r="O125" s="6"/>
      <c r="P125" s="6"/>
      <c r="Q125" s="6"/>
      <c r="R125" s="6"/>
      <c r="S125" s="6"/>
      <c r="T125" s="6"/>
      <c r="U125" s="6"/>
      <c r="V125" s="6"/>
      <c r="W125" s="6"/>
      <c r="X125" s="6"/>
      <c r="Y125" s="6"/>
      <c r="Z125" s="6"/>
      <c r="AA125" s="6"/>
      <c r="AB125" s="6"/>
      <c r="AC125" s="6"/>
    </row>
    <row r="126" spans="2:29" ht="15" x14ac:dyDescent="0.25">
      <c r="B126" s="6"/>
      <c r="C126" s="6"/>
      <c r="D126" s="6"/>
      <c r="E126" s="6"/>
      <c r="F126" s="6"/>
      <c r="G126" s="6"/>
      <c r="H126" s="6"/>
      <c r="I126" s="6"/>
      <c r="J126" s="6"/>
      <c r="K126" s="6"/>
      <c r="L126" s="6"/>
      <c r="M126" s="6"/>
      <c r="N126" s="6"/>
      <c r="O126" s="6"/>
      <c r="P126" s="6"/>
      <c r="Q126" s="6"/>
      <c r="R126" s="6"/>
      <c r="S126" s="6"/>
      <c r="T126" s="6"/>
      <c r="U126" s="6"/>
      <c r="V126" s="6"/>
      <c r="W126" s="6"/>
      <c r="X126" s="6"/>
      <c r="Y126" s="6"/>
      <c r="Z126" s="6"/>
      <c r="AA126" s="6"/>
      <c r="AB126" s="6"/>
      <c r="AC126" s="6"/>
    </row>
    <row r="127" spans="2:29" ht="15" x14ac:dyDescent="0.25">
      <c r="B127" s="6"/>
      <c r="C127" s="6"/>
      <c r="D127" s="6"/>
      <c r="E127" s="6"/>
      <c r="F127" s="6"/>
      <c r="G127" s="6"/>
      <c r="H127" s="6"/>
      <c r="I127" s="6"/>
      <c r="J127" s="6"/>
      <c r="K127" s="6"/>
      <c r="L127" s="6"/>
      <c r="M127" s="6"/>
      <c r="N127" s="6"/>
      <c r="O127" s="6"/>
      <c r="P127" s="6"/>
      <c r="Q127" s="6"/>
      <c r="R127" s="6"/>
      <c r="S127" s="6"/>
      <c r="T127" s="6"/>
      <c r="U127" s="6"/>
      <c r="V127" s="6"/>
      <c r="W127" s="6"/>
      <c r="X127" s="6"/>
      <c r="Y127" s="6"/>
      <c r="Z127" s="6"/>
      <c r="AA127" s="6"/>
      <c r="AB127" s="6"/>
      <c r="AC127" s="6"/>
    </row>
    <row r="128" spans="2:29" ht="15" x14ac:dyDescent="0.25">
      <c r="B128" s="6"/>
      <c r="C128" s="6"/>
      <c r="D128" s="6"/>
      <c r="E128" s="6"/>
      <c r="F128" s="6"/>
      <c r="G128" s="6"/>
      <c r="H128" s="6"/>
      <c r="I128" s="6"/>
      <c r="J128" s="6"/>
      <c r="K128" s="6"/>
      <c r="L128" s="6"/>
      <c r="M128" s="6"/>
      <c r="N128" s="6"/>
      <c r="O128" s="6"/>
      <c r="P128" s="6"/>
      <c r="Q128" s="6"/>
      <c r="R128" s="6"/>
      <c r="S128" s="6"/>
      <c r="T128" s="6"/>
      <c r="U128" s="6"/>
      <c r="V128" s="6"/>
      <c r="W128" s="6"/>
      <c r="X128" s="6"/>
      <c r="Y128" s="6"/>
      <c r="Z128" s="6"/>
      <c r="AA128" s="6"/>
      <c r="AB128" s="6"/>
      <c r="AC128" s="6"/>
    </row>
    <row r="129" spans="2:29" ht="15" x14ac:dyDescent="0.25">
      <c r="B129" s="6"/>
      <c r="C129" s="6"/>
      <c r="D129" s="6"/>
      <c r="E129" s="6"/>
      <c r="F129" s="6"/>
      <c r="G129" s="6"/>
      <c r="H129" s="6"/>
      <c r="I129" s="6"/>
      <c r="J129" s="6"/>
      <c r="K129" s="6"/>
      <c r="L129" s="6"/>
      <c r="M129" s="6"/>
      <c r="N129" s="6"/>
      <c r="O129" s="6"/>
      <c r="P129" s="6"/>
      <c r="Q129" s="6"/>
      <c r="R129" s="6"/>
      <c r="S129" s="6"/>
      <c r="T129" s="6"/>
      <c r="U129" s="6"/>
      <c r="V129" s="6"/>
      <c r="W129" s="6"/>
      <c r="X129" s="6"/>
      <c r="Y129" s="6"/>
      <c r="Z129" s="6"/>
      <c r="AA129" s="6"/>
      <c r="AB129" s="6"/>
      <c r="AC129" s="6"/>
    </row>
    <row r="130" spans="2:29" ht="15" x14ac:dyDescent="0.25">
      <c r="B130" s="6"/>
      <c r="C130" s="6"/>
      <c r="D130" s="6"/>
      <c r="E130" s="6"/>
      <c r="F130" s="6"/>
      <c r="G130" s="6"/>
      <c r="H130" s="6"/>
      <c r="I130" s="6"/>
      <c r="J130" s="6"/>
      <c r="K130" s="6"/>
      <c r="L130" s="6"/>
      <c r="M130" s="6"/>
      <c r="N130" s="6"/>
      <c r="O130" s="6"/>
      <c r="P130" s="6"/>
      <c r="Q130" s="6"/>
      <c r="R130" s="6"/>
      <c r="S130" s="6"/>
      <c r="T130" s="6"/>
      <c r="U130" s="6"/>
      <c r="V130" s="6"/>
      <c r="W130" s="6"/>
      <c r="X130" s="6"/>
      <c r="Y130" s="6"/>
      <c r="Z130" s="6"/>
      <c r="AA130" s="6"/>
      <c r="AB130" s="6"/>
      <c r="AC130" s="6"/>
    </row>
    <row r="131" spans="2:29" ht="15" x14ac:dyDescent="0.25">
      <c r="B131" s="6"/>
      <c r="C131" s="6"/>
      <c r="D131" s="6"/>
      <c r="E131" s="6"/>
      <c r="F131" s="6"/>
      <c r="G131" s="6"/>
      <c r="H131" s="6"/>
      <c r="I131" s="6"/>
      <c r="J131" s="6"/>
      <c r="K131" s="6"/>
      <c r="L131" s="6"/>
      <c r="M131" s="6"/>
      <c r="N131" s="6"/>
      <c r="O131" s="6"/>
      <c r="P131" s="6"/>
      <c r="Q131" s="6"/>
      <c r="R131" s="6"/>
      <c r="S131" s="6"/>
      <c r="T131" s="6"/>
      <c r="U131" s="6"/>
      <c r="V131" s="6"/>
      <c r="W131" s="6"/>
      <c r="X131" s="6"/>
      <c r="Y131" s="6"/>
      <c r="Z131" s="6"/>
      <c r="AA131" s="6"/>
      <c r="AB131" s="6"/>
      <c r="AC131" s="6"/>
    </row>
    <row r="132" spans="2:29" ht="15" x14ac:dyDescent="0.25">
      <c r="B132" s="6"/>
      <c r="C132" s="6"/>
      <c r="D132" s="6"/>
      <c r="E132" s="6"/>
      <c r="F132" s="6"/>
      <c r="G132" s="6"/>
      <c r="H132" s="6"/>
      <c r="I132" s="6"/>
      <c r="J132" s="6"/>
      <c r="K132" s="6"/>
      <c r="L132" s="6"/>
      <c r="M132" s="6"/>
      <c r="N132" s="6"/>
      <c r="O132" s="6"/>
      <c r="P132" s="6"/>
      <c r="Q132" s="6"/>
      <c r="R132" s="6"/>
      <c r="S132" s="6"/>
      <c r="T132" s="6"/>
      <c r="U132" s="6"/>
      <c r="V132" s="6"/>
      <c r="W132" s="6"/>
      <c r="X132" s="6"/>
      <c r="Y132" s="6"/>
      <c r="Z132" s="6"/>
      <c r="AA132" s="6"/>
      <c r="AB132" s="6"/>
      <c r="AC132" s="6"/>
    </row>
    <row r="133" spans="2:29" ht="15" x14ac:dyDescent="0.25">
      <c r="B133" s="6"/>
      <c r="C133" s="6"/>
      <c r="D133" s="6"/>
      <c r="E133" s="6"/>
      <c r="F133" s="6"/>
      <c r="G133" s="6"/>
      <c r="H133" s="6"/>
      <c r="I133" s="6"/>
      <c r="J133" s="6"/>
      <c r="K133" s="6"/>
      <c r="L133" s="6"/>
      <c r="M133" s="6"/>
      <c r="N133" s="6"/>
      <c r="O133" s="6"/>
      <c r="P133" s="6"/>
      <c r="Q133" s="6"/>
      <c r="R133" s="6"/>
      <c r="S133" s="6"/>
      <c r="T133" s="6"/>
      <c r="U133" s="6"/>
      <c r="V133" s="6"/>
      <c r="W133" s="6"/>
      <c r="X133" s="6"/>
      <c r="Y133" s="6"/>
      <c r="Z133" s="6"/>
      <c r="AA133" s="6"/>
      <c r="AB133" s="6"/>
      <c r="AC133" s="6"/>
    </row>
    <row r="134" spans="2:29" ht="15" x14ac:dyDescent="0.25">
      <c r="B134" s="6"/>
      <c r="C134" s="6"/>
      <c r="D134" s="6"/>
      <c r="E134" s="6"/>
      <c r="F134" s="6"/>
      <c r="G134" s="6"/>
      <c r="H134" s="6"/>
      <c r="I134" s="6"/>
      <c r="J134" s="6"/>
      <c r="K134" s="6"/>
      <c r="L134" s="6"/>
      <c r="M134" s="6"/>
      <c r="N134" s="6"/>
      <c r="O134" s="6"/>
      <c r="P134" s="6"/>
      <c r="Q134" s="6"/>
      <c r="R134" s="6"/>
      <c r="S134" s="6"/>
      <c r="T134" s="6"/>
      <c r="U134" s="6"/>
      <c r="V134" s="6"/>
      <c r="W134" s="6"/>
      <c r="X134" s="6"/>
      <c r="Y134" s="6"/>
      <c r="Z134" s="6"/>
      <c r="AA134" s="6"/>
      <c r="AB134" s="6"/>
      <c r="AC134" s="6"/>
    </row>
    <row r="135" spans="2:29" ht="15" x14ac:dyDescent="0.25">
      <c r="B135" s="6"/>
      <c r="C135" s="6"/>
      <c r="D135" s="6"/>
      <c r="E135" s="6"/>
      <c r="F135" s="6"/>
      <c r="G135" s="6"/>
      <c r="H135" s="6"/>
      <c r="I135" s="6"/>
      <c r="J135" s="6"/>
      <c r="K135" s="6"/>
      <c r="L135" s="6"/>
      <c r="M135" s="6"/>
      <c r="N135" s="6"/>
      <c r="O135" s="6"/>
      <c r="P135" s="6"/>
      <c r="Q135" s="6"/>
      <c r="R135" s="6"/>
      <c r="S135" s="6"/>
      <c r="T135" s="6"/>
      <c r="U135" s="6"/>
      <c r="V135" s="6"/>
      <c r="W135" s="6"/>
      <c r="X135" s="6"/>
      <c r="Y135" s="6"/>
      <c r="Z135" s="6"/>
      <c r="AA135" s="6"/>
      <c r="AB135" s="6"/>
      <c r="AC135" s="6"/>
    </row>
    <row r="136" spans="2:29" ht="15" x14ac:dyDescent="0.25">
      <c r="B136" s="6"/>
      <c r="C136" s="6"/>
      <c r="D136" s="6"/>
      <c r="E136" s="6"/>
      <c r="F136" s="6"/>
      <c r="G136" s="6"/>
      <c r="H136" s="6"/>
      <c r="I136" s="6"/>
      <c r="J136" s="6"/>
      <c r="K136" s="6"/>
      <c r="L136" s="6"/>
      <c r="M136" s="6"/>
      <c r="N136" s="6"/>
      <c r="O136" s="6"/>
      <c r="P136" s="6"/>
      <c r="Q136" s="6"/>
      <c r="R136" s="6"/>
      <c r="S136" s="6"/>
      <c r="T136" s="6"/>
      <c r="U136" s="6"/>
      <c r="V136" s="6"/>
      <c r="W136" s="6"/>
      <c r="X136" s="6"/>
      <c r="Y136" s="6"/>
      <c r="Z136" s="6"/>
      <c r="AA136" s="6"/>
      <c r="AB136" s="6"/>
      <c r="AC136" s="6"/>
    </row>
    <row r="137" spans="2:29" ht="15" x14ac:dyDescent="0.25">
      <c r="B137" s="6"/>
      <c r="C137" s="6"/>
      <c r="D137" s="6"/>
      <c r="E137" s="6"/>
      <c r="F137" s="6"/>
      <c r="G137" s="6"/>
      <c r="H137" s="6"/>
      <c r="I137" s="6"/>
      <c r="J137" s="6"/>
      <c r="K137" s="6"/>
      <c r="L137" s="6"/>
      <c r="M137" s="6"/>
      <c r="N137" s="6"/>
      <c r="O137" s="6"/>
      <c r="P137" s="6"/>
      <c r="Q137" s="6"/>
      <c r="R137" s="6"/>
      <c r="S137" s="6"/>
      <c r="T137" s="6"/>
      <c r="U137" s="6"/>
      <c r="V137" s="6"/>
      <c r="W137" s="6"/>
      <c r="X137" s="6"/>
      <c r="Y137" s="6"/>
      <c r="Z137" s="6"/>
      <c r="AA137" s="6"/>
      <c r="AB137" s="6"/>
      <c r="AC137" s="6"/>
    </row>
    <row r="138" spans="2:29" ht="15" x14ac:dyDescent="0.25">
      <c r="B138" s="6"/>
      <c r="C138" s="6"/>
      <c r="D138" s="6"/>
      <c r="E138" s="6"/>
      <c r="F138" s="6"/>
      <c r="G138" s="6"/>
      <c r="H138" s="6"/>
      <c r="I138" s="6"/>
      <c r="J138" s="6"/>
      <c r="K138" s="6"/>
      <c r="L138" s="6"/>
      <c r="M138" s="6"/>
      <c r="N138" s="6"/>
      <c r="O138" s="6"/>
      <c r="P138" s="6"/>
      <c r="Q138" s="6"/>
      <c r="R138" s="6"/>
      <c r="S138" s="6"/>
      <c r="T138" s="6"/>
      <c r="U138" s="6"/>
      <c r="V138" s="6"/>
      <c r="W138" s="6"/>
      <c r="X138" s="6"/>
      <c r="Y138" s="6"/>
      <c r="Z138" s="6"/>
      <c r="AA138" s="6"/>
      <c r="AB138" s="6"/>
      <c r="AC138" s="6"/>
    </row>
    <row r="139" spans="2:29" ht="15" x14ac:dyDescent="0.25">
      <c r="B139" s="6"/>
      <c r="C139" s="6"/>
      <c r="D139" s="6"/>
      <c r="E139" s="6"/>
      <c r="F139" s="6"/>
      <c r="G139" s="6"/>
      <c r="H139" s="6"/>
      <c r="I139" s="6"/>
      <c r="J139" s="6"/>
      <c r="K139" s="6"/>
      <c r="L139" s="6"/>
      <c r="M139" s="6"/>
      <c r="N139" s="6"/>
      <c r="O139" s="6"/>
      <c r="P139" s="6"/>
      <c r="Q139" s="6"/>
      <c r="R139" s="6"/>
      <c r="S139" s="6"/>
      <c r="T139" s="6"/>
      <c r="U139" s="6"/>
      <c r="V139" s="6"/>
      <c r="W139" s="6"/>
      <c r="X139" s="6"/>
      <c r="Y139" s="6"/>
      <c r="Z139" s="6"/>
      <c r="AA139" s="6"/>
      <c r="AB139" s="6"/>
      <c r="AC139" s="6"/>
    </row>
    <row r="140" spans="2:29" ht="15" x14ac:dyDescent="0.25">
      <c r="B140" s="6"/>
      <c r="C140" s="6"/>
      <c r="D140" s="6"/>
      <c r="E140" s="6"/>
      <c r="F140" s="6"/>
      <c r="G140" s="6"/>
      <c r="H140" s="6"/>
      <c r="I140" s="6"/>
      <c r="J140" s="6"/>
      <c r="K140" s="6"/>
      <c r="L140" s="6"/>
      <c r="M140" s="6"/>
      <c r="N140" s="6"/>
      <c r="O140" s="6"/>
      <c r="P140" s="6"/>
      <c r="Q140" s="6"/>
      <c r="R140" s="6"/>
      <c r="S140" s="6"/>
      <c r="T140" s="6"/>
      <c r="U140" s="6"/>
      <c r="V140" s="6"/>
      <c r="W140" s="6"/>
      <c r="X140" s="6"/>
      <c r="Y140" s="6"/>
      <c r="Z140" s="6"/>
      <c r="AA140" s="6"/>
      <c r="AB140" s="6"/>
      <c r="AC140" s="6"/>
    </row>
    <row r="141" spans="2:29" ht="15" x14ac:dyDescent="0.25">
      <c r="B141" s="6"/>
      <c r="C141" s="6"/>
      <c r="D141" s="6"/>
      <c r="E141" s="6"/>
      <c r="F141" s="6"/>
      <c r="G141" s="6"/>
      <c r="H141" s="6"/>
      <c r="I141" s="6"/>
      <c r="J141" s="6"/>
      <c r="K141" s="6"/>
      <c r="L141" s="6"/>
      <c r="M141" s="6"/>
      <c r="N141" s="6"/>
      <c r="O141" s="6"/>
      <c r="P141" s="6"/>
      <c r="Q141" s="6"/>
      <c r="R141" s="6"/>
      <c r="S141" s="6"/>
      <c r="T141" s="6"/>
      <c r="U141" s="6"/>
      <c r="V141" s="6"/>
      <c r="W141" s="6"/>
      <c r="X141" s="6"/>
      <c r="Y141" s="6"/>
      <c r="Z141" s="6"/>
      <c r="AA141" s="6"/>
      <c r="AB141" s="6"/>
      <c r="AC141" s="6"/>
    </row>
    <row r="142" spans="2:29" ht="15" x14ac:dyDescent="0.25">
      <c r="B142" s="6"/>
      <c r="C142" s="6"/>
      <c r="D142" s="6"/>
      <c r="E142" s="6"/>
      <c r="F142" s="6"/>
      <c r="G142" s="6"/>
      <c r="H142" s="6"/>
      <c r="I142" s="6"/>
      <c r="J142" s="6"/>
      <c r="K142" s="6"/>
      <c r="L142" s="6"/>
      <c r="M142" s="6"/>
      <c r="N142" s="6"/>
      <c r="O142" s="6"/>
      <c r="P142" s="6"/>
      <c r="Q142" s="6"/>
      <c r="R142" s="6"/>
      <c r="S142" s="6"/>
      <c r="T142" s="6"/>
      <c r="U142" s="6"/>
      <c r="V142" s="6"/>
      <c r="W142" s="6"/>
      <c r="X142" s="6"/>
      <c r="Y142" s="6"/>
      <c r="Z142" s="6"/>
      <c r="AA142" s="6"/>
      <c r="AB142" s="6"/>
      <c r="AC142" s="6"/>
    </row>
    <row r="143" spans="2:29" ht="15" x14ac:dyDescent="0.25">
      <c r="B143" s="6"/>
      <c r="C143" s="6"/>
      <c r="D143" s="6"/>
      <c r="E143" s="6"/>
      <c r="F143" s="6"/>
      <c r="G143" s="6"/>
      <c r="H143" s="6"/>
      <c r="I143" s="6"/>
      <c r="J143" s="6"/>
      <c r="K143" s="6"/>
      <c r="L143" s="6"/>
      <c r="M143" s="6"/>
      <c r="N143" s="6"/>
      <c r="O143" s="6"/>
      <c r="P143" s="6"/>
      <c r="Q143" s="6"/>
      <c r="R143" s="6"/>
      <c r="S143" s="6"/>
      <c r="T143" s="6"/>
      <c r="U143" s="6"/>
      <c r="V143" s="6"/>
      <c r="W143" s="6"/>
      <c r="X143" s="6"/>
      <c r="Y143" s="6"/>
      <c r="Z143" s="6"/>
      <c r="AA143" s="6"/>
      <c r="AB143" s="6"/>
      <c r="AC143" s="6"/>
    </row>
    <row r="144" spans="2:29" ht="15" x14ac:dyDescent="0.25">
      <c r="B144" s="6"/>
      <c r="C144" s="6"/>
      <c r="D144" s="6"/>
      <c r="E144" s="6"/>
      <c r="F144" s="6"/>
      <c r="G144" s="6"/>
      <c r="H144" s="6"/>
      <c r="I144" s="6"/>
      <c r="J144" s="6"/>
      <c r="K144" s="6"/>
      <c r="L144" s="6"/>
      <c r="M144" s="6"/>
      <c r="N144" s="6"/>
      <c r="O144" s="6"/>
      <c r="P144" s="6"/>
      <c r="Q144" s="6"/>
      <c r="R144" s="6"/>
      <c r="S144" s="6"/>
      <c r="T144" s="6"/>
      <c r="U144" s="6"/>
      <c r="V144" s="6"/>
      <c r="W144" s="6"/>
      <c r="X144" s="6"/>
      <c r="Y144" s="6"/>
      <c r="Z144" s="6"/>
      <c r="AA144" s="6"/>
      <c r="AB144" s="6"/>
      <c r="AC144" s="6"/>
    </row>
    <row r="145" spans="2:29" ht="15" x14ac:dyDescent="0.25">
      <c r="B145" s="6"/>
      <c r="C145" s="6"/>
      <c r="D145" s="6"/>
      <c r="E145" s="6"/>
      <c r="F145" s="6"/>
      <c r="G145" s="6"/>
      <c r="H145" s="6"/>
      <c r="I145" s="6"/>
      <c r="J145" s="6"/>
      <c r="K145" s="6"/>
      <c r="L145" s="6"/>
      <c r="M145" s="6"/>
      <c r="N145" s="6"/>
      <c r="O145" s="6"/>
      <c r="P145" s="6"/>
      <c r="Q145" s="6"/>
      <c r="R145" s="6"/>
      <c r="S145" s="6"/>
      <c r="T145" s="6"/>
      <c r="U145" s="6"/>
      <c r="V145" s="6"/>
      <c r="W145" s="6"/>
      <c r="X145" s="6"/>
      <c r="Y145" s="6"/>
      <c r="Z145" s="6"/>
      <c r="AA145" s="6"/>
      <c r="AB145" s="6"/>
      <c r="AC145" s="6"/>
    </row>
    <row r="146" spans="2:29" ht="15" x14ac:dyDescent="0.25">
      <c r="B146" s="6"/>
      <c r="C146" s="6"/>
      <c r="D146" s="6"/>
      <c r="E146" s="6"/>
      <c r="F146" s="6"/>
      <c r="G146" s="6"/>
      <c r="H146" s="6"/>
      <c r="I146" s="6"/>
      <c r="J146" s="6"/>
      <c r="K146" s="6"/>
      <c r="L146" s="6"/>
      <c r="M146" s="6"/>
      <c r="N146" s="6"/>
      <c r="O146" s="6"/>
      <c r="P146" s="6"/>
      <c r="Q146" s="6"/>
      <c r="R146" s="6"/>
      <c r="S146" s="6"/>
      <c r="T146" s="6"/>
      <c r="U146" s="6"/>
      <c r="V146" s="6"/>
      <c r="W146" s="6"/>
      <c r="X146" s="6"/>
      <c r="Y146" s="6"/>
      <c r="Z146" s="6"/>
      <c r="AA146" s="6"/>
      <c r="AB146" s="6"/>
      <c r="AC146" s="6"/>
    </row>
    <row r="147" spans="2:29" ht="15" x14ac:dyDescent="0.25">
      <c r="B147" s="6"/>
      <c r="C147" s="6"/>
      <c r="D147" s="6"/>
      <c r="E147" s="6"/>
      <c r="F147" s="6"/>
      <c r="G147" s="6"/>
      <c r="H147" s="6"/>
      <c r="I147" s="6"/>
      <c r="J147" s="6"/>
      <c r="K147" s="6"/>
      <c r="L147" s="6"/>
      <c r="M147" s="6"/>
      <c r="N147" s="6"/>
      <c r="O147" s="6"/>
      <c r="P147" s="6"/>
      <c r="Q147" s="6"/>
      <c r="R147" s="6"/>
      <c r="S147" s="6"/>
      <c r="T147" s="6"/>
      <c r="U147" s="6"/>
      <c r="V147" s="6"/>
      <c r="W147" s="6"/>
      <c r="X147" s="6"/>
      <c r="Y147" s="6"/>
      <c r="Z147" s="6"/>
      <c r="AA147" s="6"/>
      <c r="AB147" s="6"/>
      <c r="AC147" s="6"/>
    </row>
    <row r="148" spans="2:29" ht="15" x14ac:dyDescent="0.25">
      <c r="B148" s="6"/>
      <c r="C148" s="6"/>
      <c r="D148" s="6"/>
      <c r="E148" s="6"/>
      <c r="F148" s="6"/>
      <c r="G148" s="6"/>
      <c r="H148" s="6"/>
      <c r="I148" s="6"/>
      <c r="J148" s="6"/>
      <c r="K148" s="6"/>
      <c r="L148" s="6"/>
      <c r="M148" s="6"/>
      <c r="N148" s="6"/>
      <c r="O148" s="6"/>
      <c r="P148" s="6"/>
      <c r="Q148" s="6"/>
      <c r="R148" s="6"/>
      <c r="S148" s="6"/>
      <c r="T148" s="6"/>
      <c r="U148" s="6"/>
      <c r="V148" s="6"/>
      <c r="W148" s="6"/>
      <c r="X148" s="6"/>
      <c r="Y148" s="6"/>
      <c r="Z148" s="6"/>
      <c r="AA148" s="6"/>
      <c r="AB148" s="6"/>
      <c r="AC148" s="6"/>
    </row>
    <row r="149" spans="2:29" ht="15" x14ac:dyDescent="0.25">
      <c r="B149" s="6"/>
      <c r="C149" s="6"/>
      <c r="D149" s="6"/>
      <c r="E149" s="6"/>
      <c r="F149" s="6"/>
      <c r="G149" s="6"/>
      <c r="H149" s="6"/>
      <c r="I149" s="6"/>
      <c r="J149" s="6"/>
      <c r="K149" s="6"/>
      <c r="L149" s="6"/>
      <c r="M149" s="6"/>
      <c r="N149" s="6"/>
      <c r="O149" s="6"/>
      <c r="P149" s="6"/>
      <c r="Q149" s="6"/>
      <c r="R149" s="6"/>
      <c r="S149" s="6"/>
      <c r="T149" s="6"/>
      <c r="U149" s="6"/>
      <c r="V149" s="6"/>
      <c r="W149" s="6"/>
      <c r="X149" s="6"/>
      <c r="Y149" s="6"/>
      <c r="Z149" s="6"/>
      <c r="AA149" s="6"/>
      <c r="AB149" s="6"/>
      <c r="AC149" s="6"/>
    </row>
    <row r="150" spans="2:29" ht="15" x14ac:dyDescent="0.25">
      <c r="B150" s="6"/>
      <c r="C150" s="6"/>
      <c r="D150" s="6"/>
      <c r="E150" s="6"/>
      <c r="F150" s="6"/>
      <c r="G150" s="6"/>
      <c r="H150" s="6"/>
      <c r="I150" s="6"/>
      <c r="J150" s="6"/>
      <c r="K150" s="6"/>
      <c r="L150" s="6"/>
      <c r="M150" s="6"/>
      <c r="N150" s="6"/>
      <c r="O150" s="6"/>
      <c r="P150" s="6"/>
      <c r="Q150" s="6"/>
      <c r="R150" s="6"/>
      <c r="S150" s="6"/>
      <c r="T150" s="6"/>
      <c r="U150" s="6"/>
      <c r="V150" s="6"/>
      <c r="W150" s="6"/>
      <c r="X150" s="6"/>
      <c r="Y150" s="6"/>
      <c r="Z150" s="6"/>
      <c r="AA150" s="6"/>
      <c r="AB150" s="6"/>
      <c r="AC150" s="6"/>
    </row>
    <row r="151" spans="2:29" ht="15" x14ac:dyDescent="0.25">
      <c r="B151" s="6"/>
      <c r="C151" s="6"/>
      <c r="D151" s="6"/>
      <c r="E151" s="6"/>
      <c r="F151" s="6"/>
      <c r="G151" s="6"/>
      <c r="H151" s="6"/>
      <c r="I151" s="6"/>
      <c r="J151" s="6"/>
      <c r="K151" s="6"/>
      <c r="L151" s="6"/>
      <c r="M151" s="6"/>
      <c r="N151" s="6"/>
      <c r="O151" s="6"/>
      <c r="P151" s="6"/>
      <c r="Q151" s="6"/>
      <c r="R151" s="6"/>
      <c r="S151" s="6"/>
      <c r="T151" s="6"/>
      <c r="U151" s="6"/>
      <c r="V151" s="6"/>
      <c r="W151" s="6"/>
      <c r="X151" s="6"/>
      <c r="Y151" s="6"/>
      <c r="Z151" s="6"/>
      <c r="AA151" s="6"/>
      <c r="AB151" s="6"/>
      <c r="AC151" s="6"/>
    </row>
    <row r="152" spans="2:29" ht="15" x14ac:dyDescent="0.25">
      <c r="B152" s="6"/>
      <c r="C152" s="6"/>
      <c r="D152" s="6"/>
      <c r="E152" s="6"/>
      <c r="F152" s="6"/>
      <c r="G152" s="6"/>
      <c r="H152" s="6"/>
      <c r="I152" s="6"/>
      <c r="J152" s="6"/>
      <c r="K152" s="6"/>
      <c r="L152" s="6"/>
      <c r="M152" s="6"/>
      <c r="N152" s="6"/>
      <c r="O152" s="6"/>
      <c r="P152" s="6"/>
      <c r="Q152" s="6"/>
      <c r="R152" s="6"/>
      <c r="S152" s="6"/>
      <c r="T152" s="6"/>
      <c r="U152" s="6"/>
      <c r="V152" s="6"/>
      <c r="W152" s="6"/>
      <c r="X152" s="6"/>
      <c r="Y152" s="6"/>
      <c r="Z152" s="6"/>
      <c r="AA152" s="6"/>
      <c r="AB152" s="6"/>
      <c r="AC152" s="6"/>
    </row>
    <row r="153" spans="2:29" ht="15" x14ac:dyDescent="0.25">
      <c r="B153" s="6"/>
      <c r="C153" s="6"/>
      <c r="D153" s="6"/>
      <c r="E153" s="6"/>
      <c r="F153" s="6"/>
      <c r="G153" s="6"/>
      <c r="H153" s="6"/>
      <c r="I153" s="6"/>
      <c r="J153" s="6"/>
      <c r="K153" s="6"/>
      <c r="L153" s="6"/>
      <c r="M153" s="6"/>
      <c r="N153" s="6"/>
      <c r="O153" s="6"/>
      <c r="P153" s="6"/>
      <c r="Q153" s="6"/>
      <c r="R153" s="6"/>
      <c r="S153" s="6"/>
      <c r="T153" s="6"/>
      <c r="U153" s="6"/>
      <c r="V153" s="6"/>
      <c r="W153" s="6"/>
      <c r="X153" s="6"/>
      <c r="Y153" s="6"/>
      <c r="Z153" s="6"/>
      <c r="AA153" s="6"/>
      <c r="AB153" s="6"/>
      <c r="AC153" s="6"/>
    </row>
    <row r="154" spans="2:29" ht="15" x14ac:dyDescent="0.25">
      <c r="B154" s="6"/>
      <c r="C154" s="6"/>
      <c r="D154" s="6"/>
      <c r="E154" s="6"/>
      <c r="F154" s="6"/>
      <c r="G154" s="6"/>
      <c r="H154" s="6"/>
      <c r="I154" s="6"/>
      <c r="J154" s="6"/>
      <c r="K154" s="6"/>
      <c r="L154" s="6"/>
      <c r="M154" s="6"/>
      <c r="N154" s="6"/>
      <c r="O154" s="6"/>
      <c r="P154" s="6"/>
      <c r="Q154" s="6"/>
      <c r="R154" s="6"/>
      <c r="S154" s="6"/>
      <c r="T154" s="6"/>
      <c r="U154" s="6"/>
      <c r="V154" s="6"/>
      <c r="W154" s="6"/>
      <c r="X154" s="6"/>
      <c r="Y154" s="6"/>
      <c r="Z154" s="6"/>
      <c r="AA154" s="6"/>
      <c r="AB154" s="6"/>
      <c r="AC154" s="6"/>
    </row>
    <row r="155" spans="2:29" ht="15" x14ac:dyDescent="0.25">
      <c r="B155" s="6"/>
      <c r="C155" s="6"/>
      <c r="D155" s="6"/>
      <c r="E155" s="6"/>
      <c r="F155" s="6"/>
      <c r="G155" s="6"/>
      <c r="H155" s="6"/>
      <c r="I155" s="6"/>
      <c r="J155" s="6"/>
      <c r="K155" s="6"/>
      <c r="L155" s="6"/>
      <c r="M155" s="6"/>
      <c r="N155" s="6"/>
      <c r="O155" s="6"/>
      <c r="P155" s="6"/>
      <c r="Q155" s="6"/>
      <c r="R155" s="6"/>
      <c r="S155" s="6"/>
      <c r="T155" s="6"/>
      <c r="U155" s="6"/>
      <c r="V155" s="6"/>
      <c r="W155" s="6"/>
      <c r="X155" s="6"/>
      <c r="Y155" s="6"/>
      <c r="Z155" s="6"/>
      <c r="AA155" s="6"/>
      <c r="AB155" s="6"/>
      <c r="AC155" s="6"/>
    </row>
    <row r="156" spans="2:29" ht="15" x14ac:dyDescent="0.25">
      <c r="B156" s="6"/>
      <c r="C156" s="6"/>
      <c r="D156" s="6"/>
      <c r="E156" s="6"/>
      <c r="F156" s="6"/>
      <c r="G156" s="6"/>
      <c r="H156" s="6"/>
      <c r="I156" s="6"/>
      <c r="J156" s="6"/>
      <c r="K156" s="6"/>
      <c r="L156" s="6"/>
      <c r="M156" s="6"/>
      <c r="N156" s="6"/>
      <c r="O156" s="6"/>
      <c r="P156" s="6"/>
      <c r="Q156" s="6"/>
      <c r="R156" s="6"/>
      <c r="S156" s="6"/>
      <c r="T156" s="6"/>
      <c r="U156" s="6"/>
      <c r="V156" s="6"/>
      <c r="W156" s="6"/>
      <c r="X156" s="6"/>
      <c r="Y156" s="6"/>
      <c r="Z156" s="6"/>
      <c r="AA156" s="6"/>
      <c r="AB156" s="6"/>
      <c r="AC156" s="6"/>
    </row>
    <row r="157" spans="2:29" ht="15" x14ac:dyDescent="0.25">
      <c r="B157" s="6"/>
      <c r="C157" s="6"/>
      <c r="D157" s="6"/>
      <c r="E157" s="6"/>
      <c r="F157" s="6"/>
      <c r="G157" s="6"/>
      <c r="H157" s="6"/>
      <c r="I157" s="6"/>
      <c r="J157" s="6"/>
      <c r="K157" s="6"/>
      <c r="L157" s="6"/>
      <c r="M157" s="6"/>
      <c r="N157" s="6"/>
      <c r="O157" s="6"/>
      <c r="P157" s="6"/>
      <c r="Q157" s="6"/>
      <c r="R157" s="6"/>
      <c r="S157" s="6"/>
      <c r="T157" s="6"/>
      <c r="U157" s="6"/>
      <c r="V157" s="6"/>
      <c r="W157" s="6"/>
      <c r="X157" s="6"/>
      <c r="Y157" s="6"/>
      <c r="Z157" s="6"/>
      <c r="AA157" s="6"/>
      <c r="AB157" s="6"/>
      <c r="AC157" s="6"/>
    </row>
    <row r="158" spans="2:29" ht="15" x14ac:dyDescent="0.25">
      <c r="B158" s="6"/>
      <c r="C158" s="6"/>
      <c r="D158" s="6"/>
      <c r="E158" s="6"/>
      <c r="F158" s="6"/>
      <c r="G158" s="6"/>
      <c r="H158" s="6"/>
      <c r="I158" s="6"/>
      <c r="J158" s="6"/>
      <c r="K158" s="6"/>
      <c r="L158" s="6"/>
      <c r="M158" s="6"/>
      <c r="N158" s="6"/>
      <c r="O158" s="6"/>
      <c r="P158" s="6"/>
      <c r="Q158" s="6"/>
      <c r="R158" s="6"/>
      <c r="S158" s="6"/>
      <c r="T158" s="6"/>
      <c r="U158" s="6"/>
      <c r="V158" s="6"/>
      <c r="W158" s="6"/>
      <c r="X158" s="6"/>
      <c r="Y158" s="6"/>
      <c r="Z158" s="6"/>
      <c r="AA158" s="6"/>
      <c r="AB158" s="6"/>
      <c r="AC158" s="6"/>
    </row>
    <row r="159" spans="2:29" ht="15" x14ac:dyDescent="0.25">
      <c r="B159" s="6"/>
      <c r="C159" s="6"/>
      <c r="D159" s="6"/>
      <c r="E159" s="6"/>
      <c r="F159" s="6"/>
      <c r="G159" s="6"/>
      <c r="H159" s="6"/>
      <c r="I159" s="6"/>
      <c r="J159" s="6"/>
      <c r="K159" s="6"/>
      <c r="L159" s="6"/>
      <c r="M159" s="6"/>
      <c r="N159" s="6"/>
      <c r="O159" s="6"/>
      <c r="P159" s="6"/>
      <c r="Q159" s="6"/>
      <c r="R159" s="6"/>
      <c r="S159" s="6"/>
      <c r="T159" s="6"/>
      <c r="U159" s="6"/>
      <c r="V159" s="6"/>
      <c r="W159" s="6"/>
      <c r="X159" s="6"/>
      <c r="Y159" s="6"/>
      <c r="Z159" s="6"/>
      <c r="AA159" s="6"/>
      <c r="AB159" s="6"/>
      <c r="AC159" s="6"/>
    </row>
    <row r="160" spans="2:29" ht="15" x14ac:dyDescent="0.25">
      <c r="B160" s="6"/>
      <c r="C160" s="6"/>
      <c r="D160" s="6"/>
      <c r="E160" s="6"/>
      <c r="F160" s="6"/>
      <c r="G160" s="6"/>
      <c r="H160" s="6"/>
      <c r="I160" s="6"/>
      <c r="J160" s="6"/>
      <c r="K160" s="6"/>
      <c r="L160" s="6"/>
      <c r="M160" s="6"/>
      <c r="N160" s="6"/>
      <c r="O160" s="6"/>
      <c r="P160" s="6"/>
      <c r="Q160" s="6"/>
      <c r="R160" s="6"/>
      <c r="S160" s="6"/>
      <c r="T160" s="6"/>
      <c r="U160" s="6"/>
      <c r="V160" s="6"/>
      <c r="W160" s="6"/>
      <c r="X160" s="6"/>
      <c r="Y160" s="6"/>
      <c r="Z160" s="6"/>
      <c r="AA160" s="6"/>
      <c r="AB160" s="6"/>
      <c r="AC160" s="6"/>
    </row>
    <row r="161" spans="2:29" ht="15" x14ac:dyDescent="0.25">
      <c r="B161" s="6"/>
      <c r="C161" s="6"/>
      <c r="D161" s="6"/>
      <c r="E161" s="6"/>
      <c r="F161" s="6"/>
      <c r="G161" s="6"/>
      <c r="H161" s="6"/>
      <c r="I161" s="6"/>
      <c r="J161" s="6"/>
      <c r="K161" s="6"/>
      <c r="L161" s="6"/>
      <c r="M161" s="6"/>
      <c r="N161" s="6"/>
      <c r="O161" s="6"/>
      <c r="P161" s="6"/>
      <c r="Q161" s="6"/>
      <c r="R161" s="6"/>
      <c r="S161" s="6"/>
      <c r="T161" s="6"/>
      <c r="U161" s="6"/>
      <c r="V161" s="6"/>
      <c r="W161" s="6"/>
      <c r="X161" s="6"/>
      <c r="Y161" s="6"/>
      <c r="Z161" s="6"/>
      <c r="AA161" s="6"/>
      <c r="AB161" s="6"/>
      <c r="AC161" s="6"/>
    </row>
    <row r="162" spans="2:29" ht="15" x14ac:dyDescent="0.25">
      <c r="B162" s="6"/>
      <c r="C162" s="6"/>
      <c r="D162" s="6"/>
      <c r="E162" s="6"/>
      <c r="F162" s="6"/>
      <c r="G162" s="6"/>
      <c r="H162" s="6"/>
      <c r="I162" s="6"/>
      <c r="J162" s="6"/>
      <c r="K162" s="6"/>
      <c r="L162" s="6"/>
      <c r="M162" s="6"/>
      <c r="N162" s="6"/>
      <c r="O162" s="6"/>
      <c r="P162" s="6"/>
      <c r="Q162" s="6"/>
      <c r="R162" s="6"/>
      <c r="S162" s="6"/>
      <c r="T162" s="6"/>
      <c r="U162" s="6"/>
      <c r="V162" s="6"/>
      <c r="W162" s="6"/>
      <c r="X162" s="6"/>
      <c r="Y162" s="6"/>
      <c r="Z162" s="6"/>
      <c r="AA162" s="6"/>
      <c r="AB162" s="6"/>
      <c r="AC162" s="6"/>
    </row>
    <row r="163" spans="2:29" ht="15" x14ac:dyDescent="0.25">
      <c r="B163" s="6"/>
      <c r="C163" s="6"/>
      <c r="D163" s="6"/>
      <c r="E163" s="6"/>
      <c r="F163" s="6"/>
      <c r="G163" s="6"/>
      <c r="H163" s="6"/>
      <c r="I163" s="6"/>
      <c r="J163" s="6"/>
      <c r="K163" s="6"/>
      <c r="L163" s="6"/>
      <c r="M163" s="6"/>
      <c r="N163" s="6"/>
      <c r="O163" s="6"/>
      <c r="P163" s="6"/>
      <c r="Q163" s="6"/>
      <c r="R163" s="6"/>
      <c r="S163" s="6"/>
      <c r="T163" s="6"/>
      <c r="U163" s="6"/>
      <c r="V163" s="6"/>
      <c r="W163" s="6"/>
      <c r="X163" s="6"/>
      <c r="Y163" s="6"/>
      <c r="Z163" s="6"/>
      <c r="AA163" s="6"/>
      <c r="AB163" s="6"/>
      <c r="AC163" s="6"/>
    </row>
    <row r="164" spans="2:29" ht="15" x14ac:dyDescent="0.25">
      <c r="B164" s="6"/>
      <c r="C164" s="6"/>
      <c r="D164" s="6"/>
      <c r="E164" s="6"/>
      <c r="F164" s="6"/>
      <c r="G164" s="6"/>
      <c r="H164" s="6"/>
      <c r="I164" s="6"/>
      <c r="J164" s="6"/>
      <c r="K164" s="6"/>
      <c r="L164" s="6"/>
      <c r="M164" s="6"/>
      <c r="N164" s="6"/>
      <c r="O164" s="6"/>
      <c r="P164" s="6"/>
      <c r="Q164" s="6"/>
      <c r="R164" s="6"/>
      <c r="S164" s="6"/>
      <c r="T164" s="6"/>
      <c r="U164" s="6"/>
      <c r="V164" s="6"/>
      <c r="W164" s="6"/>
      <c r="X164" s="6"/>
      <c r="Y164" s="6"/>
      <c r="Z164" s="6"/>
      <c r="AA164" s="6"/>
      <c r="AB164" s="6"/>
      <c r="AC164" s="6"/>
    </row>
    <row r="165" spans="2:29" ht="15" x14ac:dyDescent="0.25">
      <c r="B165" s="6"/>
      <c r="C165" s="6"/>
      <c r="D165" s="6"/>
      <c r="E165" s="6"/>
      <c r="F165" s="6"/>
      <c r="G165" s="6"/>
      <c r="H165" s="6"/>
      <c r="I165" s="6"/>
      <c r="J165" s="6"/>
      <c r="K165" s="6"/>
      <c r="L165" s="6"/>
      <c r="M165" s="6"/>
      <c r="N165" s="6"/>
      <c r="O165" s="6"/>
      <c r="P165" s="6"/>
      <c r="Q165" s="6"/>
      <c r="R165" s="6"/>
      <c r="S165" s="6"/>
      <c r="T165" s="6"/>
      <c r="U165" s="6"/>
      <c r="V165" s="6"/>
      <c r="W165" s="6"/>
      <c r="X165" s="6"/>
      <c r="Y165" s="6"/>
      <c r="Z165" s="6"/>
      <c r="AA165" s="6"/>
      <c r="AB165" s="6"/>
      <c r="AC165" s="6"/>
    </row>
    <row r="166" spans="2:29" ht="15" x14ac:dyDescent="0.25">
      <c r="B166" s="6"/>
      <c r="C166" s="6"/>
      <c r="D166" s="6"/>
      <c r="E166" s="6"/>
      <c r="F166" s="6"/>
      <c r="G166" s="6"/>
      <c r="H166" s="6"/>
      <c r="I166" s="6"/>
      <c r="J166" s="6"/>
      <c r="K166" s="6"/>
      <c r="L166" s="6"/>
      <c r="M166" s="6"/>
      <c r="N166" s="6"/>
      <c r="O166" s="6"/>
      <c r="P166" s="6"/>
      <c r="Q166" s="6"/>
      <c r="R166" s="6"/>
      <c r="S166" s="6"/>
      <c r="T166" s="6"/>
      <c r="U166" s="6"/>
      <c r="V166" s="6"/>
      <c r="W166" s="6"/>
      <c r="X166" s="6"/>
      <c r="Y166" s="6"/>
      <c r="Z166" s="6"/>
      <c r="AA166" s="6"/>
      <c r="AB166" s="6"/>
      <c r="AC166" s="6"/>
    </row>
    <row r="167" spans="2:29" ht="15" x14ac:dyDescent="0.25">
      <c r="B167" s="6"/>
      <c r="C167" s="6"/>
      <c r="D167" s="6"/>
      <c r="E167" s="6"/>
      <c r="F167" s="6"/>
      <c r="G167" s="6"/>
      <c r="H167" s="6"/>
      <c r="I167" s="6"/>
      <c r="J167" s="6"/>
      <c r="K167" s="6"/>
      <c r="L167" s="6"/>
      <c r="M167" s="6"/>
      <c r="N167" s="6"/>
      <c r="O167" s="6"/>
      <c r="P167" s="6"/>
      <c r="Q167" s="6"/>
      <c r="R167" s="6"/>
      <c r="S167" s="6"/>
      <c r="T167" s="6"/>
      <c r="U167" s="6"/>
      <c r="V167" s="6"/>
      <c r="W167" s="6"/>
      <c r="X167" s="6"/>
      <c r="Y167" s="6"/>
      <c r="Z167" s="6"/>
      <c r="AA167" s="6"/>
      <c r="AB167" s="6"/>
      <c r="AC167" s="6"/>
    </row>
    <row r="168" spans="2:29" ht="15" x14ac:dyDescent="0.25">
      <c r="B168" s="6"/>
      <c r="C168" s="6"/>
      <c r="D168" s="6"/>
      <c r="E168" s="6"/>
      <c r="F168" s="6"/>
      <c r="G168" s="6"/>
      <c r="H168" s="6"/>
      <c r="I168" s="6"/>
      <c r="J168" s="6"/>
      <c r="K168" s="6"/>
      <c r="L168" s="6"/>
      <c r="M168" s="6"/>
      <c r="N168" s="6"/>
      <c r="O168" s="6"/>
      <c r="P168" s="6"/>
      <c r="Q168" s="6"/>
      <c r="R168" s="6"/>
      <c r="S168" s="6"/>
      <c r="T168" s="6"/>
      <c r="U168" s="6"/>
      <c r="V168" s="6"/>
      <c r="W168" s="6"/>
      <c r="X168" s="6"/>
      <c r="Y168" s="6"/>
      <c r="Z168" s="6"/>
      <c r="AA168" s="6"/>
      <c r="AB168" s="6"/>
      <c r="AC168" s="6"/>
    </row>
    <row r="169" spans="2:29" ht="15" x14ac:dyDescent="0.25">
      <c r="B169" s="6"/>
      <c r="C169" s="6"/>
      <c r="D169" s="6"/>
      <c r="E169" s="6"/>
      <c r="F169" s="6"/>
      <c r="G169" s="6"/>
      <c r="H169" s="6"/>
      <c r="I169" s="6"/>
      <c r="J169" s="6"/>
      <c r="K169" s="6"/>
      <c r="L169" s="6"/>
      <c r="M169" s="6"/>
      <c r="N169" s="6"/>
      <c r="O169" s="6"/>
      <c r="P169" s="6"/>
      <c r="Q169" s="6"/>
      <c r="R169" s="6"/>
      <c r="S169" s="6"/>
      <c r="T169" s="6"/>
      <c r="U169" s="6"/>
      <c r="V169" s="6"/>
      <c r="W169" s="6"/>
      <c r="X169" s="6"/>
      <c r="Y169" s="6"/>
      <c r="Z169" s="6"/>
      <c r="AA169" s="6"/>
      <c r="AB169" s="6"/>
      <c r="AC169" s="6"/>
    </row>
    <row r="170" spans="2:29" ht="15" x14ac:dyDescent="0.25">
      <c r="B170" s="6"/>
      <c r="C170" s="6"/>
      <c r="D170" s="6"/>
      <c r="E170" s="6"/>
      <c r="F170" s="6"/>
      <c r="G170" s="6"/>
      <c r="H170" s="6"/>
      <c r="I170" s="6"/>
      <c r="J170" s="6"/>
      <c r="K170" s="6"/>
      <c r="L170" s="6"/>
      <c r="M170" s="6"/>
      <c r="N170" s="6"/>
      <c r="O170" s="6"/>
      <c r="P170" s="6"/>
      <c r="Q170" s="6"/>
      <c r="R170" s="6"/>
      <c r="S170" s="6"/>
      <c r="T170" s="6"/>
      <c r="U170" s="6"/>
      <c r="V170" s="6"/>
      <c r="W170" s="6"/>
      <c r="X170" s="6"/>
      <c r="Y170" s="6"/>
      <c r="Z170" s="6"/>
      <c r="AA170" s="6"/>
      <c r="AB170" s="6"/>
      <c r="AC170" s="6"/>
    </row>
    <row r="171" spans="2:29" ht="15" x14ac:dyDescent="0.25">
      <c r="B171" s="6"/>
      <c r="C171" s="6"/>
      <c r="D171" s="6"/>
      <c r="E171" s="6"/>
      <c r="F171" s="6"/>
      <c r="G171" s="6"/>
      <c r="H171" s="6"/>
      <c r="I171" s="6"/>
      <c r="J171" s="6"/>
      <c r="K171" s="6"/>
      <c r="L171" s="6"/>
      <c r="M171" s="6"/>
      <c r="N171" s="6"/>
      <c r="O171" s="6"/>
      <c r="P171" s="6"/>
      <c r="Q171" s="6"/>
      <c r="R171" s="6"/>
      <c r="S171" s="6"/>
      <c r="T171" s="6"/>
      <c r="U171" s="6"/>
      <c r="V171" s="6"/>
      <c r="W171" s="6"/>
      <c r="X171" s="6"/>
      <c r="Y171" s="6"/>
      <c r="Z171" s="6"/>
      <c r="AA171" s="6"/>
      <c r="AB171" s="6"/>
      <c r="AC171" s="6"/>
    </row>
    <row r="172" spans="2:29" ht="15" x14ac:dyDescent="0.25">
      <c r="B172" s="6"/>
      <c r="C172" s="6"/>
      <c r="D172" s="6"/>
      <c r="E172" s="6"/>
      <c r="F172" s="6"/>
      <c r="G172" s="6"/>
      <c r="H172" s="6"/>
      <c r="I172" s="6"/>
      <c r="J172" s="6"/>
      <c r="K172" s="6"/>
      <c r="L172" s="6"/>
      <c r="M172" s="6"/>
      <c r="N172" s="6"/>
      <c r="O172" s="6"/>
      <c r="P172" s="6"/>
      <c r="Q172" s="6"/>
      <c r="R172" s="6"/>
      <c r="S172" s="6"/>
      <c r="T172" s="6"/>
      <c r="U172" s="6"/>
      <c r="V172" s="6"/>
      <c r="W172" s="6"/>
      <c r="X172" s="6"/>
      <c r="Y172" s="6"/>
      <c r="Z172" s="6"/>
      <c r="AA172" s="6"/>
      <c r="AB172" s="6"/>
      <c r="AC172" s="6"/>
    </row>
    <row r="173" spans="2:29" ht="15" x14ac:dyDescent="0.25">
      <c r="B173" s="6"/>
      <c r="C173" s="6"/>
      <c r="D173" s="6"/>
      <c r="E173" s="6"/>
      <c r="F173" s="6"/>
      <c r="G173" s="6"/>
      <c r="H173" s="6"/>
      <c r="I173" s="6"/>
      <c r="J173" s="6"/>
      <c r="K173" s="6"/>
      <c r="L173" s="6"/>
      <c r="M173" s="6"/>
      <c r="N173" s="6"/>
      <c r="O173" s="6"/>
      <c r="P173" s="6"/>
      <c r="Q173" s="6"/>
      <c r="R173" s="6"/>
      <c r="S173" s="6"/>
      <c r="T173" s="6"/>
      <c r="U173" s="6"/>
      <c r="V173" s="6"/>
      <c r="W173" s="6"/>
      <c r="X173" s="6"/>
      <c r="Y173" s="6"/>
      <c r="Z173" s="6"/>
      <c r="AA173" s="6"/>
      <c r="AB173" s="6"/>
      <c r="AC173" s="6"/>
    </row>
    <row r="174" spans="2:29" ht="15" x14ac:dyDescent="0.25">
      <c r="B174" s="6"/>
      <c r="C174" s="6"/>
      <c r="D174" s="6"/>
      <c r="E174" s="6"/>
      <c r="F174" s="6"/>
      <c r="G174" s="6"/>
      <c r="H174" s="6"/>
      <c r="I174" s="6"/>
      <c r="J174" s="6"/>
      <c r="K174" s="6"/>
      <c r="L174" s="6"/>
      <c r="M174" s="6"/>
      <c r="N174" s="6"/>
      <c r="O174" s="6"/>
      <c r="P174" s="6"/>
      <c r="Q174" s="6"/>
      <c r="R174" s="6"/>
      <c r="S174" s="6"/>
      <c r="T174" s="6"/>
      <c r="U174" s="6"/>
      <c r="V174" s="6"/>
      <c r="W174" s="6"/>
      <c r="X174" s="6"/>
      <c r="Y174" s="6"/>
      <c r="Z174" s="6"/>
      <c r="AA174" s="6"/>
      <c r="AB174" s="6"/>
      <c r="AC174" s="6"/>
    </row>
    <row r="175" spans="2:29" ht="15" x14ac:dyDescent="0.25">
      <c r="B175" s="6"/>
      <c r="C175" s="6"/>
      <c r="D175" s="6"/>
      <c r="E175" s="6"/>
      <c r="F175" s="6"/>
      <c r="G175" s="6"/>
      <c r="H175" s="6"/>
      <c r="I175" s="6"/>
      <c r="J175" s="6"/>
      <c r="K175" s="6"/>
      <c r="L175" s="6"/>
      <c r="M175" s="6"/>
      <c r="N175" s="6"/>
      <c r="O175" s="6"/>
      <c r="P175" s="6"/>
      <c r="Q175" s="6"/>
      <c r="R175" s="6"/>
      <c r="S175" s="6"/>
      <c r="T175" s="6"/>
      <c r="U175" s="6"/>
      <c r="V175" s="6"/>
      <c r="W175" s="6"/>
      <c r="X175" s="6"/>
      <c r="Y175" s="6"/>
      <c r="Z175" s="6"/>
      <c r="AA175" s="6"/>
      <c r="AB175" s="6"/>
      <c r="AC175" s="6"/>
    </row>
    <row r="176" spans="2:29" ht="15" x14ac:dyDescent="0.25">
      <c r="B176" s="6"/>
      <c r="C176" s="6"/>
      <c r="D176" s="6"/>
      <c r="E176" s="6"/>
      <c r="F176" s="6"/>
      <c r="G176" s="6"/>
      <c r="H176" s="6"/>
      <c r="I176" s="6"/>
      <c r="J176" s="6"/>
      <c r="K176" s="6"/>
      <c r="L176" s="6"/>
      <c r="M176" s="6"/>
      <c r="N176" s="6"/>
      <c r="O176" s="6"/>
      <c r="P176" s="6"/>
      <c r="Q176" s="6"/>
      <c r="R176" s="6"/>
      <c r="S176" s="6"/>
      <c r="T176" s="6"/>
      <c r="U176" s="6"/>
      <c r="V176" s="6"/>
      <c r="W176" s="6"/>
      <c r="X176" s="6"/>
      <c r="Y176" s="6"/>
      <c r="Z176" s="6"/>
      <c r="AA176" s="6"/>
      <c r="AB176" s="6"/>
      <c r="AC176" s="6"/>
    </row>
    <row r="177" spans="2:29" ht="15" x14ac:dyDescent="0.25">
      <c r="B177" s="6"/>
      <c r="C177" s="6"/>
      <c r="D177" s="6"/>
      <c r="E177" s="6"/>
      <c r="F177" s="6"/>
      <c r="G177" s="6"/>
      <c r="H177" s="6"/>
      <c r="I177" s="6"/>
      <c r="J177" s="6"/>
      <c r="K177" s="6"/>
      <c r="L177" s="6"/>
      <c r="M177" s="6"/>
      <c r="N177" s="6"/>
      <c r="O177" s="6"/>
      <c r="P177" s="6"/>
      <c r="Q177" s="6"/>
      <c r="R177" s="6"/>
      <c r="S177" s="6"/>
      <c r="T177" s="6"/>
      <c r="U177" s="6"/>
      <c r="V177" s="6"/>
      <c r="W177" s="6"/>
      <c r="X177" s="6"/>
      <c r="Y177" s="6"/>
      <c r="Z177" s="6"/>
      <c r="AA177" s="6"/>
      <c r="AB177" s="6"/>
      <c r="AC177" s="6"/>
    </row>
    <row r="178" spans="2:29" ht="15" x14ac:dyDescent="0.25">
      <c r="B178" s="6"/>
      <c r="C178" s="6"/>
      <c r="D178" s="6"/>
      <c r="E178" s="6"/>
      <c r="F178" s="6"/>
      <c r="G178" s="6"/>
      <c r="H178" s="6"/>
      <c r="I178" s="6"/>
      <c r="J178" s="6"/>
      <c r="K178" s="6"/>
      <c r="L178" s="6"/>
      <c r="M178" s="6"/>
      <c r="N178" s="6"/>
      <c r="O178" s="6"/>
      <c r="P178" s="6"/>
      <c r="Q178" s="6"/>
      <c r="R178" s="6"/>
      <c r="S178" s="6"/>
      <c r="T178" s="6"/>
      <c r="U178" s="6"/>
      <c r="V178" s="6"/>
      <c r="W178" s="6"/>
      <c r="X178" s="6"/>
      <c r="Y178" s="6"/>
      <c r="Z178" s="6"/>
      <c r="AA178" s="6"/>
      <c r="AB178" s="6"/>
      <c r="AC178" s="6"/>
    </row>
    <row r="179" spans="2:29" ht="15" x14ac:dyDescent="0.25">
      <c r="B179" s="6"/>
      <c r="C179" s="6"/>
      <c r="D179" s="6"/>
      <c r="E179" s="6"/>
      <c r="F179" s="6"/>
      <c r="G179" s="6"/>
      <c r="H179" s="6"/>
      <c r="I179" s="6"/>
      <c r="J179" s="6"/>
      <c r="K179" s="6"/>
      <c r="L179" s="6"/>
      <c r="M179" s="6"/>
      <c r="N179" s="6"/>
      <c r="O179" s="6"/>
      <c r="P179" s="6"/>
      <c r="Q179" s="6"/>
      <c r="R179" s="6"/>
      <c r="S179" s="6"/>
      <c r="T179" s="6"/>
      <c r="U179" s="6"/>
      <c r="V179" s="6"/>
      <c r="W179" s="6"/>
      <c r="X179" s="6"/>
      <c r="Y179" s="6"/>
      <c r="Z179" s="6"/>
      <c r="AA179" s="6"/>
      <c r="AB179" s="6"/>
      <c r="AC179" s="6"/>
    </row>
    <row r="180" spans="2:29" ht="15" x14ac:dyDescent="0.25">
      <c r="B180" s="6"/>
      <c r="C180" s="6"/>
      <c r="D180" s="6"/>
      <c r="E180" s="6"/>
      <c r="F180" s="6"/>
      <c r="G180" s="6"/>
      <c r="H180" s="6"/>
      <c r="I180" s="6"/>
      <c r="J180" s="6"/>
      <c r="K180" s="6"/>
      <c r="L180" s="6"/>
      <c r="M180" s="6"/>
      <c r="N180" s="6"/>
      <c r="O180" s="6"/>
      <c r="P180" s="6"/>
      <c r="Q180" s="6"/>
      <c r="R180" s="6"/>
      <c r="S180" s="6"/>
      <c r="T180" s="6"/>
      <c r="U180" s="6"/>
      <c r="V180" s="6"/>
      <c r="W180" s="6"/>
      <c r="X180" s="6"/>
      <c r="Y180" s="6"/>
      <c r="Z180" s="6"/>
      <c r="AA180" s="6"/>
      <c r="AB180" s="6"/>
      <c r="AC180" s="6"/>
    </row>
    <row r="181" spans="2:29" ht="15" x14ac:dyDescent="0.25">
      <c r="B181" s="6"/>
      <c r="C181" s="6"/>
      <c r="D181" s="6"/>
      <c r="E181" s="6"/>
      <c r="F181" s="6"/>
      <c r="G181" s="6"/>
      <c r="H181" s="6"/>
      <c r="I181" s="6"/>
      <c r="J181" s="6"/>
      <c r="K181" s="6"/>
      <c r="L181" s="6"/>
      <c r="M181" s="6"/>
      <c r="N181" s="6"/>
      <c r="O181" s="6"/>
      <c r="P181" s="6"/>
      <c r="Q181" s="6"/>
      <c r="R181" s="6"/>
      <c r="S181" s="6"/>
      <c r="T181" s="6"/>
      <c r="U181" s="6"/>
      <c r="V181" s="6"/>
      <c r="W181" s="6"/>
      <c r="X181" s="6"/>
      <c r="Y181" s="6"/>
      <c r="Z181" s="6"/>
      <c r="AA181" s="6"/>
      <c r="AB181" s="6"/>
      <c r="AC181" s="6"/>
    </row>
  </sheetData>
  <sheetProtection algorithmName="SHA-512" hashValue="61b5+MpI+UKUnPTZP7MTqiWMUiWKNRS3qJI9mfyWBzAqoyP1TAUgQvNn+qOwyjN3Bir+ioktxp/YC57SQt1D0g==" saltValue="WfegSomk/L25JognlC7rEQ==" spinCount="100000" sheet="1" objects="1" scenarios="1" selectLockedCells="1" selectUnlockedCells="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58" r:id="rId3" name="Group Box 10">
              <controlPr locked="0" defaultSize="0" autoFill="0" autoPict="0">
                <anchor moveWithCells="1">
                  <from>
                    <xdr:col>21</xdr:col>
                    <xdr:colOff>447675</xdr:colOff>
                    <xdr:row>34</xdr:row>
                    <xdr:rowOff>104775</xdr:rowOff>
                  </from>
                  <to>
                    <xdr:col>27</xdr:col>
                    <xdr:colOff>200025</xdr:colOff>
                    <xdr:row>37</xdr:row>
                    <xdr:rowOff>123825</xdr:rowOff>
                  </to>
                </anchor>
              </controlPr>
            </control>
          </mc:Choice>
        </mc:AlternateContent>
        <mc:AlternateContent xmlns:mc="http://schemas.openxmlformats.org/markup-compatibility/2006">
          <mc:Choice Requires="x14">
            <control shapeId="2049" r:id="rId4" name="Group Box 1">
              <controlPr defaultSize="0" autoFill="0" autoPict="0">
                <anchor>
                  <from>
                    <xdr:col>10</xdr:col>
                    <xdr:colOff>333375</xdr:colOff>
                    <xdr:row>3</xdr:row>
                    <xdr:rowOff>38100</xdr:rowOff>
                  </from>
                  <to>
                    <xdr:col>19</xdr:col>
                    <xdr:colOff>9525</xdr:colOff>
                    <xdr:row>6</xdr:row>
                    <xdr:rowOff>95250</xdr:rowOff>
                  </to>
                </anchor>
              </controlPr>
            </control>
          </mc:Choice>
        </mc:AlternateContent>
        <mc:AlternateContent xmlns:mc="http://schemas.openxmlformats.org/markup-compatibility/2006">
          <mc:Choice Requires="x14">
            <control shapeId="2050" r:id="rId5" name="Option Button 2">
              <controlPr defaultSize="0" autoFill="0" autoLine="0" autoPict="0">
                <anchor>
                  <from>
                    <xdr:col>10</xdr:col>
                    <xdr:colOff>561975</xdr:colOff>
                    <xdr:row>4</xdr:row>
                    <xdr:rowOff>38100</xdr:rowOff>
                  </from>
                  <to>
                    <xdr:col>12</xdr:col>
                    <xdr:colOff>533400</xdr:colOff>
                    <xdr:row>5</xdr:row>
                    <xdr:rowOff>123825</xdr:rowOff>
                  </to>
                </anchor>
              </controlPr>
            </control>
          </mc:Choice>
        </mc:AlternateContent>
        <mc:AlternateContent xmlns:mc="http://schemas.openxmlformats.org/markup-compatibility/2006">
          <mc:Choice Requires="x14">
            <control shapeId="2051" r:id="rId6" name="Option Button 3">
              <controlPr defaultSize="0" autoFill="0" autoLine="0" autoPict="0">
                <anchor>
                  <from>
                    <xdr:col>13</xdr:col>
                    <xdr:colOff>190500</xdr:colOff>
                    <xdr:row>4</xdr:row>
                    <xdr:rowOff>28575</xdr:rowOff>
                  </from>
                  <to>
                    <xdr:col>15</xdr:col>
                    <xdr:colOff>190500</xdr:colOff>
                    <xdr:row>5</xdr:row>
                    <xdr:rowOff>123825</xdr:rowOff>
                  </to>
                </anchor>
              </controlPr>
            </control>
          </mc:Choice>
        </mc:AlternateContent>
        <mc:AlternateContent xmlns:mc="http://schemas.openxmlformats.org/markup-compatibility/2006">
          <mc:Choice Requires="x14">
            <control shapeId="2052" r:id="rId7" name="Option Button 4">
              <controlPr defaultSize="0" autoFill="0" autoLine="0" autoPict="0">
                <anchor>
                  <from>
                    <xdr:col>15</xdr:col>
                    <xdr:colOff>485775</xdr:colOff>
                    <xdr:row>4</xdr:row>
                    <xdr:rowOff>38100</xdr:rowOff>
                  </from>
                  <to>
                    <xdr:col>18</xdr:col>
                    <xdr:colOff>171450</xdr:colOff>
                    <xdr:row>5</xdr:row>
                    <xdr:rowOff>123825</xdr:rowOff>
                  </to>
                </anchor>
              </controlPr>
            </control>
          </mc:Choice>
        </mc:AlternateContent>
        <mc:AlternateContent xmlns:mc="http://schemas.openxmlformats.org/markup-compatibility/2006">
          <mc:Choice Requires="x14">
            <control shapeId="2060" r:id="rId8" name="Option Button 12">
              <controlPr locked="0" defaultSize="0" autoFill="0" autoLine="0" autoPict="0">
                <anchor>
                  <from>
                    <xdr:col>23</xdr:col>
                    <xdr:colOff>428625</xdr:colOff>
                    <xdr:row>35</xdr:row>
                    <xdr:rowOff>76200</xdr:rowOff>
                  </from>
                  <to>
                    <xdr:col>25</xdr:col>
                    <xdr:colOff>85725</xdr:colOff>
                    <xdr:row>36</xdr:row>
                    <xdr:rowOff>142875</xdr:rowOff>
                  </to>
                </anchor>
              </controlPr>
            </control>
          </mc:Choice>
        </mc:AlternateContent>
        <mc:AlternateContent xmlns:mc="http://schemas.openxmlformats.org/markup-compatibility/2006">
          <mc:Choice Requires="x14">
            <control shapeId="2061" r:id="rId9" name="Option Button 13">
              <controlPr locked="0" defaultSize="0" autoFill="0" autoLine="0" autoPict="0">
                <anchor>
                  <from>
                    <xdr:col>25</xdr:col>
                    <xdr:colOff>257175</xdr:colOff>
                    <xdr:row>35</xdr:row>
                    <xdr:rowOff>76200</xdr:rowOff>
                  </from>
                  <to>
                    <xdr:col>26</xdr:col>
                    <xdr:colOff>152400</xdr:colOff>
                    <xdr:row>36</xdr:row>
                    <xdr:rowOff>142875</xdr:rowOff>
                  </to>
                </anchor>
              </controlPr>
            </control>
          </mc:Choice>
        </mc:AlternateContent>
        <mc:AlternateContent xmlns:mc="http://schemas.openxmlformats.org/markup-compatibility/2006">
          <mc:Choice Requires="x14">
            <control shapeId="2059" r:id="rId10" name="Option Button 11">
              <controlPr locked="0" defaultSize="0" autoFill="0" autoLine="0" autoPict="0">
                <anchor>
                  <from>
                    <xdr:col>22</xdr:col>
                    <xdr:colOff>57150</xdr:colOff>
                    <xdr:row>35</xdr:row>
                    <xdr:rowOff>76200</xdr:rowOff>
                  </from>
                  <to>
                    <xdr:col>23</xdr:col>
                    <xdr:colOff>76200</xdr:colOff>
                    <xdr:row>36</xdr:row>
                    <xdr:rowOff>142875</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36F9DC-D9B2-491F-A705-68B65CAA30B9}">
  <sheetPr codeName="Sheet3">
    <tabColor theme="1"/>
  </sheetPr>
  <dimension ref="R4:AK23"/>
  <sheetViews>
    <sheetView showRowColHeaders="0" workbookViewId="0">
      <selection activeCell="O8" sqref="O8"/>
    </sheetView>
  </sheetViews>
  <sheetFormatPr defaultRowHeight="12.75" x14ac:dyDescent="0.2"/>
  <cols>
    <col min="1" max="16384" width="9.140625" style="2"/>
  </cols>
  <sheetData>
    <row r="4" spans="18:37" x14ac:dyDescent="0.2">
      <c r="AH4" s="219">
        <v>2</v>
      </c>
      <c r="AI4" s="11" t="s">
        <v>2</v>
      </c>
    </row>
    <row r="5" spans="18:37" x14ac:dyDescent="0.2">
      <c r="AH5" s="219">
        <v>1</v>
      </c>
      <c r="AI5" s="11" t="s">
        <v>7</v>
      </c>
    </row>
    <row r="6" spans="18:37" x14ac:dyDescent="0.2">
      <c r="AH6" s="219">
        <v>2</v>
      </c>
      <c r="AI6" s="11" t="s">
        <v>3110</v>
      </c>
      <c r="AK6" s="11"/>
    </row>
    <row r="7" spans="18:37" x14ac:dyDescent="0.2">
      <c r="AH7" s="219">
        <v>2</v>
      </c>
      <c r="AI7" s="11" t="s">
        <v>3111</v>
      </c>
      <c r="AK7" s="11"/>
    </row>
    <row r="8" spans="18:37" x14ac:dyDescent="0.2">
      <c r="AH8" s="219">
        <v>2</v>
      </c>
      <c r="AI8" s="11" t="s">
        <v>3105</v>
      </c>
    </row>
    <row r="9" spans="18:37" x14ac:dyDescent="0.2">
      <c r="AH9" s="219">
        <v>2</v>
      </c>
      <c r="AI9" s="11" t="s">
        <v>3106</v>
      </c>
    </row>
    <row r="12" spans="18:37" ht="15" x14ac:dyDescent="0.25">
      <c r="AJ12" s="16"/>
    </row>
    <row r="13" spans="18:37" ht="15" x14ac:dyDescent="0.25">
      <c r="R13" s="15" t="s">
        <v>3024</v>
      </c>
      <c r="AJ13" s="16"/>
    </row>
    <row r="14" spans="18:37" ht="15" x14ac:dyDescent="0.25">
      <c r="AJ14" s="16"/>
    </row>
    <row r="22" spans="35:35" ht="15" x14ac:dyDescent="0.25">
      <c r="AI22" s="16"/>
    </row>
    <row r="23" spans="35:35" ht="15" x14ac:dyDescent="0.25">
      <c r="AI23" s="16"/>
    </row>
  </sheetData>
  <sheetProtection algorithmName="SHA-512" hashValue="8ABT702qITbdwmRPkiVOvz808NcDHNYKSev2Y9Tk89Acuan2LEG05CF1xy3wN8/N1yfCnPdP013FfesvtaUR9A==" saltValue="P+S52WudlRbK3P1QcSnuQg==" spinCount="100000" sheet="1" objects="1" scenarios="1" selectLockedCells="1" selectUnlockedCells="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3" r:id="rId3" name="Group Box 1">
              <controlPr defaultSize="0" autoFill="0" autoPict="0">
                <anchor moveWithCells="1">
                  <from>
                    <xdr:col>24</xdr:col>
                    <xdr:colOff>495300</xdr:colOff>
                    <xdr:row>16</xdr:row>
                    <xdr:rowOff>95250</xdr:rowOff>
                  </from>
                  <to>
                    <xdr:col>26</xdr:col>
                    <xdr:colOff>152400</xdr:colOff>
                    <xdr:row>22</xdr:row>
                    <xdr:rowOff>104775</xdr:rowOff>
                  </to>
                </anchor>
              </controlPr>
            </control>
          </mc:Choice>
        </mc:AlternateContent>
        <mc:AlternateContent xmlns:mc="http://schemas.openxmlformats.org/markup-compatibility/2006">
          <mc:Choice Requires="x14">
            <control shapeId="3083" r:id="rId4" name="Group Box 11">
              <controlPr defaultSize="0" autoFill="0" autoPict="0">
                <anchor moveWithCells="1">
                  <from>
                    <xdr:col>3</xdr:col>
                    <xdr:colOff>285750</xdr:colOff>
                    <xdr:row>16</xdr:row>
                    <xdr:rowOff>95250</xdr:rowOff>
                  </from>
                  <to>
                    <xdr:col>4</xdr:col>
                    <xdr:colOff>590550</xdr:colOff>
                    <xdr:row>22</xdr:row>
                    <xdr:rowOff>104775</xdr:rowOff>
                  </to>
                </anchor>
              </controlPr>
            </control>
          </mc:Choice>
        </mc:AlternateContent>
        <mc:AlternateContent xmlns:mc="http://schemas.openxmlformats.org/markup-compatibility/2006">
          <mc:Choice Requires="x14">
            <control shapeId="3084" r:id="rId5" name="Option Button 12">
              <controlPr defaultSize="0" autoFill="0" autoLine="0" autoPict="0">
                <anchor moveWithCells="1">
                  <from>
                    <xdr:col>3</xdr:col>
                    <xdr:colOff>342900</xdr:colOff>
                    <xdr:row>17</xdr:row>
                    <xdr:rowOff>104775</xdr:rowOff>
                  </from>
                  <to>
                    <xdr:col>4</xdr:col>
                    <xdr:colOff>485775</xdr:colOff>
                    <xdr:row>19</xdr:row>
                    <xdr:rowOff>28575</xdr:rowOff>
                  </to>
                </anchor>
              </controlPr>
            </control>
          </mc:Choice>
        </mc:AlternateContent>
        <mc:AlternateContent xmlns:mc="http://schemas.openxmlformats.org/markup-compatibility/2006">
          <mc:Choice Requires="x14">
            <control shapeId="3085" r:id="rId6" name="Option Button 13">
              <controlPr defaultSize="0" autoFill="0" autoLine="0" autoPict="0">
                <anchor moveWithCells="1">
                  <from>
                    <xdr:col>3</xdr:col>
                    <xdr:colOff>342900</xdr:colOff>
                    <xdr:row>19</xdr:row>
                    <xdr:rowOff>123825</xdr:rowOff>
                  </from>
                  <to>
                    <xdr:col>4</xdr:col>
                    <xdr:colOff>466725</xdr:colOff>
                    <xdr:row>21</xdr:row>
                    <xdr:rowOff>47625</xdr:rowOff>
                  </to>
                </anchor>
              </controlPr>
            </control>
          </mc:Choice>
        </mc:AlternateContent>
        <mc:AlternateContent xmlns:mc="http://schemas.openxmlformats.org/markup-compatibility/2006">
          <mc:Choice Requires="x14">
            <control shapeId="3075" r:id="rId7" name="Option Button 3">
              <controlPr defaultSize="0" autoFill="0" autoLine="0" autoPict="0">
                <anchor moveWithCells="1">
                  <from>
                    <xdr:col>24</xdr:col>
                    <xdr:colOff>552450</xdr:colOff>
                    <xdr:row>19</xdr:row>
                    <xdr:rowOff>123825</xdr:rowOff>
                  </from>
                  <to>
                    <xdr:col>26</xdr:col>
                    <xdr:colOff>76200</xdr:colOff>
                    <xdr:row>21</xdr:row>
                    <xdr:rowOff>47625</xdr:rowOff>
                  </to>
                </anchor>
              </controlPr>
            </control>
          </mc:Choice>
        </mc:AlternateContent>
        <mc:AlternateContent xmlns:mc="http://schemas.openxmlformats.org/markup-compatibility/2006">
          <mc:Choice Requires="x14">
            <control shapeId="3074" r:id="rId8" name="Option Button 2">
              <controlPr defaultSize="0" autoFill="0" autoLine="0" autoPict="0">
                <anchor moveWithCells="1">
                  <from>
                    <xdr:col>24</xdr:col>
                    <xdr:colOff>552450</xdr:colOff>
                    <xdr:row>17</xdr:row>
                    <xdr:rowOff>104775</xdr:rowOff>
                  </from>
                  <to>
                    <xdr:col>26</xdr:col>
                    <xdr:colOff>66675</xdr:colOff>
                    <xdr:row>19</xdr:row>
                    <xdr:rowOff>28575</xdr:rowOff>
                  </to>
                </anchor>
              </controlPr>
            </control>
          </mc:Choice>
        </mc:AlternateContent>
        <mc:AlternateContent xmlns:mc="http://schemas.openxmlformats.org/markup-compatibility/2006">
          <mc:Choice Requires="x14">
            <control shapeId="44" r:id="rId9" name="Group Box 19">
              <controlPr defaultSize="0" autoFill="0" autoPict="0">
                <anchor moveWithCells="1">
                  <from>
                    <xdr:col>8</xdr:col>
                    <xdr:colOff>600075</xdr:colOff>
                    <xdr:row>33</xdr:row>
                    <xdr:rowOff>133350</xdr:rowOff>
                  </from>
                  <to>
                    <xdr:col>12</xdr:col>
                    <xdr:colOff>104775</xdr:colOff>
                    <xdr:row>35</xdr:row>
                    <xdr:rowOff>57150</xdr:rowOff>
                  </to>
                </anchor>
              </controlPr>
            </control>
          </mc:Choice>
        </mc:AlternateContent>
        <mc:AlternateContent xmlns:mc="http://schemas.openxmlformats.org/markup-compatibility/2006">
          <mc:Choice Requires="x14">
            <control shapeId="63" r:id="rId10" name="Option Button 20">
              <controlPr defaultSize="0" autoFill="0" autoLine="0" autoPict="0">
                <anchor moveWithCells="1">
                  <from>
                    <xdr:col>9</xdr:col>
                    <xdr:colOff>66675</xdr:colOff>
                    <xdr:row>34</xdr:row>
                    <xdr:rowOff>0</xdr:rowOff>
                  </from>
                  <to>
                    <xdr:col>10</xdr:col>
                    <xdr:colOff>352425</xdr:colOff>
                    <xdr:row>35</xdr:row>
                    <xdr:rowOff>19050</xdr:rowOff>
                  </to>
                </anchor>
              </controlPr>
            </control>
          </mc:Choice>
        </mc:AlternateContent>
        <mc:AlternateContent xmlns:mc="http://schemas.openxmlformats.org/markup-compatibility/2006">
          <mc:Choice Requires="x14">
            <control shapeId="3093" r:id="rId11" name="Option Button 21">
              <controlPr defaultSize="0" autoFill="0" autoLine="0" autoPict="0">
                <anchor moveWithCells="1">
                  <from>
                    <xdr:col>10</xdr:col>
                    <xdr:colOff>381000</xdr:colOff>
                    <xdr:row>34</xdr:row>
                    <xdr:rowOff>0</xdr:rowOff>
                  </from>
                  <to>
                    <xdr:col>12</xdr:col>
                    <xdr:colOff>57150</xdr:colOff>
                    <xdr:row>35</xdr:row>
                    <xdr:rowOff>19050</xdr:rowOff>
                  </to>
                </anchor>
              </controlPr>
            </control>
          </mc:Choice>
        </mc:AlternateContent>
        <mc:AlternateContent xmlns:mc="http://schemas.openxmlformats.org/markup-compatibility/2006">
          <mc:Choice Requires="x14">
            <control shapeId="3094" r:id="rId12" name="Group Box 22">
              <controlPr defaultSize="0" autoFill="0" autoPict="0">
                <anchor moveWithCells="1">
                  <from>
                    <xdr:col>24</xdr:col>
                    <xdr:colOff>352425</xdr:colOff>
                    <xdr:row>35</xdr:row>
                    <xdr:rowOff>95250</xdr:rowOff>
                  </from>
                  <to>
                    <xdr:col>27</xdr:col>
                    <xdr:colOff>466725</xdr:colOff>
                    <xdr:row>37</xdr:row>
                    <xdr:rowOff>19050</xdr:rowOff>
                  </to>
                </anchor>
              </controlPr>
            </control>
          </mc:Choice>
        </mc:AlternateContent>
        <mc:AlternateContent xmlns:mc="http://schemas.openxmlformats.org/markup-compatibility/2006">
          <mc:Choice Requires="x14">
            <control shapeId="3095" r:id="rId13" name="Option Button 23">
              <controlPr defaultSize="0" autoFill="0" autoLine="0" autoPict="0">
                <anchor moveWithCells="1">
                  <from>
                    <xdr:col>24</xdr:col>
                    <xdr:colOff>428625</xdr:colOff>
                    <xdr:row>35</xdr:row>
                    <xdr:rowOff>123825</xdr:rowOff>
                  </from>
                  <to>
                    <xdr:col>26</xdr:col>
                    <xdr:colOff>104775</xdr:colOff>
                    <xdr:row>36</xdr:row>
                    <xdr:rowOff>142875</xdr:rowOff>
                  </to>
                </anchor>
              </controlPr>
            </control>
          </mc:Choice>
        </mc:AlternateContent>
        <mc:AlternateContent xmlns:mc="http://schemas.openxmlformats.org/markup-compatibility/2006">
          <mc:Choice Requires="x14">
            <control shapeId="3096" r:id="rId14" name="Option Button 24">
              <controlPr defaultSize="0" autoFill="0" autoLine="0" autoPict="0">
                <anchor moveWithCells="1">
                  <from>
                    <xdr:col>26</xdr:col>
                    <xdr:colOff>133350</xdr:colOff>
                    <xdr:row>35</xdr:row>
                    <xdr:rowOff>123825</xdr:rowOff>
                  </from>
                  <to>
                    <xdr:col>27</xdr:col>
                    <xdr:colOff>419100</xdr:colOff>
                    <xdr:row>36</xdr:row>
                    <xdr:rowOff>142875</xdr:rowOff>
                  </to>
                </anchor>
              </controlPr>
            </control>
          </mc:Choice>
        </mc:AlternateContent>
        <mc:AlternateContent xmlns:mc="http://schemas.openxmlformats.org/markup-compatibility/2006">
          <mc:Choice Requires="x14">
            <control shapeId="3097" r:id="rId15" name="Group Box 25">
              <controlPr defaultSize="0" autoFill="0" autoPict="0">
                <anchor moveWithCells="1">
                  <from>
                    <xdr:col>2</xdr:col>
                    <xdr:colOff>47625</xdr:colOff>
                    <xdr:row>35</xdr:row>
                    <xdr:rowOff>95250</xdr:rowOff>
                  </from>
                  <to>
                    <xdr:col>5</xdr:col>
                    <xdr:colOff>161925</xdr:colOff>
                    <xdr:row>37</xdr:row>
                    <xdr:rowOff>19050</xdr:rowOff>
                  </to>
                </anchor>
              </controlPr>
            </control>
          </mc:Choice>
        </mc:AlternateContent>
        <mc:AlternateContent xmlns:mc="http://schemas.openxmlformats.org/markup-compatibility/2006">
          <mc:Choice Requires="x14">
            <control shapeId="3098" r:id="rId16" name="Option Button 26">
              <controlPr defaultSize="0" autoFill="0" autoLine="0" autoPict="0">
                <anchor moveWithCells="1">
                  <from>
                    <xdr:col>2</xdr:col>
                    <xdr:colOff>123825</xdr:colOff>
                    <xdr:row>35</xdr:row>
                    <xdr:rowOff>123825</xdr:rowOff>
                  </from>
                  <to>
                    <xdr:col>3</xdr:col>
                    <xdr:colOff>409575</xdr:colOff>
                    <xdr:row>36</xdr:row>
                    <xdr:rowOff>142875</xdr:rowOff>
                  </to>
                </anchor>
              </controlPr>
            </control>
          </mc:Choice>
        </mc:AlternateContent>
        <mc:AlternateContent xmlns:mc="http://schemas.openxmlformats.org/markup-compatibility/2006">
          <mc:Choice Requires="x14">
            <control shapeId="3099" r:id="rId17" name="Option Button 27">
              <controlPr defaultSize="0" autoFill="0" autoLine="0" autoPict="0">
                <anchor moveWithCells="1">
                  <from>
                    <xdr:col>3</xdr:col>
                    <xdr:colOff>438150</xdr:colOff>
                    <xdr:row>35</xdr:row>
                    <xdr:rowOff>123825</xdr:rowOff>
                  </from>
                  <to>
                    <xdr:col>5</xdr:col>
                    <xdr:colOff>114300</xdr:colOff>
                    <xdr:row>36</xdr:row>
                    <xdr:rowOff>142875</xdr:rowOff>
                  </to>
                </anchor>
              </controlPr>
            </control>
          </mc:Choice>
        </mc:AlternateContent>
        <mc:AlternateContent xmlns:mc="http://schemas.openxmlformats.org/markup-compatibility/2006">
          <mc:Choice Requires="x14">
            <control shapeId="3100" r:id="rId18" name="Group Box 28">
              <controlPr defaultSize="0" autoFill="0" autoPict="0">
                <anchor moveWithCells="1">
                  <from>
                    <xdr:col>17</xdr:col>
                    <xdr:colOff>409575</xdr:colOff>
                    <xdr:row>33</xdr:row>
                    <xdr:rowOff>123825</xdr:rowOff>
                  </from>
                  <to>
                    <xdr:col>20</xdr:col>
                    <xdr:colOff>523875</xdr:colOff>
                    <xdr:row>35</xdr:row>
                    <xdr:rowOff>47625</xdr:rowOff>
                  </to>
                </anchor>
              </controlPr>
            </control>
          </mc:Choice>
        </mc:AlternateContent>
        <mc:AlternateContent xmlns:mc="http://schemas.openxmlformats.org/markup-compatibility/2006">
          <mc:Choice Requires="x14">
            <control shapeId="3141" r:id="rId19" name="Option Button 29">
              <controlPr defaultSize="0" autoFill="0" autoLine="0" autoPict="0">
                <anchor moveWithCells="1">
                  <from>
                    <xdr:col>17</xdr:col>
                    <xdr:colOff>485775</xdr:colOff>
                    <xdr:row>33</xdr:row>
                    <xdr:rowOff>152400</xdr:rowOff>
                  </from>
                  <to>
                    <xdr:col>19</xdr:col>
                    <xdr:colOff>161925</xdr:colOff>
                    <xdr:row>35</xdr:row>
                    <xdr:rowOff>9525</xdr:rowOff>
                  </to>
                </anchor>
              </controlPr>
            </control>
          </mc:Choice>
        </mc:AlternateContent>
        <mc:AlternateContent xmlns:mc="http://schemas.openxmlformats.org/markup-compatibility/2006">
          <mc:Choice Requires="x14">
            <control shapeId="3102" r:id="rId20" name="Option Button 30">
              <controlPr defaultSize="0" autoFill="0" autoLine="0" autoPict="0">
                <anchor moveWithCells="1">
                  <from>
                    <xdr:col>19</xdr:col>
                    <xdr:colOff>190500</xdr:colOff>
                    <xdr:row>33</xdr:row>
                    <xdr:rowOff>152400</xdr:rowOff>
                  </from>
                  <to>
                    <xdr:col>20</xdr:col>
                    <xdr:colOff>476250</xdr:colOff>
                    <xdr:row>35</xdr:row>
                    <xdr:rowOff>9525</xdr:rowOff>
                  </to>
                </anchor>
              </controlPr>
            </control>
          </mc:Choice>
        </mc:AlternateContent>
      </controls>
    </mc:Choice>
  </mc:AlternateContent>
  <extLst>
    <ext xmlns:x14="http://schemas.microsoft.com/office/spreadsheetml/2009/9/main" uri="{A8765BA9-456A-4dab-B4F3-ACF838C121DE}">
      <x14:slicerList>
        <x14:slicer r:id="rId21"/>
      </x14:slicerList>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2DDCB3-472A-49B0-9EF0-CDE66673229B}">
  <sheetPr codeName="Sheet4">
    <tabColor theme="1"/>
  </sheetPr>
  <dimension ref="A1:Y37"/>
  <sheetViews>
    <sheetView showGridLines="0" showRowColHeaders="0" showZeros="0" tabSelected="1" workbookViewId="0">
      <selection activeCell="A56" sqref="A56"/>
    </sheetView>
  </sheetViews>
  <sheetFormatPr defaultRowHeight="12.75" x14ac:dyDescent="0.2"/>
  <cols>
    <col min="1" max="16384" width="9.140625" style="2"/>
  </cols>
  <sheetData>
    <row r="1" spans="1:25" x14ac:dyDescent="0.2">
      <c r="A1" s="10">
        <v>7838</v>
      </c>
    </row>
    <row r="5" spans="1:25" x14ac:dyDescent="0.2">
      <c r="A5" s="9">
        <v>4</v>
      </c>
      <c r="Y5" s="7"/>
    </row>
    <row r="17" spans="1:1" x14ac:dyDescent="0.2">
      <c r="A17" s="7" t="s">
        <v>3098</v>
      </c>
    </row>
    <row r="37" spans="1:1" x14ac:dyDescent="0.2">
      <c r="A37" s="8">
        <v>1</v>
      </c>
    </row>
  </sheetData>
  <sheetProtection algorithmName="SHA-512" hashValue="uDkEhDqEt45P+7PXWRpIilLWzV+rSzKZn9hN3gqJ3kKm6L9u3EXpROqihacoFxaYrokfcxe5fUZIyMfU+LC1xw==" saltValue="JLN8eYvxB8MqGNZVa9o9+Q==" spinCount="100000" sheet="1" objects="1" scenarios="1" selectLockedCells="1" selectUnlockedCells="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099" r:id="rId3" name="Group Box 3">
              <controlPr defaultSize="0" autoFill="0" autoPict="0">
                <anchor>
                  <from>
                    <xdr:col>0</xdr:col>
                    <xdr:colOff>552450</xdr:colOff>
                    <xdr:row>8</xdr:row>
                    <xdr:rowOff>142875</xdr:rowOff>
                  </from>
                  <to>
                    <xdr:col>4</xdr:col>
                    <xdr:colOff>352425</xdr:colOff>
                    <xdr:row>20</xdr:row>
                    <xdr:rowOff>142875</xdr:rowOff>
                  </to>
                </anchor>
              </controlPr>
            </control>
          </mc:Choice>
        </mc:AlternateContent>
        <mc:AlternateContent xmlns:mc="http://schemas.openxmlformats.org/markup-compatibility/2006">
          <mc:Choice Requires="x14">
            <control shapeId="4111" r:id="rId4" name="Group Box 15">
              <controlPr defaultSize="0" autoFill="0" autoPict="0">
                <anchor>
                  <from>
                    <xdr:col>0</xdr:col>
                    <xdr:colOff>466725</xdr:colOff>
                    <xdr:row>33</xdr:row>
                    <xdr:rowOff>19050</xdr:rowOff>
                  </from>
                  <to>
                    <xdr:col>8</xdr:col>
                    <xdr:colOff>114300</xdr:colOff>
                    <xdr:row>37</xdr:row>
                    <xdr:rowOff>142875</xdr:rowOff>
                  </to>
                </anchor>
              </controlPr>
            </control>
          </mc:Choice>
        </mc:AlternateContent>
        <mc:AlternateContent xmlns:mc="http://schemas.openxmlformats.org/markup-compatibility/2006">
          <mc:Choice Requires="x14">
            <control shapeId="4100" r:id="rId5" name="Option Button 4">
              <controlPr defaultSize="0" autoFill="0" autoLine="0" autoPict="0">
                <anchor moveWithCells="1">
                  <from>
                    <xdr:col>1</xdr:col>
                    <xdr:colOff>285750</xdr:colOff>
                    <xdr:row>12</xdr:row>
                    <xdr:rowOff>95250</xdr:rowOff>
                  </from>
                  <to>
                    <xdr:col>3</xdr:col>
                    <xdr:colOff>590550</xdr:colOff>
                    <xdr:row>14</xdr:row>
                    <xdr:rowOff>28575</xdr:rowOff>
                  </to>
                </anchor>
              </controlPr>
            </control>
          </mc:Choice>
        </mc:AlternateContent>
        <mc:AlternateContent xmlns:mc="http://schemas.openxmlformats.org/markup-compatibility/2006">
          <mc:Choice Requires="x14">
            <control shapeId="4108" r:id="rId6" name="Option Button 12">
              <controlPr defaultSize="0" autoFill="0" autoLine="0" autoPict="0">
                <anchor moveWithCells="1">
                  <from>
                    <xdr:col>1</xdr:col>
                    <xdr:colOff>285750</xdr:colOff>
                    <xdr:row>14</xdr:row>
                    <xdr:rowOff>57150</xdr:rowOff>
                  </from>
                  <to>
                    <xdr:col>3</xdr:col>
                    <xdr:colOff>590550</xdr:colOff>
                    <xdr:row>15</xdr:row>
                    <xdr:rowOff>152400</xdr:rowOff>
                  </to>
                </anchor>
              </controlPr>
            </control>
          </mc:Choice>
        </mc:AlternateContent>
        <mc:AlternateContent xmlns:mc="http://schemas.openxmlformats.org/markup-compatibility/2006">
          <mc:Choice Requires="x14">
            <control shapeId="4109" r:id="rId7" name="Option Button 13">
              <controlPr defaultSize="0" autoFill="0" autoLine="0" autoPict="0">
                <anchor moveWithCells="1">
                  <from>
                    <xdr:col>1</xdr:col>
                    <xdr:colOff>285750</xdr:colOff>
                    <xdr:row>16</xdr:row>
                    <xdr:rowOff>19050</xdr:rowOff>
                  </from>
                  <to>
                    <xdr:col>3</xdr:col>
                    <xdr:colOff>590550</xdr:colOff>
                    <xdr:row>17</xdr:row>
                    <xdr:rowOff>114300</xdr:rowOff>
                  </to>
                </anchor>
              </controlPr>
            </control>
          </mc:Choice>
        </mc:AlternateContent>
        <mc:AlternateContent xmlns:mc="http://schemas.openxmlformats.org/markup-compatibility/2006">
          <mc:Choice Requires="x14">
            <control shapeId="4110" r:id="rId8" name="Option Button 14">
              <controlPr defaultSize="0" autoFill="0" autoLine="0" autoPict="0">
                <anchor moveWithCells="1">
                  <from>
                    <xdr:col>1</xdr:col>
                    <xdr:colOff>285750</xdr:colOff>
                    <xdr:row>17</xdr:row>
                    <xdr:rowOff>142875</xdr:rowOff>
                  </from>
                  <to>
                    <xdr:col>3</xdr:col>
                    <xdr:colOff>590550</xdr:colOff>
                    <xdr:row>19</xdr:row>
                    <xdr:rowOff>76200</xdr:rowOff>
                  </to>
                </anchor>
              </controlPr>
            </control>
          </mc:Choice>
        </mc:AlternateContent>
        <mc:AlternateContent xmlns:mc="http://schemas.openxmlformats.org/markup-compatibility/2006">
          <mc:Choice Requires="x14">
            <control shapeId="4112" r:id="rId9" name="Option Button 16">
              <controlPr defaultSize="0" autoFill="0" autoLine="0" autoPict="0">
                <anchor moveWithCells="1">
                  <from>
                    <xdr:col>1</xdr:col>
                    <xdr:colOff>323850</xdr:colOff>
                    <xdr:row>35</xdr:row>
                    <xdr:rowOff>9525</xdr:rowOff>
                  </from>
                  <to>
                    <xdr:col>2</xdr:col>
                    <xdr:colOff>495300</xdr:colOff>
                    <xdr:row>37</xdr:row>
                    <xdr:rowOff>47625</xdr:rowOff>
                  </to>
                </anchor>
              </controlPr>
            </control>
          </mc:Choice>
        </mc:AlternateContent>
        <mc:AlternateContent xmlns:mc="http://schemas.openxmlformats.org/markup-compatibility/2006">
          <mc:Choice Requires="x14">
            <control shapeId="4113" r:id="rId10" name="Option Button 17">
              <controlPr defaultSize="0" autoFill="0" autoLine="0" autoPict="0">
                <anchor moveWithCells="1">
                  <from>
                    <xdr:col>3</xdr:col>
                    <xdr:colOff>171450</xdr:colOff>
                    <xdr:row>35</xdr:row>
                    <xdr:rowOff>9525</xdr:rowOff>
                  </from>
                  <to>
                    <xdr:col>4</xdr:col>
                    <xdr:colOff>219075</xdr:colOff>
                    <xdr:row>37</xdr:row>
                    <xdr:rowOff>47625</xdr:rowOff>
                  </to>
                </anchor>
              </controlPr>
            </control>
          </mc:Choice>
        </mc:AlternateContent>
        <mc:AlternateContent xmlns:mc="http://schemas.openxmlformats.org/markup-compatibility/2006">
          <mc:Choice Requires="x14">
            <control shapeId="4114" r:id="rId11" name="Option Button 18">
              <controlPr defaultSize="0" autoFill="0" autoLine="0" autoPict="0">
                <anchor moveWithCells="1">
                  <from>
                    <xdr:col>4</xdr:col>
                    <xdr:colOff>400050</xdr:colOff>
                    <xdr:row>35</xdr:row>
                    <xdr:rowOff>9525</xdr:rowOff>
                  </from>
                  <to>
                    <xdr:col>5</xdr:col>
                    <xdr:colOff>581025</xdr:colOff>
                    <xdr:row>37</xdr:row>
                    <xdr:rowOff>47625</xdr:rowOff>
                  </to>
                </anchor>
              </controlPr>
            </control>
          </mc:Choice>
        </mc:AlternateContent>
        <mc:AlternateContent xmlns:mc="http://schemas.openxmlformats.org/markup-compatibility/2006">
          <mc:Choice Requires="x14">
            <control shapeId="4115" r:id="rId12" name="Option Button 19">
              <controlPr defaultSize="0" autoFill="0" autoLine="0" autoPict="0">
                <anchor moveWithCells="1">
                  <from>
                    <xdr:col>6</xdr:col>
                    <xdr:colOff>142875</xdr:colOff>
                    <xdr:row>35</xdr:row>
                    <xdr:rowOff>9525</xdr:rowOff>
                  </from>
                  <to>
                    <xdr:col>7</xdr:col>
                    <xdr:colOff>533400</xdr:colOff>
                    <xdr:row>37</xdr:row>
                    <xdr:rowOff>47625</xdr:rowOff>
                  </to>
                </anchor>
              </controlPr>
            </control>
          </mc:Choice>
        </mc:AlternateContent>
      </controls>
    </mc:Choice>
  </mc:AlternateContent>
  <extLst>
    <ext xmlns:x14="http://schemas.microsoft.com/office/spreadsheetml/2009/9/main" uri="{A8765BA9-456A-4dab-B4F3-ACF838C121DE}">
      <x14:slicerList>
        <x14:slicer r:id="rId13"/>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76D62D-1994-4AB1-A2D0-D727A6DE9555}">
  <sheetPr codeName="Sheet6">
    <tabColor theme="2" tint="-0.249977111117893"/>
  </sheetPr>
  <dimension ref="B2:CO1032"/>
  <sheetViews>
    <sheetView showGridLines="0" topLeftCell="CE18" workbookViewId="0">
      <selection activeCell="CN41" sqref="CN41"/>
    </sheetView>
  </sheetViews>
  <sheetFormatPr defaultColWidth="15.7109375" defaultRowHeight="15" x14ac:dyDescent="0.25"/>
  <cols>
    <col min="1" max="1" width="3.7109375" style="55" customWidth="1"/>
    <col min="2" max="2" width="25.7109375" style="55" customWidth="1"/>
    <col min="3" max="4" width="15.7109375" style="55" customWidth="1"/>
    <col min="5" max="5" width="18.85546875" style="55" bestFit="1" customWidth="1"/>
    <col min="6" max="6" width="25" style="55" bestFit="1" customWidth="1"/>
    <col min="7" max="7" width="35.140625" style="55" bestFit="1" customWidth="1"/>
    <col min="8" max="8" width="18.28515625" style="56" bestFit="1" customWidth="1"/>
    <col min="9" max="9" width="26.42578125" style="56" bestFit="1" customWidth="1"/>
    <col min="10" max="10" width="15" style="55" bestFit="1" customWidth="1"/>
    <col min="11" max="11" width="20.42578125" style="55" bestFit="1" customWidth="1"/>
    <col min="12" max="12" width="18.28515625" style="55" bestFit="1" customWidth="1"/>
    <col min="13" max="13" width="15.140625" style="55" bestFit="1" customWidth="1"/>
    <col min="14" max="14" width="22.42578125" style="55" bestFit="1" customWidth="1"/>
    <col min="15" max="15" width="16.140625" style="55" bestFit="1" customWidth="1"/>
    <col min="16" max="16" width="32.7109375" style="55" bestFit="1" customWidth="1"/>
    <col min="17" max="17" width="26.42578125" style="55" bestFit="1" customWidth="1"/>
    <col min="18" max="18" width="11.140625" style="57" bestFit="1" customWidth="1"/>
    <col min="19" max="19" width="35.42578125" style="57" bestFit="1" customWidth="1"/>
    <col min="20" max="20" width="13.5703125" style="57" bestFit="1" customWidth="1"/>
    <col min="21" max="21" width="21.28515625" style="57" bestFit="1" customWidth="1"/>
    <col min="22" max="22" width="12.140625" style="57" bestFit="1" customWidth="1"/>
    <col min="23" max="23" width="15.28515625" style="55" bestFit="1" customWidth="1"/>
    <col min="24" max="24" width="15.7109375" style="55" bestFit="1" customWidth="1"/>
    <col min="25" max="25" width="11.28515625" style="55" bestFit="1" customWidth="1"/>
    <col min="26" max="26" width="31.28515625" style="55" bestFit="1" customWidth="1"/>
    <col min="27" max="27" width="21.28515625" style="55" bestFit="1" customWidth="1"/>
    <col min="28" max="28" width="13.140625" style="55" bestFit="1" customWidth="1"/>
    <col min="29" max="29" width="7.140625" style="55" bestFit="1" customWidth="1"/>
    <col min="30" max="30" width="22.140625" style="57" bestFit="1" customWidth="1"/>
    <col min="31" max="31" width="22.7109375" style="55" bestFit="1" customWidth="1"/>
    <col min="32" max="32" width="19.140625" style="55" bestFit="1" customWidth="1"/>
    <col min="33" max="33" width="17.140625" style="55" bestFit="1" customWidth="1"/>
    <col min="34" max="34" width="11.7109375" style="55" bestFit="1" customWidth="1"/>
    <col min="35" max="35" width="11.140625" style="55" bestFit="1" customWidth="1"/>
    <col min="36" max="36" width="13" style="55" bestFit="1" customWidth="1"/>
    <col min="37" max="37" width="35.28515625" style="55" bestFit="1" customWidth="1"/>
    <col min="38" max="38" width="21" style="55" bestFit="1" customWidth="1"/>
    <col min="39" max="39" width="16.7109375" style="55" bestFit="1" customWidth="1"/>
    <col min="40" max="40" width="13.28515625" style="58" bestFit="1" customWidth="1"/>
    <col min="41" max="41" width="12" style="58" bestFit="1" customWidth="1"/>
    <col min="42" max="42" width="16.5703125" style="58" bestFit="1" customWidth="1"/>
    <col min="43" max="43" width="12" style="108" bestFit="1" customWidth="1"/>
    <col min="44" max="44" width="14.7109375" style="58" bestFit="1" customWidth="1"/>
    <col min="45" max="45" width="7.5703125" style="109" bestFit="1" customWidth="1"/>
    <col min="46" max="46" width="16.140625" style="109" bestFit="1" customWidth="1"/>
    <col min="47" max="47" width="35.140625" style="55" bestFit="1" customWidth="1"/>
    <col min="48" max="48" width="19.85546875" style="55" bestFit="1" customWidth="1"/>
    <col min="49" max="49" width="16.5703125" style="58" bestFit="1" customWidth="1"/>
    <col min="50" max="50" width="35.140625" style="58" bestFit="1" customWidth="1"/>
    <col min="51" max="51" width="11.5703125" style="58" bestFit="1" customWidth="1"/>
    <col min="52" max="52" width="11.140625" style="55" bestFit="1" customWidth="1"/>
    <col min="53" max="53" width="15.7109375" style="55" customWidth="1"/>
    <col min="54" max="54" width="19.5703125" style="55" bestFit="1" customWidth="1"/>
    <col min="55" max="55" width="17.140625" style="55" bestFit="1" customWidth="1"/>
    <col min="56" max="56" width="11" style="55" bestFit="1" customWidth="1"/>
    <col min="57" max="57" width="9.7109375" style="103" bestFit="1" customWidth="1"/>
    <col min="58" max="58" width="12.42578125" style="103" bestFit="1" customWidth="1"/>
    <col min="59" max="59" width="13.42578125" style="103" bestFit="1" customWidth="1"/>
    <col min="60" max="60" width="14.140625" style="103" bestFit="1" customWidth="1"/>
    <col min="61" max="62" width="14" style="103" customWidth="1"/>
    <col min="63" max="63" width="15.7109375" style="55" customWidth="1"/>
    <col min="64" max="64" width="14.140625" style="55" bestFit="1" customWidth="1"/>
    <col min="65" max="68" width="11" style="55" customWidth="1"/>
    <col min="69" max="69" width="12.5703125" style="55" bestFit="1" customWidth="1"/>
    <col min="70" max="70" width="19.85546875" style="55" bestFit="1" customWidth="1"/>
    <col min="71" max="71" width="15.7109375" style="55" customWidth="1"/>
    <col min="72" max="72" width="23" style="55" bestFit="1" customWidth="1"/>
    <col min="73" max="73" width="18.28515625" style="55" bestFit="1" customWidth="1"/>
    <col min="74" max="74" width="11" style="55" bestFit="1" customWidth="1"/>
    <col min="75" max="75" width="9.7109375" style="55" bestFit="1" customWidth="1"/>
    <col min="76" max="76" width="12.42578125" style="55" bestFit="1" customWidth="1"/>
    <col min="77" max="77" width="13.42578125" style="55" bestFit="1" customWidth="1"/>
    <col min="78" max="80" width="15.7109375" style="55" customWidth="1"/>
    <col min="81" max="81" width="27.42578125" style="55" bestFit="1" customWidth="1"/>
    <col min="82" max="82" width="11.7109375" style="55" bestFit="1" customWidth="1"/>
    <col min="83" max="83" width="11.5703125" style="55" bestFit="1" customWidth="1"/>
    <col min="84" max="84" width="14.140625" style="55" bestFit="1" customWidth="1"/>
    <col min="85" max="85" width="16.28515625" style="55" bestFit="1" customWidth="1"/>
    <col min="86" max="86" width="17.7109375" style="55" bestFit="1" customWidth="1"/>
    <col min="87" max="87" width="15.7109375" style="55" customWidth="1"/>
    <col min="88" max="88" width="77.5703125" style="55" bestFit="1" customWidth="1"/>
    <col min="89" max="89" width="8.42578125" style="276" bestFit="1" customWidth="1"/>
    <col min="90" max="90" width="9.42578125" style="55" bestFit="1" customWidth="1"/>
    <col min="91" max="91" width="83.5703125" style="55" bestFit="1" customWidth="1"/>
    <col min="92" max="92" width="14.28515625" style="56" bestFit="1" customWidth="1"/>
    <col min="93" max="376" width="15.7109375" style="55" customWidth="1"/>
    <col min="377" max="16384" width="15.7109375" style="55"/>
  </cols>
  <sheetData>
    <row r="2" spans="2:93" x14ac:dyDescent="0.25">
      <c r="AQ2" s="59" t="s">
        <v>3042</v>
      </c>
      <c r="AR2" s="60">
        <f>AR3/AS3</f>
        <v>10511.311564245809</v>
      </c>
      <c r="AS2" s="61"/>
      <c r="AT2" s="61"/>
    </row>
    <row r="3" spans="2:93" ht="15.75" thickBot="1" x14ac:dyDescent="0.3">
      <c r="B3" s="165" t="s">
        <v>3082</v>
      </c>
      <c r="U3" s="165" t="s">
        <v>3084</v>
      </c>
      <c r="AL3" s="165" t="s">
        <v>3086</v>
      </c>
      <c r="AQ3" s="59" t="s">
        <v>3054</v>
      </c>
      <c r="AR3" s="60">
        <f>SUM(AR7:AR185)</f>
        <v>1881524.7699999998</v>
      </c>
      <c r="AS3" s="61">
        <f>SUM(AS7:AS185)</f>
        <v>179</v>
      </c>
      <c r="AT3" s="61"/>
      <c r="AU3" s="62"/>
      <c r="BB3" s="165" t="s">
        <v>3097</v>
      </c>
      <c r="BI3" s="57"/>
    </row>
    <row r="4" spans="2:93" ht="15.75" thickBot="1" x14ac:dyDescent="0.3">
      <c r="B4" s="113" t="s">
        <v>3091</v>
      </c>
      <c r="C4" s="114" t="s">
        <v>3092</v>
      </c>
      <c r="D4" s="114" t="s">
        <v>3093</v>
      </c>
      <c r="E4" s="114"/>
      <c r="F4" s="114"/>
      <c r="G4" s="114"/>
      <c r="H4" s="115"/>
      <c r="I4" s="115"/>
      <c r="J4" s="114"/>
      <c r="K4" s="114"/>
      <c r="L4" s="114"/>
      <c r="M4" s="114"/>
      <c r="N4" s="114"/>
      <c r="O4" s="114"/>
      <c r="P4" s="114"/>
      <c r="Q4" s="114"/>
      <c r="R4" s="116"/>
      <c r="S4" s="117"/>
      <c r="U4" s="66" t="s">
        <v>3083</v>
      </c>
      <c r="V4" s="67"/>
      <c r="W4" s="68"/>
      <c r="X4" s="68"/>
      <c r="Y4" s="68"/>
      <c r="Z4" s="68"/>
      <c r="AA4" s="68"/>
      <c r="AB4" s="68"/>
      <c r="AC4" s="68"/>
      <c r="AD4" s="66" t="s">
        <v>3085</v>
      </c>
      <c r="AE4" s="68"/>
      <c r="AF4" s="68"/>
      <c r="AG4" s="68"/>
      <c r="AH4" s="68"/>
      <c r="AI4" s="68"/>
      <c r="AJ4" s="68"/>
      <c r="AL4" s="139" t="s">
        <v>3087</v>
      </c>
      <c r="AM4" s="140"/>
      <c r="AN4" s="141"/>
      <c r="AO4" s="141"/>
      <c r="AP4" s="141"/>
      <c r="AQ4" s="185" t="s">
        <v>3057</v>
      </c>
      <c r="AR4" s="141" t="str">
        <f>_xlfn.CONCAT($AR$5," Trend")</f>
        <v>Sales Trend</v>
      </c>
      <c r="AS4" s="186"/>
      <c r="AT4" s="187"/>
      <c r="AU4" s="139" t="s">
        <v>3088</v>
      </c>
      <c r="AV4" s="140"/>
      <c r="AW4" s="141"/>
      <c r="AX4" s="141"/>
      <c r="AY4" s="141"/>
      <c r="AZ4" s="142"/>
      <c r="BB4" s="221"/>
      <c r="BC4" s="227"/>
      <c r="BD4" s="250" t="s">
        <v>3052</v>
      </c>
      <c r="BE4" s="251"/>
      <c r="BF4" s="252"/>
      <c r="BG4" s="253"/>
      <c r="BH4" s="140" t="s">
        <v>3053</v>
      </c>
      <c r="BI4" s="140" t="str">
        <f>CHOOSE(Distribution!AH4,"Sales", "Profit")</f>
        <v>Profit</v>
      </c>
      <c r="BJ4" s="140"/>
      <c r="BK4" s="229" t="str">
        <f>_xlfn.CONCAT("Distribution of Σ ",BL5," of ","$",ROUND(BL11,0)," Over Order Priority",", where ",BQ5," are ",BQ11)</f>
        <v>Distribution of Σ Profit of $215023 Over Order Priority, where # of Orders are 1361</v>
      </c>
      <c r="BL4" s="140"/>
      <c r="BM4" s="140"/>
      <c r="BN4" s="140"/>
      <c r="BO4" s="140"/>
      <c r="BP4" s="140"/>
      <c r="BQ4" s="140"/>
      <c r="BR4" s="142"/>
      <c r="BS4" s="68"/>
      <c r="BT4" s="221"/>
      <c r="BU4" s="227"/>
      <c r="BV4" s="250" t="s">
        <v>3052</v>
      </c>
      <c r="BW4" s="251"/>
      <c r="BX4" s="252"/>
      <c r="BY4" s="253"/>
      <c r="BZ4" s="140" t="s">
        <v>3053</v>
      </c>
      <c r="CA4" s="140" t="str">
        <f>CHOOSE(Distribution!AH5,"Sales", "Profit")</f>
        <v>Sales</v>
      </c>
      <c r="CB4" s="230"/>
      <c r="CC4" s="186" t="str">
        <f>_xlfn.CONCAT("Distribution of Σ ",CC6," of $",ROUND(CH6,0)," Over Cust Segment",", where ",CC8," are ",CH8)</f>
        <v>Distribution of Σ Sales of $1881525 Over Cust Segment, where # of Orders are 1361</v>
      </c>
      <c r="CD4" s="186"/>
      <c r="CE4" s="186"/>
      <c r="CF4" s="186"/>
      <c r="CG4" s="186"/>
      <c r="CH4" s="142"/>
      <c r="CI4" s="103"/>
      <c r="CJ4" s="282" t="s">
        <v>3107</v>
      </c>
      <c r="CK4" s="283"/>
      <c r="CL4" s="301"/>
      <c r="CM4" s="284" t="s">
        <v>3053</v>
      </c>
      <c r="CN4" s="285" t="str">
        <f>CHOOSE(Distribution!AH6,"Sales", "Profit")</f>
        <v>Profit</v>
      </c>
      <c r="CO4" s="286"/>
    </row>
    <row r="5" spans="2:93" ht="15.75" thickBot="1" x14ac:dyDescent="0.3">
      <c r="B5" s="344" t="s">
        <v>9</v>
      </c>
      <c r="C5" s="334" t="s">
        <v>22</v>
      </c>
      <c r="D5" s="349" t="s">
        <v>3025</v>
      </c>
      <c r="E5" s="349" t="s">
        <v>3035</v>
      </c>
      <c r="F5" s="335" t="s">
        <v>3036</v>
      </c>
      <c r="G5" s="69" t="s">
        <v>9</v>
      </c>
      <c r="H5" s="70" t="s">
        <v>3027</v>
      </c>
      <c r="I5" s="70" t="s">
        <v>3021</v>
      </c>
      <c r="J5" s="71" t="s">
        <v>22</v>
      </c>
      <c r="K5" s="71" t="s">
        <v>3028</v>
      </c>
      <c r="L5" s="71" t="s">
        <v>3029</v>
      </c>
      <c r="M5" s="71" t="s">
        <v>3035</v>
      </c>
      <c r="N5" s="72" t="s">
        <v>3026</v>
      </c>
      <c r="O5" s="334" t="s">
        <v>22</v>
      </c>
      <c r="P5" s="335" t="s">
        <v>3030</v>
      </c>
      <c r="Q5" s="63" t="s">
        <v>3017</v>
      </c>
      <c r="R5" s="65" t="s">
        <v>3033</v>
      </c>
      <c r="S5" s="119" t="s">
        <v>3031</v>
      </c>
      <c r="U5" s="220" t="s">
        <v>15</v>
      </c>
      <c r="V5" s="221" t="s">
        <v>3049</v>
      </c>
      <c r="W5" s="222" t="s">
        <v>3040</v>
      </c>
      <c r="X5" s="222" t="s">
        <v>5</v>
      </c>
      <c r="Y5" s="223" t="s">
        <v>3041</v>
      </c>
      <c r="Z5" s="166" t="s">
        <v>3040</v>
      </c>
      <c r="AA5" s="167" t="str">
        <f t="shared" ref="AA5:AA36" si="0">U5</f>
        <v>State or Province</v>
      </c>
      <c r="AB5" s="168" t="str">
        <f>Z7</f>
        <v>Total Sales</v>
      </c>
      <c r="AC5" s="169" t="s">
        <v>3043</v>
      </c>
      <c r="AD5" s="377"/>
      <c r="AE5" s="378"/>
      <c r="AF5" s="379" t="s">
        <v>3052</v>
      </c>
      <c r="AG5" s="380"/>
      <c r="AH5" s="380"/>
      <c r="AI5" s="380"/>
      <c r="AJ5" s="381"/>
      <c r="AK5" s="73"/>
      <c r="AL5" s="221"/>
      <c r="AM5" s="227"/>
      <c r="AN5" s="395" t="s">
        <v>3052</v>
      </c>
      <c r="AO5" s="396"/>
      <c r="AP5" s="381"/>
      <c r="AQ5" s="59" t="s">
        <v>3053</v>
      </c>
      <c r="AR5" s="183" t="str">
        <f>CHOOSE(Trends!AD5,"Sales", "Profit","Sold Quantity")</f>
        <v>Sales</v>
      </c>
      <c r="AS5" s="61"/>
      <c r="AT5" s="188"/>
      <c r="AU5" s="400"/>
      <c r="AV5" s="379" t="s">
        <v>3052</v>
      </c>
      <c r="AW5" s="380"/>
      <c r="AX5" s="381"/>
      <c r="AY5" s="59" t="s">
        <v>3053</v>
      </c>
      <c r="AZ5" s="197" t="str">
        <f>CHOOSE(Trends!AC34,"Quantity","Sales", "Profit")</f>
        <v>Sales</v>
      </c>
      <c r="BB5" s="220" t="s">
        <v>7</v>
      </c>
      <c r="BC5" s="220" t="s">
        <v>2</v>
      </c>
      <c r="BD5" s="254" t="s">
        <v>22</v>
      </c>
      <c r="BE5" s="255" t="s">
        <v>20</v>
      </c>
      <c r="BF5" s="222" t="s">
        <v>3075</v>
      </c>
      <c r="BG5" s="223" t="s">
        <v>3076</v>
      </c>
      <c r="BH5" s="231" t="str">
        <f>BI4</f>
        <v>Profit</v>
      </c>
      <c r="BI5" s="232" t="s">
        <v>3076</v>
      </c>
      <c r="BJ5" s="232" t="s">
        <v>3075</v>
      </c>
      <c r="BK5" s="233" t="str">
        <f>BC5</f>
        <v>Order Priority</v>
      </c>
      <c r="BL5" s="232" t="str">
        <f>$BH$5</f>
        <v>Profit</v>
      </c>
      <c r="BM5" s="232" t="str">
        <f t="shared" ref="BM5:BP5" si="1">$BH$5</f>
        <v>Profit</v>
      </c>
      <c r="BN5" s="232" t="str">
        <f t="shared" si="1"/>
        <v>Profit</v>
      </c>
      <c r="BO5" s="232" t="str">
        <f t="shared" si="1"/>
        <v>Profit</v>
      </c>
      <c r="BP5" s="232" t="str">
        <f t="shared" si="1"/>
        <v>Profit</v>
      </c>
      <c r="BQ5" s="232" t="s">
        <v>3075</v>
      </c>
      <c r="BR5" s="234" t="s">
        <v>3074</v>
      </c>
      <c r="BS5" s="68"/>
      <c r="BT5" s="220" t="s">
        <v>2</v>
      </c>
      <c r="BU5" s="220" t="s">
        <v>3096</v>
      </c>
      <c r="BV5" s="254" t="s">
        <v>22</v>
      </c>
      <c r="BW5" s="255" t="s">
        <v>20</v>
      </c>
      <c r="BX5" s="222" t="s">
        <v>3075</v>
      </c>
      <c r="BY5" s="223" t="s">
        <v>3076</v>
      </c>
      <c r="BZ5" s="231" t="str">
        <f>CA4</f>
        <v>Sales</v>
      </c>
      <c r="CA5" s="232" t="s">
        <v>3076</v>
      </c>
      <c r="CB5" s="235" t="s">
        <v>3075</v>
      </c>
      <c r="CC5" s="233" t="str">
        <f>BU5</f>
        <v>Cust. Segment</v>
      </c>
      <c r="CD5" s="232" t="str">
        <f>IFERROR(BU6,"")</f>
        <v>Home Office</v>
      </c>
      <c r="CE5" s="232" t="str">
        <f>IFERROR(BU7,"")</f>
        <v>Consumer</v>
      </c>
      <c r="CF5" s="232" t="str">
        <f>IFERROR(BU8,"")</f>
        <v>Corporate</v>
      </c>
      <c r="CG5" s="232" t="str">
        <f>IFERROR(BU9,"")</f>
        <v>Small Business</v>
      </c>
      <c r="CH5" s="234" t="s">
        <v>3051</v>
      </c>
      <c r="CI5" s="103"/>
      <c r="CJ5" s="320" t="s">
        <v>11</v>
      </c>
      <c r="CK5" s="318" t="s">
        <v>22</v>
      </c>
      <c r="CL5" s="324" t="s">
        <v>3016</v>
      </c>
      <c r="CM5" s="280" t="s">
        <v>11</v>
      </c>
      <c r="CN5" s="281" t="str">
        <f>CN4</f>
        <v>Profit</v>
      </c>
      <c r="CO5" s="288" t="s">
        <v>3016</v>
      </c>
    </row>
    <row r="6" spans="2:93" ht="15.75" thickBot="1" x14ac:dyDescent="0.3">
      <c r="B6" s="345" t="s">
        <v>95</v>
      </c>
      <c r="C6" s="131">
        <v>82201.149999999994</v>
      </c>
      <c r="D6" s="343">
        <v>4.3688582425624935E-2</v>
      </c>
      <c r="E6" s="114">
        <v>1187</v>
      </c>
      <c r="F6" s="130">
        <v>4.7287068759461398E-2</v>
      </c>
      <c r="G6" s="74" t="s">
        <v>95</v>
      </c>
      <c r="H6" s="64">
        <v>0</v>
      </c>
      <c r="I6" s="64">
        <v>4</v>
      </c>
      <c r="J6" s="75">
        <f t="shared" ref="J6:J22" si="2">IFERROR(VLOOKUP(G6,$B$6:$D$22,2,FALSE),"0")</f>
        <v>82201.149999999994</v>
      </c>
      <c r="K6" s="110" t="str">
        <f>IFERROR(IF(J6=MAX($J$6:$J$22),J6,""),"0")</f>
        <v/>
      </c>
      <c r="L6" s="110">
        <f>IFERROR(IF(J6=MAX($J$6:$J$22),"",J6),"0")</f>
        <v>82201.149999999994</v>
      </c>
      <c r="M6" s="76">
        <f t="shared" ref="M6:M22" si="3">IFERROR(VLOOKUP(G6,$B$6:$F$22,4,FALSE),"-")</f>
        <v>1187</v>
      </c>
      <c r="N6" s="77">
        <f t="shared" ref="N6:N22" si="4">IFERROR(VLOOKUP(G6,$B$6:$F$22,5,FALSE),"-")</f>
        <v>4.7287068759461398E-2</v>
      </c>
      <c r="O6" s="332">
        <v>1881524.77</v>
      </c>
      <c r="P6" s="333">
        <v>215023.39973715009</v>
      </c>
      <c r="Q6" s="120">
        <f>GETPIVOTDATA("[Measures].[Sum of Sales]",$O$5)</f>
        <v>1881524.77</v>
      </c>
      <c r="R6" s="121">
        <v>1</v>
      </c>
      <c r="S6" s="122">
        <f>GETPIVOTDATA("[Measures].[Sum of Profit]",$O$5)/GETPIVOTDATA("[Measures].[Sum of Sales]",$O$5)</f>
        <v>0.11428146106051534</v>
      </c>
      <c r="U6" s="224" t="s">
        <v>164</v>
      </c>
      <c r="V6" s="365">
        <v>46826.45</v>
      </c>
      <c r="W6" s="186">
        <v>47890.441299999991</v>
      </c>
      <c r="X6" s="186">
        <v>355.02</v>
      </c>
      <c r="Y6" s="187">
        <v>-2418.0565999999999</v>
      </c>
      <c r="Z6" s="78" t="str">
        <f>_xlfn.CONCAT("Distribution of the ",$Z$7)</f>
        <v>Distribution of the Total Sales</v>
      </c>
      <c r="AA6" s="79" t="str">
        <f t="shared" si="0"/>
        <v>Alabama</v>
      </c>
      <c r="AB6" s="170" cm="1">
        <f t="array" ref="AB6:AB54">INDEX($V$6:$Y$54,,_xlfn.XMATCH($AB$5,$V$5:$Y$5))</f>
        <v>46826.45</v>
      </c>
      <c r="AC6" s="144">
        <f t="shared" ref="AC6:AC16" si="5">IF(AB6=0,0,1)</f>
        <v>1</v>
      </c>
      <c r="AD6" s="382" t="s">
        <v>14</v>
      </c>
      <c r="AE6" s="379" t="s">
        <v>8</v>
      </c>
      <c r="AF6" s="385" t="s">
        <v>3020</v>
      </c>
      <c r="AG6" s="386" t="s">
        <v>5</v>
      </c>
      <c r="AH6" s="386" t="s">
        <v>3</v>
      </c>
      <c r="AI6" s="386" t="s">
        <v>20</v>
      </c>
      <c r="AJ6" s="387" t="s">
        <v>22</v>
      </c>
      <c r="AK6" s="73"/>
      <c r="AL6" s="220" t="s">
        <v>3055</v>
      </c>
      <c r="AM6" s="220" t="s">
        <v>18</v>
      </c>
      <c r="AN6" s="396" t="s">
        <v>22</v>
      </c>
      <c r="AO6" s="386" t="s">
        <v>20</v>
      </c>
      <c r="AP6" s="387" t="s">
        <v>3058</v>
      </c>
      <c r="AQ6" s="59" t="s">
        <v>3056</v>
      </c>
      <c r="AR6" s="183" t="str">
        <f>AR5</f>
        <v>Sales</v>
      </c>
      <c r="AS6" s="61" t="s">
        <v>3059</v>
      </c>
      <c r="AT6" s="188" t="s">
        <v>3073</v>
      </c>
      <c r="AU6" s="400" t="s">
        <v>24</v>
      </c>
      <c r="AV6" s="385" t="s">
        <v>22</v>
      </c>
      <c r="AW6" s="386" t="s">
        <v>20</v>
      </c>
      <c r="AX6" s="387" t="s">
        <v>3016</v>
      </c>
      <c r="AY6" s="146" t="s">
        <v>24</v>
      </c>
      <c r="AZ6" s="197" t="str">
        <f>AZ5</f>
        <v>Sales</v>
      </c>
      <c r="BB6" s="224" t="s">
        <v>40</v>
      </c>
      <c r="BC6" s="256" t="s">
        <v>48</v>
      </c>
      <c r="BD6" s="257">
        <v>63290.400000000001</v>
      </c>
      <c r="BE6" s="258">
        <v>2527.2800779999957</v>
      </c>
      <c r="BF6" s="325">
        <v>59</v>
      </c>
      <c r="BG6" s="259">
        <v>42185</v>
      </c>
      <c r="BH6" s="68" cm="1">
        <f t="array" ref="BH6:BH25">IFERROR(INDEX($BD$6:$BG$25,,_xlfn.XMATCH($BI$4,$BD$5:$BG$5)),"")</f>
        <v>2527.2800779999957</v>
      </c>
      <c r="BI6" s="236" cm="1">
        <f t="array" ref="BI6:BI25">IFERROR(INDEX($BD$6:$BG$25,,_xlfn.XMATCH($BI$5,$BD$5:$BG$5)),"")</f>
        <v>42185</v>
      </c>
      <c r="BJ6" s="61" cm="1">
        <f t="array" ref="BJ6:BJ25">IFERROR(INDEX($BD$6:$BG$25,,_xlfn.XMATCH($BJ$5,$BD$5:$BG$5)),"")</f>
        <v>59</v>
      </c>
      <c r="BK6" s="78" t="str">
        <f>IFERROR(BC6,"")</f>
        <v>Low</v>
      </c>
      <c r="BL6" s="237">
        <f>IFERROR(BH6+BH11+BH16+BH21,"")</f>
        <v>34078.892534799998</v>
      </c>
      <c r="BM6" s="237">
        <f>$BL$6</f>
        <v>34078.892534799998</v>
      </c>
      <c r="BN6" s="237">
        <f t="shared" ref="BN6:BP6" si="6">$BL$6</f>
        <v>34078.892534799998</v>
      </c>
      <c r="BO6" s="237">
        <f t="shared" si="6"/>
        <v>34078.892534799998</v>
      </c>
      <c r="BP6" s="237">
        <f t="shared" si="6"/>
        <v>34078.892534799998</v>
      </c>
      <c r="BQ6" s="238">
        <f>IFERROR(BJ6+BJ11+BJ16+BJ21,"")</f>
        <v>278</v>
      </c>
      <c r="BR6" s="239">
        <f>IFERROR(MAX(BI6,BI11,BI16,BI21),"")</f>
        <v>42185</v>
      </c>
      <c r="BS6" s="68"/>
      <c r="BT6" s="224" t="s">
        <v>48</v>
      </c>
      <c r="BU6" s="224" t="s">
        <v>71</v>
      </c>
      <c r="BV6" s="257">
        <v>89371.54</v>
      </c>
      <c r="BW6" s="258">
        <v>8362.1729999999989</v>
      </c>
      <c r="BX6" s="325">
        <v>68</v>
      </c>
      <c r="BY6" s="259">
        <v>42183</v>
      </c>
      <c r="BZ6" s="68" cm="1">
        <f t="array" ref="BZ6:BZ25">IFERROR(INDEX($BV$6:$BY$25,,_xlfn.XMATCH($CA$4,$BV$5:$BY$5)),"")</f>
        <v>89371.54</v>
      </c>
      <c r="CA6" s="236" cm="1">
        <f t="array" ref="CA6:CA25">IFERROR(INDEX($BV$6:$BY$25,,_xlfn.XMATCH($CA$5,$BV$5:$BY$5)),"")</f>
        <v>42183</v>
      </c>
      <c r="CB6" s="240" cm="1">
        <f t="array" ref="CB6:CB25">IFERROR(INDEX($BV$6:$BY$25,,_xlfn.XMATCH($CB$5,$BV$5:$BY$5)),"")</f>
        <v>68</v>
      </c>
      <c r="CC6" s="68" t="str">
        <f>$CA$4</f>
        <v>Sales</v>
      </c>
      <c r="CD6" s="237">
        <f>IFERROR(BZ6+BZ10+BZ14+BZ18+BZ22,"")</f>
        <v>461345.73999999993</v>
      </c>
      <c r="CE6" s="237">
        <f>IFERROR(BZ7+BZ11+BZ15+BZ19+BZ23,"")</f>
        <v>394051.7</v>
      </c>
      <c r="CF6" s="237">
        <f>IFERROR(BZ8+BZ12+BZ16+BZ20+BZ24,"")</f>
        <v>634861.30999999994</v>
      </c>
      <c r="CG6" s="237">
        <f>IFERROR(BZ9+BZ13+BZ17+BZ21+BZ25,"")</f>
        <v>391266.02</v>
      </c>
      <c r="CH6" s="241">
        <f>CD6+CE6+CF6+CG6</f>
        <v>1881524.77</v>
      </c>
      <c r="CI6" s="103"/>
      <c r="CJ6" s="321" t="s">
        <v>652</v>
      </c>
      <c r="CK6" s="314">
        <v>69013.48</v>
      </c>
      <c r="CL6" s="303">
        <v>54</v>
      </c>
      <c r="CM6" s="55" t="str" cm="1">
        <f t="array" ref="CM6">IFERROR(_xlfn.IFS($CN$4="Sales",CJ6,$CN$4="Profit",CJ12),"")</f>
        <v>Fellowes PB500 Electric Punch Plastic Comb Binding Machine with Manual Bind</v>
      </c>
      <c r="CN6" s="290" cm="1">
        <f t="array" ref="CN6">IFERROR(_xlfn.IFS($CN$4="Sales",CK6,$CN$4="Profit",CK12),"")</f>
        <v>23865.904200000001</v>
      </c>
      <c r="CO6" s="291" cm="1">
        <f t="array" ref="CO6">IFERROR(_xlfn.IFS($CN$4="Sales",CL6,$CN$4="Profit",CL12),"")</f>
        <v>54</v>
      </c>
    </row>
    <row r="7" spans="2:93" x14ac:dyDescent="0.25">
      <c r="B7" s="346" t="s">
        <v>72</v>
      </c>
      <c r="C7" s="118">
        <v>185928.14</v>
      </c>
      <c r="D7" s="339">
        <v>9.8817800841388873E-2</v>
      </c>
      <c r="E7" s="63">
        <v>2554</v>
      </c>
      <c r="F7" s="340">
        <v>0.10174488088598518</v>
      </c>
      <c r="G7" s="74" t="s">
        <v>72</v>
      </c>
      <c r="H7" s="64">
        <v>6</v>
      </c>
      <c r="I7" s="64">
        <v>4</v>
      </c>
      <c r="J7" s="75">
        <f t="shared" si="2"/>
        <v>185928.14</v>
      </c>
      <c r="K7" s="110" t="str">
        <f t="shared" ref="K7:K22" si="7">IFERROR(IF(J7=MAX($J$6:$J$22),J7,""),"0")</f>
        <v/>
      </c>
      <c r="L7" s="110">
        <f t="shared" ref="L7:L22" si="8">IFERROR(IF(J7=MAX($J$6:$J$22),"",J7),"0")</f>
        <v>185928.14</v>
      </c>
      <c r="M7" s="76">
        <f t="shared" si="3"/>
        <v>2554</v>
      </c>
      <c r="N7" s="77">
        <f t="shared" si="4"/>
        <v>0.10174488088598518</v>
      </c>
      <c r="O7" s="63"/>
      <c r="P7" s="63"/>
      <c r="Q7" s="123">
        <f>Q6/1881524</f>
        <v>1.0000004092427204</v>
      </c>
      <c r="R7" s="65"/>
      <c r="S7" s="124"/>
      <c r="U7" s="225" t="s">
        <v>588</v>
      </c>
      <c r="V7" s="366">
        <v>14367.86</v>
      </c>
      <c r="W7" s="359">
        <v>9311.8074679999991</v>
      </c>
      <c r="X7" s="359">
        <v>470.02</v>
      </c>
      <c r="Y7" s="361">
        <v>3909.7538320000003</v>
      </c>
      <c r="Z7" s="78" t="str">
        <f>CHOOSE('Sales Map'!A5,"All other Cost", "Shipping Cost","Net Profit","Total Sales")</f>
        <v>Total Sales</v>
      </c>
      <c r="AA7" s="80" t="str">
        <f t="shared" si="0"/>
        <v>Arizona</v>
      </c>
      <c r="AB7" s="81">
        <v>14367.86</v>
      </c>
      <c r="AC7" s="144">
        <f t="shared" si="5"/>
        <v>1</v>
      </c>
      <c r="AD7" s="383" t="s">
        <v>53</v>
      </c>
      <c r="AE7" s="391" t="s">
        <v>29</v>
      </c>
      <c r="AF7" s="372">
        <v>131268.74200539998</v>
      </c>
      <c r="AG7" s="352">
        <v>3295</v>
      </c>
      <c r="AH7" s="352">
        <v>5.8499999999999943</v>
      </c>
      <c r="AI7" s="352">
        <v>6301.754294600003</v>
      </c>
      <c r="AJ7" s="353">
        <v>148455.14000000001</v>
      </c>
      <c r="AK7" s="73"/>
      <c r="AL7" s="224" t="s">
        <v>3034</v>
      </c>
      <c r="AM7" s="397">
        <v>42005</v>
      </c>
      <c r="AN7" s="351">
        <v>8666.18</v>
      </c>
      <c r="AO7" s="352">
        <v>-1531.8796999999997</v>
      </c>
      <c r="AP7" s="353">
        <v>44</v>
      </c>
      <c r="AQ7" s="59" cm="1">
        <f t="array" ref="AQ7:AQ185">INDEX(AM7:AM185,,)</f>
        <v>42005</v>
      </c>
      <c r="AR7" s="189" cm="1">
        <f t="array" ref="AR7:AR185">IFERROR(INDEX($AN$7:$AP$185,,_xlfn.XMATCH($AR$6,$AN$6:$AP$6)),"")</f>
        <v>8666.18</v>
      </c>
      <c r="AS7" s="61">
        <f>IF(AR7=0,0,1)</f>
        <v>1</v>
      </c>
      <c r="AT7" s="188">
        <f>WEEKNUM(AQ7)</f>
        <v>1</v>
      </c>
      <c r="AU7" s="401" t="s">
        <v>3012</v>
      </c>
      <c r="AV7" s="372">
        <v>441445.62</v>
      </c>
      <c r="AW7" s="352">
        <v>78645.775268599988</v>
      </c>
      <c r="AX7" s="353">
        <v>6546</v>
      </c>
      <c r="AY7" s="68" t="str" cm="1">
        <f t="array" ref="AY7:AY10">INDEX(AU7:AU10,,)</f>
        <v>Chris</v>
      </c>
      <c r="AZ7" s="184" cm="1">
        <f t="array" ref="AZ7:AZ10">IFERROR(INDEX($AV$7:$AX$10,,_xlfn.XMATCH($AZ$6,$AV$6:$AX$6)),"")</f>
        <v>441445.62</v>
      </c>
      <c r="BA7" s="73"/>
      <c r="BB7" s="225"/>
      <c r="BC7" s="260" t="s">
        <v>116</v>
      </c>
      <c r="BD7" s="261">
        <v>64628.160000000003</v>
      </c>
      <c r="BE7" s="326">
        <v>5637.9755199999981</v>
      </c>
      <c r="BF7" s="327">
        <v>54</v>
      </c>
      <c r="BG7" s="262">
        <v>42184</v>
      </c>
      <c r="BH7" s="68">
        <v>5637.9755199999981</v>
      </c>
      <c r="BI7" s="236">
        <v>42184</v>
      </c>
      <c r="BJ7" s="61">
        <v>54</v>
      </c>
      <c r="BK7" s="78" t="str">
        <f>IFERROR(BC7,"")</f>
        <v>Medium</v>
      </c>
      <c r="BL7" s="237">
        <f>IFERROR(BH7+BH12+BH17+BH22,"")</f>
        <v>42579.657761069997</v>
      </c>
      <c r="BM7" s="237">
        <f>$BL$7</f>
        <v>42579.657761069997</v>
      </c>
      <c r="BN7" s="237">
        <f t="shared" ref="BN7:BP7" si="9">$BL$7</f>
        <v>42579.657761069997</v>
      </c>
      <c r="BO7" s="237">
        <f t="shared" si="9"/>
        <v>42579.657761069997</v>
      </c>
      <c r="BP7" s="237">
        <f t="shared" si="9"/>
        <v>42579.657761069997</v>
      </c>
      <c r="BQ7" s="238">
        <f>IFERROR(BJ7+BJ12+BJ17+BJ22,"")</f>
        <v>263</v>
      </c>
      <c r="BR7" s="239">
        <f>IFERROR(MAX(BI7,BI12,BI17,BI22),"")</f>
        <v>42184</v>
      </c>
      <c r="BS7" s="68"/>
      <c r="BT7" s="225"/>
      <c r="BU7" s="270" t="s">
        <v>40</v>
      </c>
      <c r="BV7" s="261">
        <v>63290.400000000001</v>
      </c>
      <c r="BW7" s="326">
        <v>2527.2800779999957</v>
      </c>
      <c r="BX7" s="327">
        <v>59</v>
      </c>
      <c r="BY7" s="262">
        <v>42185</v>
      </c>
      <c r="BZ7" s="68">
        <v>63290.400000000001</v>
      </c>
      <c r="CA7" s="236">
        <v>42185</v>
      </c>
      <c r="CB7" s="240">
        <v>59</v>
      </c>
      <c r="CC7" s="68" t="str">
        <f>_xlfn.CONCAT("Difference from Max ",CC6)</f>
        <v>Difference from Max Sales</v>
      </c>
      <c r="CD7" s="242">
        <f>MAX($CD$6:$CG$6)-CD6+100000</f>
        <v>273515.57</v>
      </c>
      <c r="CE7" s="242">
        <f t="shared" ref="CE7:CG7" si="10">MAX($CD$6:$CG$6)-CE6+100000</f>
        <v>340809.60999999993</v>
      </c>
      <c r="CF7" s="242">
        <f t="shared" si="10"/>
        <v>100000</v>
      </c>
      <c r="CG7" s="242">
        <f t="shared" si="10"/>
        <v>343595.28999999992</v>
      </c>
      <c r="CH7" s="144"/>
      <c r="CI7" s="103"/>
      <c r="CJ7" s="322" t="s">
        <v>2296</v>
      </c>
      <c r="CK7" s="315">
        <v>50871.21</v>
      </c>
      <c r="CL7" s="302">
        <v>96</v>
      </c>
      <c r="CM7" s="55" t="str" cm="1">
        <f t="array" ref="CM7">IFERROR(_xlfn.IFS($CN$4="Sales",CJ7,$CN$4="Profit",CJ13),"")</f>
        <v>Global Troy™ Executive Leather Low-Back Tilter</v>
      </c>
      <c r="CN7" s="290" cm="1">
        <f t="array" ref="CN7">IFERROR(_xlfn.IFS($CN$4="Sales",CK7,$CN$4="Profit",CK13),"")</f>
        <v>18628.1453</v>
      </c>
      <c r="CO7" s="291" cm="1">
        <f t="array" ref="CO7">IFERROR(_xlfn.IFS($CN$4="Sales",CL7,$CN$4="Profit",CL13),"")</f>
        <v>96</v>
      </c>
    </row>
    <row r="8" spans="2:93" ht="15.75" thickBot="1" x14ac:dyDescent="0.3">
      <c r="B8" s="346" t="s">
        <v>117</v>
      </c>
      <c r="C8" s="118">
        <v>107796.09</v>
      </c>
      <c r="D8" s="339">
        <v>5.7291879287882028E-2</v>
      </c>
      <c r="E8" s="63">
        <v>536</v>
      </c>
      <c r="F8" s="340">
        <v>2.1352880248585771E-2</v>
      </c>
      <c r="G8" s="74" t="s">
        <v>117</v>
      </c>
      <c r="H8" s="64">
        <v>3</v>
      </c>
      <c r="I8" s="64">
        <v>1.25</v>
      </c>
      <c r="J8" s="75">
        <f t="shared" si="2"/>
        <v>107796.09</v>
      </c>
      <c r="K8" s="110" t="str">
        <f t="shared" si="7"/>
        <v/>
      </c>
      <c r="L8" s="110">
        <f t="shared" si="8"/>
        <v>107796.09</v>
      </c>
      <c r="M8" s="76">
        <f t="shared" si="3"/>
        <v>536</v>
      </c>
      <c r="N8" s="77">
        <f t="shared" si="4"/>
        <v>2.1352880248585771E-2</v>
      </c>
      <c r="O8" s="63"/>
      <c r="P8" s="63"/>
      <c r="Q8" s="63"/>
      <c r="R8" s="121"/>
      <c r="S8" s="119"/>
      <c r="U8" s="225" t="s">
        <v>45</v>
      </c>
      <c r="V8" s="366">
        <v>11724.43</v>
      </c>
      <c r="W8" s="359">
        <v>12100.591699999999</v>
      </c>
      <c r="X8" s="359">
        <v>194.83</v>
      </c>
      <c r="Y8" s="361">
        <v>-1184.7471999999998</v>
      </c>
      <c r="Z8" s="78"/>
      <c r="AA8" s="80" t="str">
        <f t="shared" si="0"/>
        <v>Arkansas</v>
      </c>
      <c r="AB8" s="81">
        <v>11724.43</v>
      </c>
      <c r="AC8" s="144">
        <f t="shared" si="5"/>
        <v>1</v>
      </c>
      <c r="AD8" s="389" t="s">
        <v>53</v>
      </c>
      <c r="AE8" s="392" t="s">
        <v>49</v>
      </c>
      <c r="AF8" s="388">
        <v>80084.997369999983</v>
      </c>
      <c r="AG8" s="146">
        <v>2496</v>
      </c>
      <c r="AH8" s="146">
        <v>15.109999999999983</v>
      </c>
      <c r="AI8" s="146">
        <v>28333.074329999999</v>
      </c>
      <c r="AJ8" s="147">
        <v>115119.97</v>
      </c>
      <c r="AK8" s="73"/>
      <c r="AL8" s="225"/>
      <c r="AM8" s="398">
        <v>42006</v>
      </c>
      <c r="AN8" s="354">
        <v>24319.919999999998</v>
      </c>
      <c r="AO8" s="146">
        <v>4732.3343200000018</v>
      </c>
      <c r="AP8" s="147">
        <v>217</v>
      </c>
      <c r="AQ8" s="59">
        <v>42006</v>
      </c>
      <c r="AR8" s="183">
        <v>24319.919999999998</v>
      </c>
      <c r="AS8" s="61">
        <f t="shared" ref="AS8:AS73" si="11">IF(AR8=0,0,1)</f>
        <v>1</v>
      </c>
      <c r="AT8" s="188">
        <f t="shared" ref="AT8:AT71" si="12">WEEKNUM(AQ8)</f>
        <v>1</v>
      </c>
      <c r="AU8" s="402" t="s">
        <v>3014</v>
      </c>
      <c r="AV8" s="388">
        <v>584724.18999999994</v>
      </c>
      <c r="AW8" s="146">
        <v>85577.445845999988</v>
      </c>
      <c r="AX8" s="147">
        <v>6995</v>
      </c>
      <c r="AY8" s="68" t="str">
        <v>Erin</v>
      </c>
      <c r="AZ8" s="184">
        <v>584724.18999999994</v>
      </c>
      <c r="BA8" s="82"/>
      <c r="BB8" s="225"/>
      <c r="BC8" s="260" t="s">
        <v>38</v>
      </c>
      <c r="BD8" s="261">
        <v>73873.66</v>
      </c>
      <c r="BE8" s="326">
        <v>957.54042259999983</v>
      </c>
      <c r="BF8" s="327">
        <v>64</v>
      </c>
      <c r="BG8" s="262">
        <v>42185</v>
      </c>
      <c r="BH8" s="68">
        <v>957.54042259999983</v>
      </c>
      <c r="BI8" s="236">
        <v>42185</v>
      </c>
      <c r="BJ8" s="61">
        <v>64</v>
      </c>
      <c r="BK8" s="78" t="str">
        <f>IFERROR(BC8,"")</f>
        <v>High</v>
      </c>
      <c r="BL8" s="237">
        <f>IFERROR(BH8+BH13+BH18+BH23,"")</f>
        <v>35793.009311599999</v>
      </c>
      <c r="BM8" s="237">
        <f>$BL$8</f>
        <v>35793.009311599999</v>
      </c>
      <c r="BN8" s="237">
        <f t="shared" ref="BN8:BP8" si="13">$BL$8</f>
        <v>35793.009311599999</v>
      </c>
      <c r="BO8" s="237">
        <f t="shared" si="13"/>
        <v>35793.009311599999</v>
      </c>
      <c r="BP8" s="237">
        <f t="shared" si="13"/>
        <v>35793.009311599999</v>
      </c>
      <c r="BQ8" s="238">
        <f>IFERROR(BJ8+BJ13+BJ18+BJ23,"")</f>
        <v>268</v>
      </c>
      <c r="BR8" s="239">
        <f>IFERROR(MAX(BI8,BI13,BI18,BI23),"")</f>
        <v>42185</v>
      </c>
      <c r="BS8" s="68"/>
      <c r="BT8" s="225"/>
      <c r="BU8" s="270" t="s">
        <v>94</v>
      </c>
      <c r="BV8" s="261">
        <v>115128.37</v>
      </c>
      <c r="BW8" s="326">
        <v>14952.849699999999</v>
      </c>
      <c r="BX8" s="327">
        <v>89</v>
      </c>
      <c r="BY8" s="262">
        <v>42185</v>
      </c>
      <c r="BZ8" s="68">
        <v>115128.37</v>
      </c>
      <c r="CA8" s="236">
        <v>42185</v>
      </c>
      <c r="CB8" s="240">
        <v>89</v>
      </c>
      <c r="CC8" s="68" t="s">
        <v>3075</v>
      </c>
      <c r="CD8" s="243">
        <f>IFERROR(CB6+CB10+CB14+CB18+CB22,"")</f>
        <v>334</v>
      </c>
      <c r="CE8" s="243">
        <f>IFERROR(CB7+CB11+CB15+CB19+CB23,"")</f>
        <v>294</v>
      </c>
      <c r="CF8" s="243">
        <f>IFERROR(CB8+CB12+CB16+CB20+CB24,"")</f>
        <v>470</v>
      </c>
      <c r="CG8" s="243">
        <f>IFERROR(CB9+CB13+CB17+CB21+CB25,"")</f>
        <v>263</v>
      </c>
      <c r="CH8" s="244">
        <f>SUM(CD8:CG8)</f>
        <v>1361</v>
      </c>
      <c r="CI8" s="103"/>
      <c r="CJ8" s="323" t="s">
        <v>59</v>
      </c>
      <c r="CK8" s="316">
        <v>61071.73</v>
      </c>
      <c r="CL8" s="418">
        <v>35</v>
      </c>
      <c r="CM8" s="55" t="str" cm="1">
        <f t="array" ref="CM8">IFERROR(_xlfn.IFS($CN$4="Sales",CJ8,$CN$4="Profit",CJ14),"")</f>
        <v>Lexmark 4227 Plus Dot Matrix Printer</v>
      </c>
      <c r="CN8" s="290" cm="1">
        <f t="array" ref="CN8">IFERROR(_xlfn.IFS($CN$4="Sales",CK8,$CN$4="Profit",CK14),"")</f>
        <v>3700.3742000000002</v>
      </c>
      <c r="CO8" s="291" cm="1">
        <f t="array" ref="CO8">IFERROR(_xlfn.IFS($CN$4="Sales",CL8,$CN$4="Profit",CL14),"")</f>
        <v>35</v>
      </c>
    </row>
    <row r="9" spans="2:93" ht="15.75" thickBot="1" x14ac:dyDescent="0.3">
      <c r="B9" s="346" t="s">
        <v>109</v>
      </c>
      <c r="C9" s="118">
        <v>241200.42</v>
      </c>
      <c r="D9" s="339">
        <v>0.12819412417302378</v>
      </c>
      <c r="E9" s="63">
        <v>1138</v>
      </c>
      <c r="F9" s="340">
        <v>4.5335033065094413E-2</v>
      </c>
      <c r="G9" s="74" t="s">
        <v>109</v>
      </c>
      <c r="H9" s="64">
        <v>13</v>
      </c>
      <c r="I9" s="64">
        <v>4</v>
      </c>
      <c r="J9" s="75">
        <f t="shared" si="2"/>
        <v>241200.42</v>
      </c>
      <c r="K9" s="110" t="str">
        <f t="shared" si="7"/>
        <v/>
      </c>
      <c r="L9" s="110">
        <f t="shared" si="8"/>
        <v>241200.42</v>
      </c>
      <c r="M9" s="76">
        <f t="shared" si="3"/>
        <v>1138</v>
      </c>
      <c r="N9" s="77">
        <f t="shared" si="4"/>
        <v>4.5335033065094413E-2</v>
      </c>
      <c r="O9" s="63"/>
      <c r="P9" s="63"/>
      <c r="Q9" s="63"/>
      <c r="R9" s="65"/>
      <c r="S9" s="119"/>
      <c r="U9" s="225" t="s">
        <v>90</v>
      </c>
      <c r="V9" s="366">
        <v>284805.40999999997</v>
      </c>
      <c r="W9" s="359">
        <v>230143.90850799993</v>
      </c>
      <c r="X9" s="359">
        <v>2663.33</v>
      </c>
      <c r="Y9" s="361">
        <v>36187.568192000006</v>
      </c>
      <c r="Z9" s="78"/>
      <c r="AA9" s="80" t="str">
        <f t="shared" si="0"/>
        <v>California</v>
      </c>
      <c r="AB9" s="81">
        <v>284805.40999999997</v>
      </c>
      <c r="AC9" s="144">
        <f t="shared" si="5"/>
        <v>1</v>
      </c>
      <c r="AD9" s="389" t="s">
        <v>53</v>
      </c>
      <c r="AE9" s="393" t="s">
        <v>41</v>
      </c>
      <c r="AF9" s="388">
        <v>123747.83775599999</v>
      </c>
      <c r="AG9" s="146">
        <v>1229.6600000000001</v>
      </c>
      <c r="AH9" s="146">
        <v>6.4799999999999933</v>
      </c>
      <c r="AI9" s="146">
        <v>44010.946644000011</v>
      </c>
      <c r="AJ9" s="147">
        <v>177870.51</v>
      </c>
      <c r="AK9" s="73"/>
      <c r="AL9" s="225"/>
      <c r="AM9" s="398">
        <v>42007</v>
      </c>
      <c r="AN9" s="354">
        <v>10134.42</v>
      </c>
      <c r="AO9" s="146">
        <v>-1846.3482200000001</v>
      </c>
      <c r="AP9" s="147">
        <v>158</v>
      </c>
      <c r="AQ9" s="59">
        <v>42007</v>
      </c>
      <c r="AR9" s="183">
        <v>10134.42</v>
      </c>
      <c r="AS9" s="61">
        <f t="shared" si="11"/>
        <v>1</v>
      </c>
      <c r="AT9" s="188">
        <f t="shared" si="12"/>
        <v>1</v>
      </c>
      <c r="AU9" s="402" t="s">
        <v>3011</v>
      </c>
      <c r="AV9" s="388">
        <v>341328.32</v>
      </c>
      <c r="AW9" s="146">
        <v>-17431.355779449979</v>
      </c>
      <c r="AX9" s="147">
        <v>4992</v>
      </c>
      <c r="AY9" s="68" t="str">
        <v>Sam</v>
      </c>
      <c r="AZ9" s="184">
        <v>341328.32</v>
      </c>
      <c r="BB9" s="225"/>
      <c r="BC9" s="260" t="s">
        <v>26</v>
      </c>
      <c r="BD9" s="261">
        <v>132021.04</v>
      </c>
      <c r="BE9" s="326">
        <v>23965.52246</v>
      </c>
      <c r="BF9" s="327">
        <v>56</v>
      </c>
      <c r="BG9" s="262">
        <v>42177</v>
      </c>
      <c r="BH9" s="68">
        <v>23965.52246</v>
      </c>
      <c r="BI9" s="236">
        <v>42177</v>
      </c>
      <c r="BJ9" s="61">
        <v>56</v>
      </c>
      <c r="BK9" s="78" t="str">
        <f>IFERROR(BC9,"")</f>
        <v>Critical</v>
      </c>
      <c r="BL9" s="237">
        <f>IFERROR(BH9+BH14+BH19+BH24,"")</f>
        <v>35087.324923680004</v>
      </c>
      <c r="BM9" s="237">
        <f>$BL$9</f>
        <v>35087.324923680004</v>
      </c>
      <c r="BN9" s="237">
        <f t="shared" ref="BN9:BP9" si="14">$BL$9</f>
        <v>35087.324923680004</v>
      </c>
      <c r="BO9" s="237">
        <f t="shared" si="14"/>
        <v>35087.324923680004</v>
      </c>
      <c r="BP9" s="237">
        <f t="shared" si="14"/>
        <v>35087.324923680004</v>
      </c>
      <c r="BQ9" s="238">
        <f>IFERROR(BJ9+BJ14+BJ19+BJ24,"")</f>
        <v>275</v>
      </c>
      <c r="BR9" s="239">
        <f>IFERROR(MAX(BI9,BI14,BI19,BI24),"")</f>
        <v>42183</v>
      </c>
      <c r="BS9" s="68"/>
      <c r="BT9" s="225"/>
      <c r="BU9" s="271" t="s">
        <v>28</v>
      </c>
      <c r="BV9" s="261">
        <v>102908.14</v>
      </c>
      <c r="BW9" s="326">
        <v>8236.5897568000019</v>
      </c>
      <c r="BX9" s="327">
        <v>62</v>
      </c>
      <c r="BY9" s="262">
        <v>42185</v>
      </c>
      <c r="BZ9" s="68">
        <v>102908.14</v>
      </c>
      <c r="CA9" s="236">
        <v>42185</v>
      </c>
      <c r="CB9" s="240">
        <v>62</v>
      </c>
      <c r="CC9" s="68"/>
      <c r="CD9" s="68"/>
      <c r="CE9" s="68"/>
      <c r="CF9" s="68"/>
      <c r="CG9" s="68"/>
      <c r="CH9" s="144"/>
      <c r="CI9" s="103"/>
      <c r="CJ9" s="292"/>
      <c r="CK9" s="277"/>
      <c r="CL9" s="302"/>
      <c r="CO9" s="293"/>
    </row>
    <row r="10" spans="2:93" ht="15.75" thickBot="1" x14ac:dyDescent="0.3">
      <c r="B10" s="346" t="s">
        <v>42</v>
      </c>
      <c r="C10" s="118">
        <v>96261.3</v>
      </c>
      <c r="D10" s="339">
        <v>5.1161324865258088E-2</v>
      </c>
      <c r="E10" s="63">
        <v>2481</v>
      </c>
      <c r="F10" s="340">
        <v>9.8836746076009882E-2</v>
      </c>
      <c r="G10" s="74" t="s">
        <v>42</v>
      </c>
      <c r="H10" s="64">
        <v>19</v>
      </c>
      <c r="I10" s="64">
        <v>3</v>
      </c>
      <c r="J10" s="75">
        <f t="shared" si="2"/>
        <v>96261.3</v>
      </c>
      <c r="K10" s="110" t="str">
        <f t="shared" si="7"/>
        <v/>
      </c>
      <c r="L10" s="110">
        <f t="shared" si="8"/>
        <v>96261.3</v>
      </c>
      <c r="M10" s="76">
        <f t="shared" si="3"/>
        <v>2481</v>
      </c>
      <c r="N10" s="77">
        <f t="shared" si="4"/>
        <v>9.8836746076009882E-2</v>
      </c>
      <c r="O10" s="63"/>
      <c r="P10" s="63"/>
      <c r="Q10" s="63"/>
      <c r="R10" s="65"/>
      <c r="S10" s="119"/>
      <c r="U10" s="225" t="s">
        <v>61</v>
      </c>
      <c r="V10" s="366">
        <v>45843.45</v>
      </c>
      <c r="W10" s="359">
        <v>36998.436740000012</v>
      </c>
      <c r="X10" s="359">
        <v>629.29999999999995</v>
      </c>
      <c r="Y10" s="361">
        <v>6965.4626600000001</v>
      </c>
      <c r="Z10" s="78"/>
      <c r="AA10" s="160" t="str">
        <f t="shared" si="0"/>
        <v>Colorado</v>
      </c>
      <c r="AB10" s="171">
        <v>45843.45</v>
      </c>
      <c r="AC10" s="144">
        <f t="shared" si="5"/>
        <v>1</v>
      </c>
      <c r="AD10" s="384" t="s">
        <v>111</v>
      </c>
      <c r="AE10" s="391" t="s">
        <v>29</v>
      </c>
      <c r="AF10" s="370">
        <v>178464.49809199994</v>
      </c>
      <c r="AG10" s="371">
        <v>3275.32</v>
      </c>
      <c r="AH10" s="371">
        <v>4.7399999999999949</v>
      </c>
      <c r="AI10" s="371">
        <v>-923.6501919999962</v>
      </c>
      <c r="AJ10" s="373">
        <v>189677.38</v>
      </c>
      <c r="AK10" s="73"/>
      <c r="AL10" s="225"/>
      <c r="AM10" s="398">
        <v>42008</v>
      </c>
      <c r="AN10" s="354">
        <v>5470.58</v>
      </c>
      <c r="AO10" s="146">
        <v>516.22190000000012</v>
      </c>
      <c r="AP10" s="147">
        <v>40</v>
      </c>
      <c r="AQ10" s="59">
        <v>42008</v>
      </c>
      <c r="AR10" s="183">
        <v>5470.58</v>
      </c>
      <c r="AS10" s="61">
        <f t="shared" si="11"/>
        <v>1</v>
      </c>
      <c r="AT10" s="188">
        <f t="shared" si="12"/>
        <v>2</v>
      </c>
      <c r="AU10" s="403" t="s">
        <v>3013</v>
      </c>
      <c r="AV10" s="394">
        <v>514026.64</v>
      </c>
      <c r="AW10" s="149">
        <v>68231.53440199999</v>
      </c>
      <c r="AX10" s="150">
        <v>6569</v>
      </c>
      <c r="AY10" s="178" t="str">
        <v>William</v>
      </c>
      <c r="AZ10" s="198">
        <v>514026.64</v>
      </c>
      <c r="BB10" s="225"/>
      <c r="BC10" s="263" t="s">
        <v>3094</v>
      </c>
      <c r="BD10" s="261">
        <v>60238.44</v>
      </c>
      <c r="BE10" s="326">
        <v>13436.388891999999</v>
      </c>
      <c r="BF10" s="327">
        <v>61</v>
      </c>
      <c r="BG10" s="262">
        <v>42185</v>
      </c>
      <c r="BH10" s="68">
        <v>13436.388891999999</v>
      </c>
      <c r="BI10" s="236">
        <v>42185</v>
      </c>
      <c r="BJ10" s="61">
        <v>61</v>
      </c>
      <c r="BK10" s="78" t="str">
        <f>IFERROR(BC10,"")</f>
        <v>N/A</v>
      </c>
      <c r="BL10" s="237">
        <f>IFERROR(BH10+BH15+BH20+BH25,"")</f>
        <v>67484.515206000011</v>
      </c>
      <c r="BM10" s="237">
        <f>$BL$10</f>
        <v>67484.515206000011</v>
      </c>
      <c r="BN10" s="237">
        <f t="shared" ref="BN10:BP10" si="15">$BL$10</f>
        <v>67484.515206000011</v>
      </c>
      <c r="BO10" s="237">
        <f t="shared" si="15"/>
        <v>67484.515206000011</v>
      </c>
      <c r="BP10" s="237">
        <f t="shared" si="15"/>
        <v>67484.515206000011</v>
      </c>
      <c r="BQ10" s="238">
        <f>IFERROR(BJ10+BJ15+BJ20+BJ25,"")</f>
        <v>277</v>
      </c>
      <c r="BR10" s="239">
        <f>IFERROR(MAX(BI10,BI15,BI20,BI25),"")</f>
        <v>42185</v>
      </c>
      <c r="BS10" s="68"/>
      <c r="BT10" s="228" t="s">
        <v>116</v>
      </c>
      <c r="BU10" s="224" t="s">
        <v>71</v>
      </c>
      <c r="BV10" s="264">
        <v>92000.75</v>
      </c>
      <c r="BW10" s="265">
        <v>4680.4503269200004</v>
      </c>
      <c r="BX10" s="328">
        <v>73</v>
      </c>
      <c r="BY10" s="266">
        <v>42172</v>
      </c>
      <c r="BZ10" s="68">
        <v>92000.75</v>
      </c>
      <c r="CA10" s="236">
        <v>42172</v>
      </c>
      <c r="CB10" s="240">
        <v>73</v>
      </c>
      <c r="CC10" s="68"/>
      <c r="CD10" s="68"/>
      <c r="CE10" s="68"/>
      <c r="CF10" s="68"/>
      <c r="CG10" s="68"/>
      <c r="CH10" s="144"/>
      <c r="CI10" s="103"/>
      <c r="CJ10" s="294" t="s">
        <v>3108</v>
      </c>
      <c r="CK10" s="287"/>
      <c r="CL10" s="302"/>
      <c r="CO10" s="293"/>
    </row>
    <row r="11" spans="2:93" ht="15.75" thickBot="1" x14ac:dyDescent="0.3">
      <c r="B11" s="346" t="s">
        <v>64</v>
      </c>
      <c r="C11" s="118">
        <v>99069.48</v>
      </c>
      <c r="D11" s="339">
        <v>5.2653827140420793E-2</v>
      </c>
      <c r="E11" s="63">
        <v>181</v>
      </c>
      <c r="F11" s="340">
        <v>7.2105808302127322E-3</v>
      </c>
      <c r="G11" s="74" t="s">
        <v>64</v>
      </c>
      <c r="H11" s="64">
        <v>20</v>
      </c>
      <c r="I11" s="64">
        <v>7</v>
      </c>
      <c r="J11" s="75">
        <f t="shared" si="2"/>
        <v>99069.48</v>
      </c>
      <c r="K11" s="110" t="str">
        <f t="shared" si="7"/>
        <v/>
      </c>
      <c r="L11" s="110">
        <f t="shared" si="8"/>
        <v>99069.48</v>
      </c>
      <c r="M11" s="76">
        <f t="shared" si="3"/>
        <v>181</v>
      </c>
      <c r="N11" s="77">
        <f t="shared" si="4"/>
        <v>7.2105808302127322E-3</v>
      </c>
      <c r="O11" s="63"/>
      <c r="P11" s="63"/>
      <c r="Q11" s="63"/>
      <c r="R11" s="65"/>
      <c r="S11" s="119"/>
      <c r="U11" s="225" t="s">
        <v>248</v>
      </c>
      <c r="V11" s="366">
        <v>6540.54</v>
      </c>
      <c r="W11" s="359">
        <v>6419.3464000000004</v>
      </c>
      <c r="X11" s="359">
        <v>232.22</v>
      </c>
      <c r="Y11" s="361">
        <v>-529.10630000000003</v>
      </c>
      <c r="Z11" s="78"/>
      <c r="AA11" s="160" t="str">
        <f t="shared" si="0"/>
        <v>Connecticut</v>
      </c>
      <c r="AB11" s="171">
        <v>6540.54</v>
      </c>
      <c r="AC11" s="144">
        <f t="shared" si="5"/>
        <v>1</v>
      </c>
      <c r="AD11" s="389" t="s">
        <v>111</v>
      </c>
      <c r="AE11" s="392" t="s">
        <v>49</v>
      </c>
      <c r="AF11" s="388">
        <v>147891.75536999988</v>
      </c>
      <c r="AG11" s="146">
        <v>2138.65</v>
      </c>
      <c r="AH11" s="146">
        <v>13.469999999999972</v>
      </c>
      <c r="AI11" s="146">
        <v>51854.281129999996</v>
      </c>
      <c r="AJ11" s="147">
        <v>210991.5</v>
      </c>
      <c r="AK11" s="73"/>
      <c r="AL11" s="225"/>
      <c r="AM11" s="398">
        <v>42009</v>
      </c>
      <c r="AN11" s="354">
        <v>20160.509999999998</v>
      </c>
      <c r="AO11" s="146">
        <v>85.877311999999989</v>
      </c>
      <c r="AP11" s="147">
        <v>156</v>
      </c>
      <c r="AQ11" s="59">
        <v>42009</v>
      </c>
      <c r="AR11" s="183">
        <v>20160.509999999998</v>
      </c>
      <c r="AS11" s="61">
        <f t="shared" si="11"/>
        <v>1</v>
      </c>
      <c r="AT11" s="188">
        <f t="shared" si="12"/>
        <v>2</v>
      </c>
      <c r="AU11" s="68"/>
      <c r="AV11" s="68"/>
      <c r="AW11" s="68"/>
      <c r="AX11" s="68"/>
      <c r="AY11" s="68"/>
      <c r="AZ11" s="68"/>
      <c r="BB11" s="228" t="s">
        <v>94</v>
      </c>
      <c r="BC11" s="256" t="s">
        <v>48</v>
      </c>
      <c r="BD11" s="264">
        <v>115128.37</v>
      </c>
      <c r="BE11" s="265">
        <v>14952.849699999999</v>
      </c>
      <c r="BF11" s="328">
        <v>89</v>
      </c>
      <c r="BG11" s="266">
        <v>42185</v>
      </c>
      <c r="BH11" s="68">
        <v>14952.849699999999</v>
      </c>
      <c r="BI11" s="236">
        <v>42185</v>
      </c>
      <c r="BJ11" s="61">
        <v>89</v>
      </c>
      <c r="BK11" s="78"/>
      <c r="BL11" s="245">
        <f>SUM(BL6:BL10)</f>
        <v>215023.39973715</v>
      </c>
      <c r="BM11" s="68"/>
      <c r="BN11" s="68"/>
      <c r="BO11" s="68"/>
      <c r="BP11" s="68"/>
      <c r="BQ11" s="246">
        <f>SUM(BQ6:BQ10)</f>
        <v>1361</v>
      </c>
      <c r="BR11" s="144"/>
      <c r="BS11" s="68"/>
      <c r="BT11" s="225"/>
      <c r="BU11" s="270" t="s">
        <v>40</v>
      </c>
      <c r="BV11" s="261">
        <v>64628.160000000003</v>
      </c>
      <c r="BW11" s="326">
        <v>5637.9755199999981</v>
      </c>
      <c r="BX11" s="327">
        <v>54</v>
      </c>
      <c r="BY11" s="262">
        <v>42184</v>
      </c>
      <c r="BZ11" s="68">
        <v>64628.160000000003</v>
      </c>
      <c r="CA11" s="236">
        <v>42184</v>
      </c>
      <c r="CB11" s="240">
        <v>54</v>
      </c>
      <c r="CC11" s="68"/>
      <c r="CD11" s="68"/>
      <c r="CE11" s="68"/>
      <c r="CF11" s="68"/>
      <c r="CG11" s="68"/>
      <c r="CH11" s="144"/>
      <c r="CI11" s="103"/>
      <c r="CJ11" s="320" t="s">
        <v>11</v>
      </c>
      <c r="CK11" s="318" t="s">
        <v>20</v>
      </c>
      <c r="CL11" s="324" t="s">
        <v>3016</v>
      </c>
      <c r="CO11" s="293"/>
    </row>
    <row r="12" spans="2:93" ht="15.75" thickBot="1" x14ac:dyDescent="0.3">
      <c r="B12" s="346" t="s">
        <v>345</v>
      </c>
      <c r="C12" s="118">
        <v>10479.77</v>
      </c>
      <c r="D12" s="339">
        <v>5.569828347250512E-3</v>
      </c>
      <c r="E12" s="63">
        <v>590</v>
      </c>
      <c r="F12" s="340">
        <v>2.3504103258704487E-2</v>
      </c>
      <c r="G12" s="74" t="s">
        <v>345</v>
      </c>
      <c r="H12" s="64">
        <v>25</v>
      </c>
      <c r="I12" s="64">
        <v>11</v>
      </c>
      <c r="J12" s="75">
        <f t="shared" si="2"/>
        <v>10479.77</v>
      </c>
      <c r="K12" s="110" t="str">
        <f t="shared" si="7"/>
        <v/>
      </c>
      <c r="L12" s="110">
        <f t="shared" si="8"/>
        <v>10479.77</v>
      </c>
      <c r="M12" s="76">
        <f t="shared" si="3"/>
        <v>590</v>
      </c>
      <c r="N12" s="77">
        <f t="shared" si="4"/>
        <v>2.3504103258704487E-2</v>
      </c>
      <c r="O12" s="63"/>
      <c r="P12" s="63"/>
      <c r="Q12" s="63"/>
      <c r="R12" s="65"/>
      <c r="S12" s="119"/>
      <c r="U12" s="225" t="s">
        <v>1608</v>
      </c>
      <c r="V12" s="366">
        <v>1257.76</v>
      </c>
      <c r="W12" s="359">
        <v>824.82439999999997</v>
      </c>
      <c r="X12" s="359">
        <v>9.4700000000000006</v>
      </c>
      <c r="Y12" s="361">
        <v>406.74180000000001</v>
      </c>
      <c r="Z12" s="78"/>
      <c r="AA12" s="160" t="str">
        <f t="shared" si="0"/>
        <v>Delaware</v>
      </c>
      <c r="AB12" s="171">
        <v>1257.76</v>
      </c>
      <c r="AC12" s="144">
        <f t="shared" si="5"/>
        <v>1</v>
      </c>
      <c r="AD12" s="389" t="s">
        <v>111</v>
      </c>
      <c r="AE12" s="393" t="s">
        <v>41</v>
      </c>
      <c r="AF12" s="388">
        <v>138872.93219199998</v>
      </c>
      <c r="AG12" s="146">
        <v>1032.54</v>
      </c>
      <c r="AH12" s="146">
        <v>5.1499999999999941</v>
      </c>
      <c r="AI12" s="146">
        <v>34646.814908</v>
      </c>
      <c r="AJ12" s="147">
        <v>184055.31</v>
      </c>
      <c r="AK12" s="73"/>
      <c r="AL12" s="225"/>
      <c r="AM12" s="398">
        <v>42010</v>
      </c>
      <c r="AN12" s="354">
        <v>11123.41</v>
      </c>
      <c r="AO12" s="146">
        <v>-14013.903899999998</v>
      </c>
      <c r="AP12" s="147">
        <v>140</v>
      </c>
      <c r="AQ12" s="59">
        <v>42010</v>
      </c>
      <c r="AR12" s="183">
        <v>11123.41</v>
      </c>
      <c r="AS12" s="61">
        <f t="shared" si="11"/>
        <v>1</v>
      </c>
      <c r="AT12" s="188">
        <f t="shared" si="12"/>
        <v>2</v>
      </c>
      <c r="AU12" s="139" t="s">
        <v>3089</v>
      </c>
      <c r="AV12" s="140"/>
      <c r="AW12" s="140"/>
      <c r="AX12" s="140"/>
      <c r="AY12" s="142"/>
      <c r="AZ12" s="68"/>
      <c r="BB12" s="225"/>
      <c r="BC12" s="260" t="s">
        <v>116</v>
      </c>
      <c r="BD12" s="261">
        <v>152913.95000000001</v>
      </c>
      <c r="BE12" s="326">
        <v>19029.767415400001</v>
      </c>
      <c r="BF12" s="327">
        <v>89</v>
      </c>
      <c r="BG12" s="262">
        <v>42173</v>
      </c>
      <c r="BH12" s="68">
        <v>19029.767415400001</v>
      </c>
      <c r="BI12" s="236">
        <v>42173</v>
      </c>
      <c r="BJ12" s="61">
        <v>89</v>
      </c>
      <c r="BK12" s="78"/>
      <c r="BL12" s="68"/>
      <c r="BM12" s="68"/>
      <c r="BN12" s="68"/>
      <c r="BO12" s="68"/>
      <c r="BP12" s="68"/>
      <c r="BQ12" s="68"/>
      <c r="BR12" s="144"/>
      <c r="BS12" s="68"/>
      <c r="BT12" s="225"/>
      <c r="BU12" s="270" t="s">
        <v>94</v>
      </c>
      <c r="BV12" s="261">
        <v>152913.95000000001</v>
      </c>
      <c r="BW12" s="326">
        <v>19029.767415400001</v>
      </c>
      <c r="BX12" s="327">
        <v>89</v>
      </c>
      <c r="BY12" s="262">
        <v>42173</v>
      </c>
      <c r="BZ12" s="68">
        <v>152913.95000000001</v>
      </c>
      <c r="CA12" s="236">
        <v>42173</v>
      </c>
      <c r="CB12" s="240">
        <v>89</v>
      </c>
      <c r="CC12" s="68"/>
      <c r="CD12" s="61"/>
      <c r="CE12" s="61"/>
      <c r="CF12" s="61"/>
      <c r="CG12" s="61"/>
      <c r="CH12" s="144"/>
      <c r="CI12" s="103"/>
      <c r="CJ12" s="321" t="s">
        <v>652</v>
      </c>
      <c r="CK12" s="314">
        <v>23865.904200000001</v>
      </c>
      <c r="CL12" s="303">
        <v>54</v>
      </c>
      <c r="CO12" s="293"/>
    </row>
    <row r="13" spans="2:93" ht="15.75" thickBot="1" x14ac:dyDescent="0.3">
      <c r="B13" s="346" t="s">
        <v>152</v>
      </c>
      <c r="C13" s="118">
        <v>4914.82</v>
      </c>
      <c r="D13" s="339">
        <v>2.6121473808713132E-3</v>
      </c>
      <c r="E13" s="63">
        <v>903</v>
      </c>
      <c r="F13" s="340">
        <v>3.5973229224762968E-2</v>
      </c>
      <c r="G13" s="74" t="s">
        <v>152</v>
      </c>
      <c r="H13" s="64">
        <v>20</v>
      </c>
      <c r="I13" s="64">
        <v>14</v>
      </c>
      <c r="J13" s="75">
        <f t="shared" si="2"/>
        <v>4914.82</v>
      </c>
      <c r="K13" s="110" t="str">
        <f t="shared" si="7"/>
        <v/>
      </c>
      <c r="L13" s="110">
        <f t="shared" si="8"/>
        <v>4914.82</v>
      </c>
      <c r="M13" s="76">
        <f t="shared" si="3"/>
        <v>903</v>
      </c>
      <c r="N13" s="77">
        <f t="shared" si="4"/>
        <v>3.5973229224762968E-2</v>
      </c>
      <c r="O13" s="63"/>
      <c r="P13" s="63"/>
      <c r="Q13" s="63"/>
      <c r="R13" s="65"/>
      <c r="S13" s="119"/>
      <c r="U13" s="225" t="s">
        <v>374</v>
      </c>
      <c r="V13" s="366">
        <v>68946.66</v>
      </c>
      <c r="W13" s="359">
        <v>55236.23550000001</v>
      </c>
      <c r="X13" s="359">
        <v>175.31</v>
      </c>
      <c r="Y13" s="361">
        <v>11677.363099999999</v>
      </c>
      <c r="Z13" s="78"/>
      <c r="AA13" s="160" t="str">
        <f t="shared" si="0"/>
        <v>District of Columbia</v>
      </c>
      <c r="AB13" s="171">
        <v>68946.66</v>
      </c>
      <c r="AC13" s="144">
        <f t="shared" si="5"/>
        <v>1</v>
      </c>
      <c r="AD13" s="384" t="s">
        <v>34</v>
      </c>
      <c r="AE13" s="391" t="s">
        <v>29</v>
      </c>
      <c r="AF13" s="370">
        <v>90867.02654625001</v>
      </c>
      <c r="AG13" s="371">
        <v>2585.48</v>
      </c>
      <c r="AH13" s="371">
        <v>4.1999999999999993</v>
      </c>
      <c r="AI13" s="371">
        <v>-1862.118946250001</v>
      </c>
      <c r="AJ13" s="373">
        <v>97290.37</v>
      </c>
      <c r="AK13" s="73"/>
      <c r="AL13" s="225"/>
      <c r="AM13" s="398">
        <v>42011</v>
      </c>
      <c r="AN13" s="354">
        <v>16551.82</v>
      </c>
      <c r="AO13" s="146">
        <v>-3779.0007400000004</v>
      </c>
      <c r="AP13" s="147">
        <v>68</v>
      </c>
      <c r="AQ13" s="59">
        <v>42011</v>
      </c>
      <c r="AR13" s="183">
        <v>16551.82</v>
      </c>
      <c r="AS13" s="61">
        <f t="shared" si="11"/>
        <v>1</v>
      </c>
      <c r="AT13" s="188">
        <f t="shared" si="12"/>
        <v>2</v>
      </c>
      <c r="AU13" s="143" t="s">
        <v>3063</v>
      </c>
      <c r="AV13" s="68" t="s">
        <v>3064</v>
      </c>
      <c r="AW13" s="68"/>
      <c r="AX13" s="68"/>
      <c r="AY13" s="144"/>
      <c r="AZ13" s="68"/>
      <c r="BB13" s="225"/>
      <c r="BC13" s="260" t="s">
        <v>38</v>
      </c>
      <c r="BD13" s="261">
        <v>94490.75</v>
      </c>
      <c r="BE13" s="326">
        <v>13780.421678999997</v>
      </c>
      <c r="BF13" s="327">
        <v>90</v>
      </c>
      <c r="BG13" s="262">
        <v>42177</v>
      </c>
      <c r="BH13" s="68">
        <v>13780.421678999997</v>
      </c>
      <c r="BI13" s="236">
        <v>42177</v>
      </c>
      <c r="BJ13" s="61">
        <v>90</v>
      </c>
      <c r="BK13" s="78"/>
      <c r="BL13" s="68"/>
      <c r="BM13" s="68"/>
      <c r="BN13" s="68"/>
      <c r="BO13" s="68"/>
      <c r="BP13" s="68"/>
      <c r="BQ13" s="68"/>
      <c r="BR13" s="144"/>
      <c r="BS13" s="68"/>
      <c r="BT13" s="225"/>
      <c r="BU13" s="271" t="s">
        <v>28</v>
      </c>
      <c r="BV13" s="261">
        <v>59390.35</v>
      </c>
      <c r="BW13" s="326">
        <v>13231.464498750001</v>
      </c>
      <c r="BX13" s="327">
        <v>47</v>
      </c>
      <c r="BY13" s="262">
        <v>42183</v>
      </c>
      <c r="BZ13" s="68">
        <v>59390.35</v>
      </c>
      <c r="CA13" s="236">
        <v>42183</v>
      </c>
      <c r="CB13" s="240">
        <v>47</v>
      </c>
      <c r="CC13" s="68"/>
      <c r="CD13" s="68"/>
      <c r="CE13" s="68"/>
      <c r="CF13" s="68"/>
      <c r="CG13" s="68"/>
      <c r="CH13" s="144"/>
      <c r="CI13" s="103"/>
      <c r="CJ13" s="322" t="s">
        <v>2296</v>
      </c>
      <c r="CK13" s="315">
        <v>18628.1453</v>
      </c>
      <c r="CL13" s="302">
        <v>96</v>
      </c>
      <c r="CO13" s="293"/>
    </row>
    <row r="14" spans="2:93" ht="15.75" thickBot="1" x14ac:dyDescent="0.3">
      <c r="B14" s="346" t="s">
        <v>126</v>
      </c>
      <c r="C14" s="118">
        <v>98070.91</v>
      </c>
      <c r="D14" s="339">
        <v>5.2123103327520903E-2</v>
      </c>
      <c r="E14" s="63">
        <v>2356</v>
      </c>
      <c r="F14" s="340">
        <v>9.3857063182216552E-2</v>
      </c>
      <c r="G14" s="74" t="s">
        <v>126</v>
      </c>
      <c r="H14" s="64">
        <v>20</v>
      </c>
      <c r="I14" s="64">
        <v>18</v>
      </c>
      <c r="J14" s="75">
        <f t="shared" si="2"/>
        <v>98070.91</v>
      </c>
      <c r="K14" s="110" t="str">
        <f t="shared" si="7"/>
        <v/>
      </c>
      <c r="L14" s="110">
        <f t="shared" si="8"/>
        <v>98070.91</v>
      </c>
      <c r="M14" s="76">
        <f t="shared" si="3"/>
        <v>2356</v>
      </c>
      <c r="N14" s="77">
        <f t="shared" si="4"/>
        <v>9.3857063182216552E-2</v>
      </c>
      <c r="O14" s="63"/>
      <c r="P14" s="63"/>
      <c r="Q14" s="63"/>
      <c r="R14" s="65"/>
      <c r="S14" s="119"/>
      <c r="U14" s="225" t="s">
        <v>123</v>
      </c>
      <c r="V14" s="366">
        <v>81205.22</v>
      </c>
      <c r="W14" s="359">
        <v>75078.699560000023</v>
      </c>
      <c r="X14" s="359">
        <v>1311.93</v>
      </c>
      <c r="Y14" s="361">
        <v>322.07384000000013</v>
      </c>
      <c r="Z14" s="78"/>
      <c r="AA14" s="160" t="str">
        <f t="shared" si="0"/>
        <v>Florida</v>
      </c>
      <c r="AB14" s="171">
        <v>81205.22</v>
      </c>
      <c r="AC14" s="144">
        <f t="shared" si="5"/>
        <v>1</v>
      </c>
      <c r="AD14" s="389" t="s">
        <v>34</v>
      </c>
      <c r="AE14" s="392" t="s">
        <v>49</v>
      </c>
      <c r="AF14" s="388">
        <v>108121.61715319999</v>
      </c>
      <c r="AG14" s="146">
        <v>1897.34</v>
      </c>
      <c r="AH14" s="146">
        <v>11.74999999999998</v>
      </c>
      <c r="AI14" s="146">
        <v>-2119.4586532000021</v>
      </c>
      <c r="AJ14" s="147">
        <v>112566.34</v>
      </c>
      <c r="AK14" s="73"/>
      <c r="AL14" s="225"/>
      <c r="AM14" s="398">
        <v>42012</v>
      </c>
      <c r="AN14" s="354">
        <v>5388.84</v>
      </c>
      <c r="AO14" s="146">
        <v>3447.4977999999996</v>
      </c>
      <c r="AP14" s="147">
        <v>24</v>
      </c>
      <c r="AQ14" s="59">
        <v>42012</v>
      </c>
      <c r="AR14" s="183">
        <v>5388.84</v>
      </c>
      <c r="AS14" s="61">
        <f t="shared" si="11"/>
        <v>1</v>
      </c>
      <c r="AT14" s="188">
        <f t="shared" si="12"/>
        <v>2</v>
      </c>
      <c r="AU14" s="143" t="s">
        <v>3061</v>
      </c>
      <c r="AV14" s="68" t="s">
        <v>3062</v>
      </c>
      <c r="AW14" s="68" t="s">
        <v>3061</v>
      </c>
      <c r="AX14" s="68" t="s">
        <v>3062</v>
      </c>
      <c r="AY14" s="144"/>
      <c r="AZ14" s="68"/>
      <c r="BB14" s="225"/>
      <c r="BC14" s="260" t="s">
        <v>26</v>
      </c>
      <c r="BD14" s="261">
        <v>124332.78</v>
      </c>
      <c r="BE14" s="326">
        <v>-3620.6440049999942</v>
      </c>
      <c r="BF14" s="327">
        <v>105</v>
      </c>
      <c r="BG14" s="262">
        <v>42183</v>
      </c>
      <c r="BH14" s="68">
        <v>-3620.6440049999942</v>
      </c>
      <c r="BI14" s="236">
        <v>42183</v>
      </c>
      <c r="BJ14" s="61">
        <v>105</v>
      </c>
      <c r="BK14" s="78"/>
      <c r="BL14" s="68"/>
      <c r="BM14" s="68"/>
      <c r="BN14" s="68"/>
      <c r="BO14" s="68"/>
      <c r="BP14" s="68"/>
      <c r="BQ14" s="68"/>
      <c r="BR14" s="144"/>
      <c r="BS14" s="68"/>
      <c r="BT14" s="228" t="s">
        <v>38</v>
      </c>
      <c r="BU14" s="224" t="s">
        <v>71</v>
      </c>
      <c r="BV14" s="264">
        <v>92705.25</v>
      </c>
      <c r="BW14" s="265">
        <v>12910.396491999998</v>
      </c>
      <c r="BX14" s="328">
        <v>62</v>
      </c>
      <c r="BY14" s="266">
        <v>42184</v>
      </c>
      <c r="BZ14" s="68">
        <v>92705.25</v>
      </c>
      <c r="CA14" s="236">
        <v>42184</v>
      </c>
      <c r="CB14" s="240">
        <v>62</v>
      </c>
      <c r="CC14" s="68"/>
      <c r="CD14" s="68"/>
      <c r="CE14" s="68"/>
      <c r="CF14" s="68"/>
      <c r="CG14" s="68"/>
      <c r="CH14" s="144"/>
      <c r="CI14" s="103"/>
      <c r="CJ14" s="323" t="s">
        <v>59</v>
      </c>
      <c r="CK14" s="316">
        <v>3700.3742000000002</v>
      </c>
      <c r="CL14" s="418">
        <v>35</v>
      </c>
      <c r="CM14" s="296"/>
      <c r="CN14" s="297"/>
      <c r="CO14" s="298"/>
    </row>
    <row r="15" spans="2:93" ht="15.75" thickBot="1" x14ac:dyDescent="0.3">
      <c r="B15" s="346" t="s">
        <v>57</v>
      </c>
      <c r="C15" s="118">
        <v>318169.68</v>
      </c>
      <c r="D15" s="339">
        <v>0.16910204163828255</v>
      </c>
      <c r="E15" s="63">
        <v>898</v>
      </c>
      <c r="F15" s="340">
        <v>3.5774041909011234E-2</v>
      </c>
      <c r="G15" s="74" t="s">
        <v>57</v>
      </c>
      <c r="H15" s="64">
        <v>16</v>
      </c>
      <c r="I15" s="64">
        <v>21</v>
      </c>
      <c r="J15" s="75">
        <f t="shared" si="2"/>
        <v>318169.68</v>
      </c>
      <c r="K15" s="110">
        <f t="shared" si="7"/>
        <v>318169.68</v>
      </c>
      <c r="L15" s="110" t="str">
        <f t="shared" si="8"/>
        <v/>
      </c>
      <c r="M15" s="76">
        <f t="shared" si="3"/>
        <v>898</v>
      </c>
      <c r="N15" s="77">
        <f t="shared" si="4"/>
        <v>3.5774041909011234E-2</v>
      </c>
      <c r="O15" s="63"/>
      <c r="P15" s="63"/>
      <c r="Q15" s="63"/>
      <c r="R15" s="65"/>
      <c r="S15" s="119"/>
      <c r="U15" s="225" t="s">
        <v>75</v>
      </c>
      <c r="V15" s="366">
        <v>29050.79</v>
      </c>
      <c r="W15" s="359">
        <v>18543.240586250002</v>
      </c>
      <c r="X15" s="359">
        <v>537.77</v>
      </c>
      <c r="Y15" s="361">
        <v>8645.2074137499967</v>
      </c>
      <c r="Z15" s="78"/>
      <c r="AA15" s="160" t="str">
        <f t="shared" si="0"/>
        <v>Georgia</v>
      </c>
      <c r="AB15" s="171">
        <v>29050.79</v>
      </c>
      <c r="AC15" s="144">
        <f t="shared" si="5"/>
        <v>1</v>
      </c>
      <c r="AD15" s="389" t="s">
        <v>34</v>
      </c>
      <c r="AE15" s="393" t="s">
        <v>41</v>
      </c>
      <c r="AF15" s="388">
        <v>137240.41917999997</v>
      </c>
      <c r="AG15" s="146">
        <v>957.5</v>
      </c>
      <c r="AH15" s="146">
        <v>5.6299999999999937</v>
      </c>
      <c r="AI15" s="146">
        <v>-13449.778180000001</v>
      </c>
      <c r="AJ15" s="147">
        <v>131471.60999999999</v>
      </c>
      <c r="AK15" s="73"/>
      <c r="AL15" s="225"/>
      <c r="AM15" s="398">
        <v>42013</v>
      </c>
      <c r="AN15" s="354">
        <v>13926.83</v>
      </c>
      <c r="AO15" s="146">
        <v>-176.99525999999997</v>
      </c>
      <c r="AP15" s="147">
        <v>147</v>
      </c>
      <c r="AQ15" s="59">
        <v>42013</v>
      </c>
      <c r="AR15" s="183">
        <v>13926.83</v>
      </c>
      <c r="AS15" s="61">
        <f t="shared" si="11"/>
        <v>1</v>
      </c>
      <c r="AT15" s="188">
        <f t="shared" si="12"/>
        <v>2</v>
      </c>
      <c r="AU15" s="199">
        <f>LARGE($AR$7:$AR$185,ROWS(A$2:A2))</f>
        <v>67267.77</v>
      </c>
      <c r="AV15" s="200" cm="1">
        <f t="array" ref="AV15">INDEX($AQ$7:$AQ$185,MATCH(TRUE,INDEX(_xlfn.ANCHORARRAY($AR$7)=AU15,0),0))</f>
        <v>42098</v>
      </c>
      <c r="AW15" s="189">
        <f>LARGE($AY$27:$AY$43,ROWS(C$2:C2))</f>
        <v>318169.68</v>
      </c>
      <c r="AX15" s="68" t="str" cm="1">
        <f t="array" ref="AX15">INDEX($AU$27:$AU$43,MATCH(TRUE,INDEX($AY$27:$AY$43=AW15,0),0))</f>
        <v>Office Machines</v>
      </c>
      <c r="AY15" s="144"/>
      <c r="AZ15" s="68"/>
      <c r="BB15" s="225"/>
      <c r="BC15" s="263" t="s">
        <v>3094</v>
      </c>
      <c r="BD15" s="261">
        <v>147995.46</v>
      </c>
      <c r="BE15" s="326">
        <v>8400.3930129999972</v>
      </c>
      <c r="BF15" s="327">
        <v>97</v>
      </c>
      <c r="BG15" s="262">
        <v>42182</v>
      </c>
      <c r="BH15" s="68">
        <v>8400.3930129999972</v>
      </c>
      <c r="BI15" s="236">
        <v>42182</v>
      </c>
      <c r="BJ15" s="61">
        <v>97</v>
      </c>
      <c r="BK15" s="78"/>
      <c r="BL15" s="68"/>
      <c r="BM15" s="249"/>
      <c r="BN15" s="68"/>
      <c r="BO15" s="68"/>
      <c r="BP15" s="68"/>
      <c r="BQ15" s="68"/>
      <c r="BR15" s="144"/>
      <c r="BS15" s="68"/>
      <c r="BT15" s="225"/>
      <c r="BU15" s="270" t="s">
        <v>40</v>
      </c>
      <c r="BV15" s="261">
        <v>73873.66</v>
      </c>
      <c r="BW15" s="326">
        <v>957.54042259999983</v>
      </c>
      <c r="BX15" s="327">
        <v>64</v>
      </c>
      <c r="BY15" s="262">
        <v>42185</v>
      </c>
      <c r="BZ15" s="68">
        <v>73873.66</v>
      </c>
      <c r="CA15" s="236">
        <v>42185</v>
      </c>
      <c r="CB15" s="240">
        <v>64</v>
      </c>
      <c r="CC15" s="68"/>
      <c r="CD15" s="68"/>
      <c r="CE15" s="68"/>
      <c r="CF15" s="68"/>
      <c r="CG15" s="68"/>
      <c r="CH15" s="144"/>
    </row>
    <row r="16" spans="2:93" ht="15.75" thickBot="1" x14ac:dyDescent="0.3">
      <c r="B16" s="346" t="s">
        <v>88</v>
      </c>
      <c r="C16" s="118">
        <v>55813.919999999998</v>
      </c>
      <c r="D16" s="339">
        <v>2.9664196235907114E-2</v>
      </c>
      <c r="E16" s="63">
        <v>3481</v>
      </c>
      <c r="F16" s="340">
        <v>0.13867420922635645</v>
      </c>
      <c r="G16" s="74" t="s">
        <v>88</v>
      </c>
      <c r="H16" s="64">
        <v>11</v>
      </c>
      <c r="I16" s="64">
        <v>19</v>
      </c>
      <c r="J16" s="75">
        <f t="shared" si="2"/>
        <v>55813.919999999998</v>
      </c>
      <c r="K16" s="110" t="str">
        <f t="shared" si="7"/>
        <v/>
      </c>
      <c r="L16" s="110">
        <f t="shared" si="8"/>
        <v>55813.919999999998</v>
      </c>
      <c r="M16" s="76">
        <f t="shared" si="3"/>
        <v>3481</v>
      </c>
      <c r="N16" s="77">
        <f t="shared" si="4"/>
        <v>0.13867420922635645</v>
      </c>
      <c r="O16" s="63"/>
      <c r="P16" s="63"/>
      <c r="Q16" s="63"/>
      <c r="R16" s="65"/>
      <c r="S16" s="119"/>
      <c r="U16" s="225" t="s">
        <v>490</v>
      </c>
      <c r="V16" s="366">
        <v>13922.92</v>
      </c>
      <c r="W16" s="359">
        <v>6171.6153999999988</v>
      </c>
      <c r="X16" s="359">
        <v>257.19</v>
      </c>
      <c r="Y16" s="361">
        <v>6848.3532999999989</v>
      </c>
      <c r="Z16" s="78"/>
      <c r="AA16" s="160" t="str">
        <f t="shared" si="0"/>
        <v>Idaho</v>
      </c>
      <c r="AB16" s="171">
        <v>13922.92</v>
      </c>
      <c r="AC16" s="144">
        <f t="shared" si="5"/>
        <v>1</v>
      </c>
      <c r="AD16" s="384" t="s">
        <v>60</v>
      </c>
      <c r="AE16" s="391" t="s">
        <v>29</v>
      </c>
      <c r="AF16" s="370">
        <v>127078.66102000001</v>
      </c>
      <c r="AG16" s="371">
        <v>2702.04</v>
      </c>
      <c r="AH16" s="371">
        <v>4.2399999999999984</v>
      </c>
      <c r="AI16" s="371">
        <v>45999.542280000001</v>
      </c>
      <c r="AJ16" s="373">
        <v>184155.86</v>
      </c>
      <c r="AK16" s="73"/>
      <c r="AL16" s="225"/>
      <c r="AM16" s="398">
        <v>42014</v>
      </c>
      <c r="AN16" s="354">
        <v>11520.37</v>
      </c>
      <c r="AO16" s="146">
        <v>-1623.0806999999998</v>
      </c>
      <c r="AP16" s="147">
        <v>130</v>
      </c>
      <c r="AQ16" s="59">
        <v>42014</v>
      </c>
      <c r="AR16" s="183">
        <v>11520.37</v>
      </c>
      <c r="AS16" s="61">
        <f t="shared" si="11"/>
        <v>1</v>
      </c>
      <c r="AT16" s="188">
        <f t="shared" si="12"/>
        <v>2</v>
      </c>
      <c r="AU16" s="199">
        <f>LARGE($AR$7:$AR$185,ROWS(A$2:A3))</f>
        <v>56764.54</v>
      </c>
      <c r="AV16" s="200" cm="1">
        <f t="array" ref="AV16">INDEX($AQ$7:$AQ$185,MATCH(TRUE,INDEX(_xlfn.ANCHORARRAY($AR$7)=AU16,0),0))</f>
        <v>42056</v>
      </c>
      <c r="AW16" s="189">
        <f>LARGE($AY$27:$AY$43,ROWS(C$2:C3))</f>
        <v>241200.42</v>
      </c>
      <c r="AX16" s="68" t="str" cm="1">
        <f t="array" ref="AX16">INDEX($AU$27:$AU$43,MATCH(TRUE,INDEX($AY$27:$AY$43=AW16,0),0))</f>
        <v>Chairs &amp; Chairmats</v>
      </c>
      <c r="AY16" s="144"/>
      <c r="AZ16" s="68"/>
      <c r="BB16" s="228" t="s">
        <v>71</v>
      </c>
      <c r="BC16" s="256" t="s">
        <v>48</v>
      </c>
      <c r="BD16" s="264">
        <v>89371.54</v>
      </c>
      <c r="BE16" s="265">
        <v>8362.1729999999989</v>
      </c>
      <c r="BF16" s="328">
        <v>68</v>
      </c>
      <c r="BG16" s="266">
        <v>42183</v>
      </c>
      <c r="BH16" s="68">
        <v>8362.1729999999989</v>
      </c>
      <c r="BI16" s="236">
        <v>42183</v>
      </c>
      <c r="BJ16" s="61">
        <v>68</v>
      </c>
      <c r="BK16" s="78"/>
      <c r="BL16" s="68"/>
      <c r="BM16" s="249"/>
      <c r="BN16" s="68"/>
      <c r="BO16" s="68"/>
      <c r="BP16" s="68"/>
      <c r="BQ16" s="68"/>
      <c r="BR16" s="144"/>
      <c r="BS16" s="68"/>
      <c r="BT16" s="225"/>
      <c r="BU16" s="270" t="s">
        <v>94</v>
      </c>
      <c r="BV16" s="261">
        <v>94490.75</v>
      </c>
      <c r="BW16" s="326">
        <v>13780.421678999997</v>
      </c>
      <c r="BX16" s="327">
        <v>90</v>
      </c>
      <c r="BY16" s="262">
        <v>42177</v>
      </c>
      <c r="BZ16" s="68">
        <v>94490.75</v>
      </c>
      <c r="CA16" s="236">
        <v>42177</v>
      </c>
      <c r="CB16" s="240">
        <v>90</v>
      </c>
      <c r="CC16" s="68"/>
      <c r="CD16" s="68"/>
      <c r="CE16" s="68"/>
      <c r="CF16" s="68"/>
      <c r="CG16" s="68"/>
      <c r="CH16" s="144"/>
      <c r="CI16" s="103"/>
      <c r="CJ16" s="282" t="s">
        <v>3109</v>
      </c>
      <c r="CK16" s="299"/>
      <c r="CL16" s="303"/>
      <c r="CM16" s="284" t="s">
        <v>3053</v>
      </c>
      <c r="CN16" s="285" t="str">
        <f>CHOOSE(Distribution!AH7,"Sales", "Profit")</f>
        <v>Profit</v>
      </c>
      <c r="CO16" s="286"/>
    </row>
    <row r="17" spans="2:93" ht="15.75" thickBot="1" x14ac:dyDescent="0.3">
      <c r="B17" s="346" t="s">
        <v>50</v>
      </c>
      <c r="C17" s="118">
        <v>26071.61</v>
      </c>
      <c r="D17" s="339">
        <v>1.385663926178341E-2</v>
      </c>
      <c r="E17" s="63">
        <v>2744</v>
      </c>
      <c r="F17" s="340">
        <v>0.10931399888455103</v>
      </c>
      <c r="G17" s="74" t="s">
        <v>50</v>
      </c>
      <c r="H17" s="64">
        <v>8</v>
      </c>
      <c r="I17" s="64">
        <v>17</v>
      </c>
      <c r="J17" s="75">
        <f t="shared" si="2"/>
        <v>26071.61</v>
      </c>
      <c r="K17" s="110" t="str">
        <f t="shared" si="7"/>
        <v/>
      </c>
      <c r="L17" s="110">
        <f t="shared" si="8"/>
        <v>26071.61</v>
      </c>
      <c r="M17" s="76">
        <f t="shared" si="3"/>
        <v>2744</v>
      </c>
      <c r="N17" s="77">
        <f t="shared" si="4"/>
        <v>0.10931399888455103</v>
      </c>
      <c r="O17" s="63"/>
      <c r="P17" s="63"/>
      <c r="Q17" s="63"/>
      <c r="R17" s="65"/>
      <c r="S17" s="119"/>
      <c r="U17" s="225" t="s">
        <v>103</v>
      </c>
      <c r="V17" s="366">
        <v>98971.25</v>
      </c>
      <c r="W17" s="359">
        <v>81006.836988000025</v>
      </c>
      <c r="X17" s="359">
        <v>911.81</v>
      </c>
      <c r="Y17" s="361">
        <v>12321.579311999994</v>
      </c>
      <c r="Z17" s="78"/>
      <c r="AA17" s="160" t="str">
        <f t="shared" si="0"/>
        <v>Illinois</v>
      </c>
      <c r="AB17" s="171">
        <v>98971.25</v>
      </c>
      <c r="AC17" s="144">
        <f>IF(AB17=0,0,1)</f>
        <v>1</v>
      </c>
      <c r="AD17" s="389" t="s">
        <v>60</v>
      </c>
      <c r="AE17" s="392" t="s">
        <v>49</v>
      </c>
      <c r="AF17" s="388">
        <v>91882.323870000007</v>
      </c>
      <c r="AG17" s="146">
        <v>1813.46</v>
      </c>
      <c r="AH17" s="146">
        <v>12.259999999999987</v>
      </c>
      <c r="AI17" s="146">
        <v>12136.81913</v>
      </c>
      <c r="AJ17" s="147">
        <v>111003.26</v>
      </c>
      <c r="AK17" s="73"/>
      <c r="AL17" s="225"/>
      <c r="AM17" s="398">
        <v>42015</v>
      </c>
      <c r="AN17" s="354">
        <v>3355.12</v>
      </c>
      <c r="AO17" s="146">
        <v>-137.49189999999996</v>
      </c>
      <c r="AP17" s="147">
        <v>43</v>
      </c>
      <c r="AQ17" s="59">
        <v>42015</v>
      </c>
      <c r="AR17" s="183">
        <v>3355.12</v>
      </c>
      <c r="AS17" s="61">
        <f t="shared" si="11"/>
        <v>1</v>
      </c>
      <c r="AT17" s="188">
        <f t="shared" si="12"/>
        <v>3</v>
      </c>
      <c r="AU17" s="199">
        <f>LARGE($AR$7:$AR$185,ROWS(A$2:A4))</f>
        <v>49028.22</v>
      </c>
      <c r="AV17" s="200" cm="1">
        <f t="array" ref="AV17">INDEX($AQ$7:$AQ$185,MATCH(TRUE,INDEX(_xlfn.ANCHORARRAY($AR$7)=AU17,0),0))</f>
        <v>42175</v>
      </c>
      <c r="AW17" s="189">
        <f>LARGE($AY$27:$AY$43,ROWS(C$2:C4))</f>
        <v>198764.49</v>
      </c>
      <c r="AX17" s="68" t="str" cm="1">
        <f t="array" ref="AX17">INDEX($AU$27:$AU$43,MATCH(TRUE,INDEX($AY$27:$AY$43=AW17,0),0))</f>
        <v>Telephones and Communication</v>
      </c>
      <c r="AY17" s="144"/>
      <c r="AZ17" s="68"/>
      <c r="BB17" s="225"/>
      <c r="BC17" s="260" t="s">
        <v>116</v>
      </c>
      <c r="BD17" s="261">
        <v>92000.75</v>
      </c>
      <c r="BE17" s="326">
        <v>4680.4503269200004</v>
      </c>
      <c r="BF17" s="327">
        <v>73</v>
      </c>
      <c r="BG17" s="262">
        <v>42172</v>
      </c>
      <c r="BH17" s="68">
        <v>4680.4503269200004</v>
      </c>
      <c r="BI17" s="236">
        <v>42172</v>
      </c>
      <c r="BJ17" s="61">
        <v>73</v>
      </c>
      <c r="BK17" s="78"/>
      <c r="BL17" s="68"/>
      <c r="BM17" s="249"/>
      <c r="BN17" s="68"/>
      <c r="BO17" s="68"/>
      <c r="BP17" s="68"/>
      <c r="BQ17" s="68"/>
      <c r="BR17" s="144"/>
      <c r="BS17" s="68"/>
      <c r="BT17" s="225"/>
      <c r="BU17" s="271" t="s">
        <v>28</v>
      </c>
      <c r="BV17" s="261">
        <v>38272.589999999997</v>
      </c>
      <c r="BW17" s="326">
        <v>8144.6507180000026</v>
      </c>
      <c r="BX17" s="327">
        <v>52</v>
      </c>
      <c r="BY17" s="262">
        <v>42183</v>
      </c>
      <c r="BZ17" s="68">
        <v>38272.589999999997</v>
      </c>
      <c r="CA17" s="236">
        <v>42183</v>
      </c>
      <c r="CB17" s="240">
        <v>52</v>
      </c>
      <c r="CC17" s="68"/>
      <c r="CD17" s="68"/>
      <c r="CE17" s="68"/>
      <c r="CF17" s="68"/>
      <c r="CG17" s="68"/>
      <c r="CH17" s="144"/>
      <c r="CI17" s="103"/>
      <c r="CJ17" s="320" t="s">
        <v>11</v>
      </c>
      <c r="CK17" s="318" t="s">
        <v>22</v>
      </c>
      <c r="CL17" s="324" t="s">
        <v>3016</v>
      </c>
      <c r="CM17" s="280" t="s">
        <v>11</v>
      </c>
      <c r="CN17" s="281" t="str">
        <f>CN16</f>
        <v>Profit</v>
      </c>
      <c r="CO17" s="288" t="s">
        <v>3016</v>
      </c>
    </row>
    <row r="18" spans="2:93" ht="15.75" thickBot="1" x14ac:dyDescent="0.3">
      <c r="B18" s="346" t="s">
        <v>176</v>
      </c>
      <c r="C18" s="118">
        <v>1789.43</v>
      </c>
      <c r="D18" s="339">
        <v>9.5105311847688302E-4</v>
      </c>
      <c r="E18" s="63">
        <v>501</v>
      </c>
      <c r="F18" s="340">
        <v>1.9958569038323638E-2</v>
      </c>
      <c r="G18" s="74" t="s">
        <v>176</v>
      </c>
      <c r="H18" s="64">
        <v>4</v>
      </c>
      <c r="I18" s="64">
        <v>19</v>
      </c>
      <c r="J18" s="75">
        <f t="shared" si="2"/>
        <v>1789.43</v>
      </c>
      <c r="K18" s="110" t="str">
        <f t="shared" si="7"/>
        <v/>
      </c>
      <c r="L18" s="110">
        <f t="shared" si="8"/>
        <v>1789.43</v>
      </c>
      <c r="M18" s="76">
        <f t="shared" si="3"/>
        <v>501</v>
      </c>
      <c r="N18" s="77">
        <f t="shared" si="4"/>
        <v>1.9958569038323638E-2</v>
      </c>
      <c r="O18" s="63"/>
      <c r="P18" s="63"/>
      <c r="Q18" s="63"/>
      <c r="R18" s="65"/>
      <c r="S18" s="119"/>
      <c r="U18" s="225" t="s">
        <v>54</v>
      </c>
      <c r="V18" s="366">
        <v>39314.550000000003</v>
      </c>
      <c r="W18" s="359">
        <v>38266.167805000005</v>
      </c>
      <c r="X18" s="359">
        <v>684.15</v>
      </c>
      <c r="Y18" s="361">
        <v>-976.94950500000107</v>
      </c>
      <c r="Z18" s="78"/>
      <c r="AA18" s="160" t="str">
        <f t="shared" si="0"/>
        <v>Indiana</v>
      </c>
      <c r="AB18" s="171">
        <v>39314.550000000003</v>
      </c>
      <c r="AC18" s="144">
        <f t="shared" ref="AC18:AC54" si="16">IF(AB18=0,0,1)</f>
        <v>1</v>
      </c>
      <c r="AD18" s="390" t="s">
        <v>60</v>
      </c>
      <c r="AE18" s="393" t="s">
        <v>41</v>
      </c>
      <c r="AF18" s="388">
        <v>195112.64050799998</v>
      </c>
      <c r="AG18" s="146">
        <v>1325.44</v>
      </c>
      <c r="AH18" s="146">
        <v>5.7099999999999937</v>
      </c>
      <c r="AI18" s="146">
        <v>10095.172992000003</v>
      </c>
      <c r="AJ18" s="147">
        <v>218867.52</v>
      </c>
      <c r="AK18" s="73"/>
      <c r="AL18" s="225"/>
      <c r="AM18" s="398">
        <v>42016</v>
      </c>
      <c r="AN18" s="354">
        <v>14882.67</v>
      </c>
      <c r="AO18" s="146">
        <v>5081.0147000000015</v>
      </c>
      <c r="AP18" s="147">
        <v>220</v>
      </c>
      <c r="AQ18" s="59">
        <v>42016</v>
      </c>
      <c r="AR18" s="183">
        <v>14882.67</v>
      </c>
      <c r="AS18" s="61">
        <f t="shared" si="11"/>
        <v>1</v>
      </c>
      <c r="AT18" s="188">
        <f t="shared" si="12"/>
        <v>3</v>
      </c>
      <c r="AU18" s="201"/>
      <c r="AV18" s="67"/>
      <c r="AW18" s="183"/>
      <c r="AX18" s="68"/>
      <c r="AY18" s="144"/>
      <c r="AZ18" s="68"/>
      <c r="BB18" s="225"/>
      <c r="BC18" s="260" t="s">
        <v>38</v>
      </c>
      <c r="BD18" s="261">
        <v>92705.25</v>
      </c>
      <c r="BE18" s="326">
        <v>12910.396491999998</v>
      </c>
      <c r="BF18" s="327">
        <v>62</v>
      </c>
      <c r="BG18" s="262">
        <v>42184</v>
      </c>
      <c r="BH18" s="68">
        <v>12910.396491999998</v>
      </c>
      <c r="BI18" s="236">
        <v>42184</v>
      </c>
      <c r="BJ18" s="61">
        <v>62</v>
      </c>
      <c r="BK18" s="78"/>
      <c r="BL18" s="68"/>
      <c r="BM18" s="249"/>
      <c r="BN18" s="68"/>
      <c r="BO18" s="68"/>
      <c r="BP18" s="68"/>
      <c r="BQ18" s="68"/>
      <c r="BR18" s="144"/>
      <c r="BS18" s="68"/>
      <c r="BT18" s="228" t="s">
        <v>26</v>
      </c>
      <c r="BU18" s="224" t="s">
        <v>71</v>
      </c>
      <c r="BV18" s="264">
        <v>101040.41</v>
      </c>
      <c r="BW18" s="265">
        <v>3012.5318559999973</v>
      </c>
      <c r="BX18" s="328">
        <v>65</v>
      </c>
      <c r="BY18" s="266">
        <v>42183</v>
      </c>
      <c r="BZ18" s="68">
        <v>101040.41</v>
      </c>
      <c r="CA18" s="236">
        <v>42183</v>
      </c>
      <c r="CB18" s="240">
        <v>65</v>
      </c>
      <c r="CC18" s="68"/>
      <c r="CD18" s="68"/>
      <c r="CE18" s="68"/>
      <c r="CF18" s="68"/>
      <c r="CG18" s="68"/>
      <c r="CH18" s="144"/>
      <c r="CI18" s="103"/>
      <c r="CJ18" s="321" t="s">
        <v>2271</v>
      </c>
      <c r="CK18" s="314">
        <v>3.07</v>
      </c>
      <c r="CL18" s="303">
        <v>1</v>
      </c>
      <c r="CM18" s="55" t="str" cm="1">
        <f t="array" ref="CM18">IFERROR(_xlfn.IFS($CN$16="Sales",CJ18,$CN$16="Profit",CJ24),"")</f>
        <v>Polycom ViewStation™ ISDN Videoconferencing Unit</v>
      </c>
      <c r="CN18" s="276" cm="1">
        <f t="array" ref="CN18">IFERROR(_xlfn.IFS($CN$16="Sales",CK18,$CN$16="Profit",CK24),"")</f>
        <v>-27621.245408000002</v>
      </c>
      <c r="CO18" s="293" cm="1">
        <f t="array" ref="CO18">IFERROR(_xlfn.IFS($CN$16="Sales",CL18,$CN$16="Profit",CL24),"")</f>
        <v>7</v>
      </c>
    </row>
    <row r="19" spans="2:93" ht="15.75" thickBot="1" x14ac:dyDescent="0.3">
      <c r="B19" s="346" t="s">
        <v>568</v>
      </c>
      <c r="C19" s="118">
        <v>6752.18</v>
      </c>
      <c r="D19" s="339">
        <v>3.5886745195493762E-3</v>
      </c>
      <c r="E19" s="63">
        <v>423</v>
      </c>
      <c r="F19" s="340">
        <v>1.6851246912596606E-2</v>
      </c>
      <c r="G19" s="74" t="s">
        <v>568</v>
      </c>
      <c r="H19" s="64">
        <v>2</v>
      </c>
      <c r="I19" s="64">
        <v>16</v>
      </c>
      <c r="J19" s="75">
        <f t="shared" si="2"/>
        <v>6752.18</v>
      </c>
      <c r="K19" s="110" t="str">
        <f t="shared" si="7"/>
        <v/>
      </c>
      <c r="L19" s="110">
        <f t="shared" si="8"/>
        <v>6752.18</v>
      </c>
      <c r="M19" s="76">
        <f t="shared" si="3"/>
        <v>423</v>
      </c>
      <c r="N19" s="77">
        <f t="shared" si="4"/>
        <v>1.6851246912596606E-2</v>
      </c>
      <c r="O19" s="63"/>
      <c r="P19" s="63"/>
      <c r="Q19" s="63"/>
      <c r="R19" s="65"/>
      <c r="S19" s="119"/>
      <c r="U19" s="225" t="s">
        <v>213</v>
      </c>
      <c r="V19" s="366">
        <v>10977.69</v>
      </c>
      <c r="W19" s="359">
        <v>8728.3327200000003</v>
      </c>
      <c r="X19" s="359">
        <v>335.81</v>
      </c>
      <c r="Y19" s="361">
        <v>1262.4305799999997</v>
      </c>
      <c r="Z19" s="78"/>
      <c r="AA19" s="160" t="str">
        <f t="shared" si="0"/>
        <v>Iowa</v>
      </c>
      <c r="AB19" s="171">
        <v>10977.69</v>
      </c>
      <c r="AC19" s="144">
        <f t="shared" si="16"/>
        <v>1</v>
      </c>
      <c r="AD19" s="377" t="s">
        <v>3015</v>
      </c>
      <c r="AE19" s="378"/>
      <c r="AF19" s="374">
        <v>1550633.4510628521</v>
      </c>
      <c r="AG19" s="375">
        <v>24748.43</v>
      </c>
      <c r="AH19" s="375">
        <v>94.590000000000302</v>
      </c>
      <c r="AI19" s="375">
        <v>215023.39973715009</v>
      </c>
      <c r="AJ19" s="376">
        <v>1881524.77</v>
      </c>
      <c r="AK19" s="73"/>
      <c r="AL19" s="225"/>
      <c r="AM19" s="398">
        <v>42017</v>
      </c>
      <c r="AN19" s="354">
        <v>1772.04</v>
      </c>
      <c r="AO19" s="146">
        <v>282.39959999999985</v>
      </c>
      <c r="AP19" s="147">
        <v>48</v>
      </c>
      <c r="AQ19" s="59">
        <v>42017</v>
      </c>
      <c r="AR19" s="183">
        <v>1772.04</v>
      </c>
      <c r="AS19" s="61">
        <f t="shared" si="11"/>
        <v>1</v>
      </c>
      <c r="AT19" s="188">
        <f t="shared" si="12"/>
        <v>3</v>
      </c>
      <c r="AU19" s="201" t="s">
        <v>3061</v>
      </c>
      <c r="AV19" s="67" t="s">
        <v>3062</v>
      </c>
      <c r="AW19" s="183" t="s">
        <v>3061</v>
      </c>
      <c r="AX19" s="68" t="s">
        <v>3062</v>
      </c>
      <c r="AY19" s="144"/>
      <c r="AZ19" s="68"/>
      <c r="BB19" s="225"/>
      <c r="BC19" s="260" t="s">
        <v>26</v>
      </c>
      <c r="BD19" s="261">
        <v>101040.41</v>
      </c>
      <c r="BE19" s="326">
        <v>3012.5318559999973</v>
      </c>
      <c r="BF19" s="327">
        <v>65</v>
      </c>
      <c r="BG19" s="262">
        <v>42183</v>
      </c>
      <c r="BH19" s="68">
        <v>3012.5318559999973</v>
      </c>
      <c r="BI19" s="236">
        <v>42183</v>
      </c>
      <c r="BJ19" s="61">
        <v>65</v>
      </c>
      <c r="BK19" s="78"/>
      <c r="BL19" s="68"/>
      <c r="BM19" s="249"/>
      <c r="BN19" s="68"/>
      <c r="BO19" s="68"/>
      <c r="BP19" s="68"/>
      <c r="BQ19" s="68"/>
      <c r="BR19" s="144"/>
      <c r="BS19" s="68"/>
      <c r="BT19" s="225"/>
      <c r="BU19" s="270" t="s">
        <v>40</v>
      </c>
      <c r="BV19" s="261">
        <v>132021.04</v>
      </c>
      <c r="BW19" s="326">
        <v>23965.52246</v>
      </c>
      <c r="BX19" s="327">
        <v>56</v>
      </c>
      <c r="BY19" s="262">
        <v>42177</v>
      </c>
      <c r="BZ19" s="68">
        <v>132021.04</v>
      </c>
      <c r="CA19" s="236">
        <v>42177</v>
      </c>
      <c r="CB19" s="240">
        <v>56</v>
      </c>
      <c r="CC19" s="68"/>
      <c r="CD19" s="68"/>
      <c r="CE19" s="68"/>
      <c r="CF19" s="68"/>
      <c r="CG19" s="68"/>
      <c r="CH19" s="144"/>
      <c r="CI19" s="103"/>
      <c r="CJ19" s="322" t="s">
        <v>311</v>
      </c>
      <c r="CK19" s="315">
        <v>3.53</v>
      </c>
      <c r="CL19" s="302">
        <v>1</v>
      </c>
      <c r="CM19" s="55" t="str" cm="1">
        <f t="array" ref="CM19">IFERROR(_xlfn.IFS($CN$16="Sales",CJ19,$CN$16="Profit",CJ25),"")</f>
        <v>5165</v>
      </c>
      <c r="CN19" s="276" cm="1">
        <f t="array" ref="CN19">IFERROR(_xlfn.IFS($CN$16="Sales",CK19,$CN$16="Profit",CK25),"")</f>
        <v>-12548.946099999999</v>
      </c>
      <c r="CO19" s="293" cm="1">
        <f t="array" ref="CO19">IFERROR(_xlfn.IFS($CN$16="Sales",CL19,$CN$16="Profit",CL25),"")</f>
        <v>51</v>
      </c>
    </row>
    <row r="20" spans="2:93" ht="15.75" thickBot="1" x14ac:dyDescent="0.3">
      <c r="B20" s="346" t="s">
        <v>78</v>
      </c>
      <c r="C20" s="118">
        <v>175730.05</v>
      </c>
      <c r="D20" s="339">
        <v>9.33976808607202E-2</v>
      </c>
      <c r="E20" s="63">
        <v>1889</v>
      </c>
      <c r="F20" s="340">
        <v>7.5252967891004705E-2</v>
      </c>
      <c r="G20" s="74" t="s">
        <v>78</v>
      </c>
      <c r="H20" s="64">
        <v>0</v>
      </c>
      <c r="I20" s="64">
        <v>13</v>
      </c>
      <c r="J20" s="75">
        <f t="shared" si="2"/>
        <v>175730.05</v>
      </c>
      <c r="K20" s="110" t="str">
        <f t="shared" si="7"/>
        <v/>
      </c>
      <c r="L20" s="110">
        <f t="shared" si="8"/>
        <v>175730.05</v>
      </c>
      <c r="M20" s="76">
        <f t="shared" si="3"/>
        <v>1889</v>
      </c>
      <c r="N20" s="77">
        <f t="shared" si="4"/>
        <v>7.5252967891004705E-2</v>
      </c>
      <c r="O20" s="63"/>
      <c r="P20" s="63"/>
      <c r="Q20" s="63"/>
      <c r="R20" s="65"/>
      <c r="S20" s="119"/>
      <c r="U20" s="225" t="s">
        <v>537</v>
      </c>
      <c r="V20" s="366">
        <v>29678.21</v>
      </c>
      <c r="W20" s="359">
        <v>24694.998839999997</v>
      </c>
      <c r="X20" s="359">
        <v>501.11</v>
      </c>
      <c r="Y20" s="361">
        <v>2725.7763599999998</v>
      </c>
      <c r="Z20" s="78"/>
      <c r="AA20" s="160" t="str">
        <f t="shared" si="0"/>
        <v>Kansas</v>
      </c>
      <c r="AB20" s="171">
        <v>29678.21</v>
      </c>
      <c r="AC20" s="144">
        <f t="shared" si="16"/>
        <v>1</v>
      </c>
      <c r="AD20" s="145" t="s">
        <v>3053</v>
      </c>
      <c r="AE20" s="68" t="str">
        <f>CHOOSE('Sales Map'!A37,"Central","East","South","West")</f>
        <v>Central</v>
      </c>
      <c r="AF20" s="68"/>
      <c r="AG20" s="68"/>
      <c r="AH20" s="68"/>
      <c r="AI20" s="68"/>
      <c r="AJ20" s="144"/>
      <c r="AL20" s="225"/>
      <c r="AM20" s="398">
        <v>42018</v>
      </c>
      <c r="AN20" s="354">
        <v>5200.1899999999996</v>
      </c>
      <c r="AO20" s="146">
        <v>1000.9828159999998</v>
      </c>
      <c r="AP20" s="147">
        <v>76</v>
      </c>
      <c r="AQ20" s="59">
        <v>42018</v>
      </c>
      <c r="AR20" s="183">
        <v>5200.1899999999996</v>
      </c>
      <c r="AS20" s="61">
        <f t="shared" si="11"/>
        <v>1</v>
      </c>
      <c r="AT20" s="188">
        <f t="shared" si="12"/>
        <v>3</v>
      </c>
      <c r="AU20" s="199">
        <f>SMALL($AR$7:$AR$185,COUNTIF($AR$7:$AR$185,0)+1)</f>
        <v>101.71</v>
      </c>
      <c r="AV20" s="200" cm="1">
        <f t="array" ref="AV20">INDEX($AQ$7:$AQ$185,MATCH(TRUE,INDEX(_xlfn.ANCHORARRAY($AR$7)=AU20,0),0))</f>
        <v>42094</v>
      </c>
      <c r="AW20" s="189">
        <f>SMALL($AY$27:$AY$43,COUNTIF($AY$27:$AY$63,0)+1)</f>
        <v>1789.43</v>
      </c>
      <c r="AX20" s="68" t="str" cm="1">
        <f t="array" ref="AX20">INDEX($AU$27:$AU$43,MATCH(TRUE,INDEX($AY$27:$AY$43=AW20,0),0))</f>
        <v>Rubber Bands</v>
      </c>
      <c r="AY20" s="144"/>
      <c r="AZ20" s="68"/>
      <c r="BB20" s="225"/>
      <c r="BC20" s="263" t="s">
        <v>3094</v>
      </c>
      <c r="BD20" s="261">
        <v>86227.79</v>
      </c>
      <c r="BE20" s="326">
        <v>22699.893596000005</v>
      </c>
      <c r="BF20" s="327">
        <v>66</v>
      </c>
      <c r="BG20" s="262">
        <v>42185</v>
      </c>
      <c r="BH20" s="68">
        <v>22699.893596000005</v>
      </c>
      <c r="BI20" s="236">
        <v>42185</v>
      </c>
      <c r="BJ20" s="61">
        <v>66</v>
      </c>
      <c r="BK20" s="78"/>
      <c r="BL20" s="68"/>
      <c r="BM20" s="68"/>
      <c r="BN20" s="68"/>
      <c r="BO20" s="68"/>
      <c r="BP20" s="68"/>
      <c r="BQ20" s="68"/>
      <c r="BR20" s="144"/>
      <c r="BS20" s="68"/>
      <c r="BT20" s="225"/>
      <c r="BU20" s="270" t="s">
        <v>94</v>
      </c>
      <c r="BV20" s="261">
        <v>124332.78</v>
      </c>
      <c r="BW20" s="326">
        <v>-3620.6440049999942</v>
      </c>
      <c r="BX20" s="327">
        <v>105</v>
      </c>
      <c r="BY20" s="262">
        <v>42183</v>
      </c>
      <c r="BZ20" s="68">
        <v>124332.78</v>
      </c>
      <c r="CA20" s="236">
        <v>42183</v>
      </c>
      <c r="CB20" s="240">
        <v>105</v>
      </c>
      <c r="CC20" s="68"/>
      <c r="CD20" s="68"/>
      <c r="CE20" s="68"/>
      <c r="CF20" s="68"/>
      <c r="CG20" s="68"/>
      <c r="CH20" s="144"/>
      <c r="CI20" s="103"/>
      <c r="CJ20" s="323" t="s">
        <v>2282</v>
      </c>
      <c r="CK20" s="316">
        <v>3.13</v>
      </c>
      <c r="CL20" s="418">
        <v>1</v>
      </c>
      <c r="CM20" s="55" t="str" cm="1">
        <f t="array" ref="CM20">IFERROR(_xlfn.IFS($CN$16="Sales",CJ20,$CN$16="Profit",CJ26),"")</f>
        <v>Okidata Pacemark 4410N Wide Format Dot Matrix Printer</v>
      </c>
      <c r="CN20" s="276" cm="1">
        <f t="array" ref="CN20">IFERROR(_xlfn.IFS($CN$16="Sales",CK20,$CN$16="Profit",CK26),"")</f>
        <v>-10999.533191999999</v>
      </c>
      <c r="CO20" s="293" cm="1">
        <f t="array" ref="CO20">IFERROR(_xlfn.IFS($CN$16="Sales",CL20,$CN$16="Profit",CL26),"")</f>
        <v>2</v>
      </c>
    </row>
    <row r="21" spans="2:93" ht="15.75" thickBot="1" x14ac:dyDescent="0.3">
      <c r="B21" s="346" t="s">
        <v>30</v>
      </c>
      <c r="C21" s="118">
        <v>172511.33</v>
      </c>
      <c r="D21" s="339">
        <v>9.1686983212025425E-2</v>
      </c>
      <c r="E21" s="63">
        <v>882</v>
      </c>
      <c r="F21" s="340">
        <v>3.5136642498605687E-2</v>
      </c>
      <c r="G21" s="74" t="s">
        <v>30</v>
      </c>
      <c r="H21" s="64">
        <v>3</v>
      </c>
      <c r="I21" s="64">
        <v>10</v>
      </c>
      <c r="J21" s="75">
        <f t="shared" si="2"/>
        <v>172511.33</v>
      </c>
      <c r="K21" s="110" t="str">
        <f t="shared" si="7"/>
        <v/>
      </c>
      <c r="L21" s="110">
        <f t="shared" si="8"/>
        <v>172511.33</v>
      </c>
      <c r="M21" s="76">
        <f t="shared" si="3"/>
        <v>882</v>
      </c>
      <c r="N21" s="77">
        <f t="shared" si="4"/>
        <v>3.5136642498605687E-2</v>
      </c>
      <c r="O21" s="63"/>
      <c r="P21" s="63"/>
      <c r="Q21" s="63"/>
      <c r="R21" s="65"/>
      <c r="S21" s="119"/>
      <c r="U21" s="225" t="s">
        <v>388</v>
      </c>
      <c r="V21" s="366">
        <v>14737.27</v>
      </c>
      <c r="W21" s="359">
        <v>15421.737999999999</v>
      </c>
      <c r="X21" s="359">
        <v>322.52999999999997</v>
      </c>
      <c r="Y21" s="361">
        <v>-1982.6450000000009</v>
      </c>
      <c r="Z21" s="78"/>
      <c r="AA21" s="160" t="str">
        <f t="shared" si="0"/>
        <v>Kentucky</v>
      </c>
      <c r="AB21" s="171">
        <v>14737.27</v>
      </c>
      <c r="AC21" s="144">
        <f t="shared" si="16"/>
        <v>1</v>
      </c>
      <c r="AD21" s="182" t="s">
        <v>53</v>
      </c>
      <c r="AE21" s="146" t="s">
        <v>29</v>
      </c>
      <c r="AF21" s="183">
        <f>IFERROR(GETPIVOTDATA("[Measures].[Sum of Cumulative cost]",$AD$5,"[Table_1].[Product Category]","[Table_1].[Product Category].&amp;[Furniture]","[Table_1].[Region]","[Table_1].[Region].&amp;[Central]"),"")</f>
        <v>131268.74200539998</v>
      </c>
      <c r="AG21" s="183">
        <f>IFERROR(GETPIVOTDATA("[Measures].[Sum of Shipping Cost]",$AD$5,"[Table_1].[Product Category]","[Table_1].[Product Category].&amp;[Furniture]","[Table_1].[Region]","[Table_1].[Region].&amp;[Central]"),"")</f>
        <v>3295</v>
      </c>
      <c r="AH21" s="183">
        <f>IFERROR(GETPIVOTDATA("[Measures].[Sum of Discount]",$AD$5,"[Table_1].[Product Category]","[Table_1].[Product Category].&amp;[Furniture]","[Table_1].[Region]","[Table_1].[Region].&amp;[Central]"),"")</f>
        <v>5.8499999999999943</v>
      </c>
      <c r="AI21" s="183">
        <f>IFERROR(GETPIVOTDATA("[Measures].[Sum of Profit]",$AD$5,"[Table_1].[Product Category]","[Table_1].[Product Category].&amp;[Furniture]","[Table_1].[Region]","[Table_1].[Region].&amp;[Central]"),"")</f>
        <v>6301.754294600003</v>
      </c>
      <c r="AJ21" s="184">
        <f>IFERROR(GETPIVOTDATA("[Measures].[Sum of Sales]",$AD$5,"[Table_1].[Product Category]","[Table_1].[Product Category].&amp;[Furniture]","[Table_1].[Region]","[Table_1].[Region].&amp;[Central]"),"")</f>
        <v>148455.14000000001</v>
      </c>
      <c r="AK21" s="83"/>
      <c r="AL21" s="225"/>
      <c r="AM21" s="398">
        <v>42019</v>
      </c>
      <c r="AN21" s="354">
        <v>4829.95</v>
      </c>
      <c r="AO21" s="146">
        <v>-3549.8535399999996</v>
      </c>
      <c r="AP21" s="147">
        <v>130</v>
      </c>
      <c r="AQ21" s="59">
        <v>42019</v>
      </c>
      <c r="AR21" s="183">
        <v>4829.95</v>
      </c>
      <c r="AS21" s="61">
        <f t="shared" si="11"/>
        <v>1</v>
      </c>
      <c r="AT21" s="188">
        <f t="shared" si="12"/>
        <v>3</v>
      </c>
      <c r="AU21" s="199">
        <f>SMALL($AR$7:$AR$185,COUNTIF($AR$7:$AR$185,0)+2)</f>
        <v>262.77999999999997</v>
      </c>
      <c r="AV21" s="200" cm="1">
        <f t="array" ref="AV21">INDEX($AQ$7:$AQ$185,MATCH(TRUE,INDEX(_xlfn.ANCHORARRAY($AR$7)=AU21,0),0))</f>
        <v>42066</v>
      </c>
      <c r="AW21" s="189">
        <f>SMALL($AY$27:$AY$43,COUNTIF($AY$27:$AY$43,0)+2)</f>
        <v>4914.82</v>
      </c>
      <c r="AX21" s="68" t="str" cm="1">
        <f t="array" ref="AX21">INDEX($AU$27:$AU$43,MATCH(TRUE,INDEX($AY$27:$AY$43=AW21,0),0))</f>
        <v>Labels</v>
      </c>
      <c r="AY21" s="144"/>
      <c r="AZ21" s="68"/>
      <c r="BB21" s="228" t="s">
        <v>28</v>
      </c>
      <c r="BC21" s="256" t="s">
        <v>48</v>
      </c>
      <c r="BD21" s="264">
        <v>102908.14</v>
      </c>
      <c r="BE21" s="265">
        <v>8236.5897568000019</v>
      </c>
      <c r="BF21" s="328">
        <v>62</v>
      </c>
      <c r="BG21" s="266">
        <v>42185</v>
      </c>
      <c r="BH21" s="68">
        <v>8236.5897568000019</v>
      </c>
      <c r="BI21" s="236">
        <v>42185</v>
      </c>
      <c r="BJ21" s="61">
        <v>62</v>
      </c>
      <c r="BK21" s="78"/>
      <c r="BL21" s="68"/>
      <c r="BM21" s="68"/>
      <c r="BN21" s="68"/>
      <c r="BO21" s="68"/>
      <c r="BP21" s="68"/>
      <c r="BQ21" s="68"/>
      <c r="BR21" s="144"/>
      <c r="BS21" s="68"/>
      <c r="BT21" s="225"/>
      <c r="BU21" s="271" t="s">
        <v>28</v>
      </c>
      <c r="BV21" s="261">
        <v>72004.78</v>
      </c>
      <c r="BW21" s="326">
        <v>11729.914612680001</v>
      </c>
      <c r="BX21" s="327">
        <v>49</v>
      </c>
      <c r="BY21" s="262">
        <v>42181</v>
      </c>
      <c r="BZ21" s="68">
        <v>72004.78</v>
      </c>
      <c r="CA21" s="236">
        <v>42181</v>
      </c>
      <c r="CB21" s="240">
        <v>49</v>
      </c>
      <c r="CC21" s="68"/>
      <c r="CD21" s="68"/>
      <c r="CE21" s="68"/>
      <c r="CF21" s="68"/>
      <c r="CG21" s="68"/>
      <c r="CH21" s="144"/>
      <c r="CJ21" s="294"/>
      <c r="CL21" s="293"/>
      <c r="CO21" s="293"/>
    </row>
    <row r="22" spans="2:93" ht="15.75" thickBot="1" x14ac:dyDescent="0.3">
      <c r="B22" s="347" t="s">
        <v>135</v>
      </c>
      <c r="C22" s="118">
        <v>198764.49</v>
      </c>
      <c r="D22" s="339">
        <v>0.1056401133640138</v>
      </c>
      <c r="E22" s="63">
        <v>2358</v>
      </c>
      <c r="F22" s="340">
        <v>9.3936738108517256E-2</v>
      </c>
      <c r="G22" s="84" t="s">
        <v>135</v>
      </c>
      <c r="H22" s="85">
        <v>26</v>
      </c>
      <c r="I22" s="85">
        <v>17</v>
      </c>
      <c r="J22" s="86">
        <f t="shared" si="2"/>
        <v>198764.49</v>
      </c>
      <c r="K22" s="111" t="str">
        <f t="shared" si="7"/>
        <v/>
      </c>
      <c r="L22" s="111">
        <f t="shared" si="8"/>
        <v>198764.49</v>
      </c>
      <c r="M22" s="87">
        <f t="shared" si="3"/>
        <v>2358</v>
      </c>
      <c r="N22" s="88">
        <f t="shared" si="4"/>
        <v>9.3936738108517256E-2</v>
      </c>
      <c r="O22" s="63"/>
      <c r="P22" s="63"/>
      <c r="Q22" s="63"/>
      <c r="R22" s="65"/>
      <c r="S22" s="119"/>
      <c r="U22" s="225" t="s">
        <v>168</v>
      </c>
      <c r="V22" s="366">
        <v>14909.43</v>
      </c>
      <c r="W22" s="359">
        <v>13032.440979999999</v>
      </c>
      <c r="X22" s="359">
        <v>175.57</v>
      </c>
      <c r="Y22" s="361">
        <v>710.12542000000008</v>
      </c>
      <c r="Z22" s="78"/>
      <c r="AA22" s="160" t="str">
        <f t="shared" si="0"/>
        <v>Louisiana</v>
      </c>
      <c r="AB22" s="171">
        <v>14909.43</v>
      </c>
      <c r="AC22" s="144">
        <f t="shared" si="16"/>
        <v>1</v>
      </c>
      <c r="AD22" s="182" t="s">
        <v>53</v>
      </c>
      <c r="AE22" s="146" t="s">
        <v>49</v>
      </c>
      <c r="AF22" s="183">
        <f>IFERROR(GETPIVOTDATA("[Measures].[Sum of Cumulative cost]",$AD$5,"[Table_1].[Product Category]","[Table_1].[Product Category].&amp;[Office Supplies]","[Table_1].[Region]","[Table_1].[Region].&amp;[Central]"),"")</f>
        <v>80084.997369999983</v>
      </c>
      <c r="AG22" s="183">
        <f>IFERROR(GETPIVOTDATA("[Measures].[Sum of Shipping Cost]",$AD$5,"[Table_1].[Product Category]","[Table_1].[Product Category].&amp;[Office Supplies]","[Table_1].[Region]","[Table_1].[Region].&amp;[Central]"),"")</f>
        <v>2496</v>
      </c>
      <c r="AH22" s="183">
        <f>IFERROR(GETPIVOTDATA("[Measures].[Sum of Discount]",$AD$5,"[Table_1].[Product Category]","[Table_1].[Product Category].&amp;[Office Supplies]","[Table_1].[Region]","[Table_1].[Region].&amp;[Central]"),"")</f>
        <v>15.109999999999983</v>
      </c>
      <c r="AI22" s="183">
        <f>IFERROR(GETPIVOTDATA("[Measures].[Sum of Profit]",$AD$5,"[Table_1].[Product Category]","[Table_1].[Product Category].&amp;[Office Supplies]","[Table_1].[Region]","[Table_1].[Region].&amp;[Central]"),"")</f>
        <v>28333.074329999999</v>
      </c>
      <c r="AJ22" s="184">
        <f>IFERROR(GETPIVOTDATA("[Measures].[Sum of Sales]",$AD$5,"[Table_1].[Product Category]","[Table_1].[Product Category].&amp;[Office Supplies]","[Table_1].[Region]","[Table_1].[Region].&amp;[Central]"),"")</f>
        <v>115119.97</v>
      </c>
      <c r="AK22" s="83"/>
      <c r="AL22" s="225"/>
      <c r="AM22" s="398">
        <v>42020</v>
      </c>
      <c r="AN22" s="354">
        <v>3964.13</v>
      </c>
      <c r="AO22" s="146">
        <v>-823.30615732000001</v>
      </c>
      <c r="AP22" s="147">
        <v>166</v>
      </c>
      <c r="AQ22" s="59">
        <v>42020</v>
      </c>
      <c r="AR22" s="183">
        <v>3964.13</v>
      </c>
      <c r="AS22" s="61">
        <f t="shared" si="11"/>
        <v>1</v>
      </c>
      <c r="AT22" s="188">
        <f t="shared" si="12"/>
        <v>3</v>
      </c>
      <c r="AU22" s="199">
        <f>SMALL($AR$7:$AR$185,COUNTIF($AR$7:$AR$185,0)+3)</f>
        <v>338.41</v>
      </c>
      <c r="AV22" s="200" cm="1">
        <f t="array" ref="AV22">INDEX($AQ$7:$AQ$185,MATCH(TRUE,INDEX(_xlfn.ANCHORARRAY($AR$7)=AU22,0),0))</f>
        <v>42182</v>
      </c>
      <c r="AW22" s="189">
        <f>SMALL($AY$27:$AY$43,COUNTIF($AY$27:$AY$43,0)+3)</f>
        <v>6752.18</v>
      </c>
      <c r="AX22" s="68" t="str" cm="1">
        <f t="array" ref="AX22">INDEX($AU$27:$AU$43,MATCH(TRUE,INDEX($AY$27:$AY$43=AW22,0),0))</f>
        <v>Scissors, Rulers and Trimmers</v>
      </c>
      <c r="AY22" s="144"/>
      <c r="AZ22" s="68"/>
      <c r="BB22" s="225"/>
      <c r="BC22" s="260" t="s">
        <v>116</v>
      </c>
      <c r="BD22" s="261">
        <v>59390.35</v>
      </c>
      <c r="BE22" s="326">
        <v>13231.464498750001</v>
      </c>
      <c r="BF22" s="327">
        <v>47</v>
      </c>
      <c r="BG22" s="262">
        <v>42183</v>
      </c>
      <c r="BH22" s="68">
        <v>13231.464498750001</v>
      </c>
      <c r="BI22" s="236">
        <v>42183</v>
      </c>
      <c r="BJ22" s="61">
        <v>47</v>
      </c>
      <c r="BK22" s="78"/>
      <c r="BL22" s="68"/>
      <c r="BM22" s="68"/>
      <c r="BN22" s="68"/>
      <c r="BO22" s="68"/>
      <c r="BP22" s="68"/>
      <c r="BQ22" s="68"/>
      <c r="BR22" s="144"/>
      <c r="BS22" s="68"/>
      <c r="BT22" s="228" t="s">
        <v>3094</v>
      </c>
      <c r="BU22" s="224" t="s">
        <v>71</v>
      </c>
      <c r="BV22" s="264">
        <v>86227.79</v>
      </c>
      <c r="BW22" s="265">
        <v>22699.893596000005</v>
      </c>
      <c r="BX22" s="328">
        <v>66</v>
      </c>
      <c r="BY22" s="266">
        <v>42185</v>
      </c>
      <c r="BZ22" s="68">
        <v>86227.79</v>
      </c>
      <c r="CA22" s="236">
        <v>42185</v>
      </c>
      <c r="CB22" s="240">
        <v>66</v>
      </c>
      <c r="CC22" s="68"/>
      <c r="CD22" s="68"/>
      <c r="CE22" s="68"/>
      <c r="CF22" s="68"/>
      <c r="CG22" s="68"/>
      <c r="CH22" s="144"/>
      <c r="CI22" s="103"/>
      <c r="CJ22" s="294" t="s">
        <v>3099</v>
      </c>
      <c r="CK22" s="287"/>
      <c r="CL22" s="302"/>
      <c r="CO22" s="293"/>
    </row>
    <row r="23" spans="2:93" ht="15.75" thickBot="1" x14ac:dyDescent="0.3">
      <c r="B23" s="348" t="s">
        <v>3015</v>
      </c>
      <c r="C23" s="136">
        <v>1881524.77</v>
      </c>
      <c r="D23" s="341">
        <v>1</v>
      </c>
      <c r="E23" s="125">
        <v>25102</v>
      </c>
      <c r="F23" s="342">
        <v>1</v>
      </c>
      <c r="G23" s="126"/>
      <c r="H23" s="127"/>
      <c r="I23" s="127"/>
      <c r="J23" s="125"/>
      <c r="K23" s="125"/>
      <c r="L23" s="125"/>
      <c r="M23" s="125"/>
      <c r="N23" s="125"/>
      <c r="O23" s="125"/>
      <c r="P23" s="125"/>
      <c r="Q23" s="125"/>
      <c r="R23" s="128"/>
      <c r="S23" s="129"/>
      <c r="U23" s="225" t="s">
        <v>331</v>
      </c>
      <c r="V23" s="366">
        <v>30532.71</v>
      </c>
      <c r="W23" s="359">
        <v>24783.743806999999</v>
      </c>
      <c r="X23" s="359">
        <v>502.27</v>
      </c>
      <c r="Y23" s="361">
        <v>3169.4628930000008</v>
      </c>
      <c r="Z23" s="78"/>
      <c r="AA23" s="160" t="str">
        <f t="shared" si="0"/>
        <v>Maine</v>
      </c>
      <c r="AB23" s="171">
        <v>30532.71</v>
      </c>
      <c r="AC23" s="144">
        <f t="shared" si="16"/>
        <v>1</v>
      </c>
      <c r="AD23" s="182" t="s">
        <v>53</v>
      </c>
      <c r="AE23" s="146" t="s">
        <v>41</v>
      </c>
      <c r="AF23" s="183">
        <f>IFERROR(GETPIVOTDATA("[Measures].[Sum of Cumulative cost]",$AD$5,"[Table_1].[Product Category]","[Table_1].[Product Category].&amp;[Technology]","[Table_1].[Region]","[Table_1].[Region].&amp;[Central]"),"")</f>
        <v>123747.83775599999</v>
      </c>
      <c r="AG23" s="183">
        <f>IFERROR(GETPIVOTDATA("[Measures].[Sum of Shipping Cost]",$AD$5,"[Table_1].[Product Category]","[Table_1].[Product Category].&amp;[Technology]","[Table_1].[Region]","[Table_1].[Region].&amp;[Central]"),"")</f>
        <v>1229.6600000000001</v>
      </c>
      <c r="AH23" s="183">
        <f>IFERROR(GETPIVOTDATA("[Measures].[Sum of Discount]",$AD$5,"[Table_1].[Product Category]","[Table_1].[Product Category].&amp;[Technology]","[Table_1].[Region]","[Table_1].[Region].&amp;[Central]"),"")</f>
        <v>6.4799999999999933</v>
      </c>
      <c r="AI23" s="183">
        <f>IFERROR(GETPIVOTDATA("[Measures].[Sum of Profit]",$AD$5,"[Table_1].[Product Category]","[Table_1].[Product Category].&amp;[Technology]","[Table_1].[Region]","[Table_1].[Region].&amp;[Central]"),"")</f>
        <v>44010.946644000011</v>
      </c>
      <c r="AJ23" s="184">
        <f>IFERROR(GETPIVOTDATA("[Measures].[Sum of Sales]",$AD$5,"[Table_1].[Product Category]","[Table_1].[Product Category].&amp;[Technology]","[Table_1].[Region]","[Table_1].[Region].&amp;[Central]"),"")</f>
        <v>177870.51</v>
      </c>
      <c r="AK23" s="83"/>
      <c r="AL23" s="225"/>
      <c r="AM23" s="398">
        <v>42021</v>
      </c>
      <c r="AN23" s="354">
        <v>6667.69</v>
      </c>
      <c r="AO23" s="146">
        <v>-1565.7061300000003</v>
      </c>
      <c r="AP23" s="147">
        <v>217</v>
      </c>
      <c r="AQ23" s="59">
        <v>42021</v>
      </c>
      <c r="AR23" s="183">
        <v>6667.69</v>
      </c>
      <c r="AS23" s="61">
        <f t="shared" si="11"/>
        <v>1</v>
      </c>
      <c r="AT23" s="188">
        <f t="shared" si="12"/>
        <v>3</v>
      </c>
      <c r="AU23" s="143"/>
      <c r="AV23" s="68"/>
      <c r="AW23" s="68"/>
      <c r="AX23" s="68"/>
      <c r="AY23" s="144"/>
      <c r="AZ23" s="68"/>
      <c r="BB23" s="225"/>
      <c r="BC23" s="260" t="s">
        <v>38</v>
      </c>
      <c r="BD23" s="261">
        <v>38272.589999999997</v>
      </c>
      <c r="BE23" s="326">
        <v>8144.6507180000026</v>
      </c>
      <c r="BF23" s="327">
        <v>52</v>
      </c>
      <c r="BG23" s="262">
        <v>42183</v>
      </c>
      <c r="BH23" s="68">
        <v>8144.6507180000026</v>
      </c>
      <c r="BI23" s="236">
        <v>42183</v>
      </c>
      <c r="BJ23" s="61">
        <v>52</v>
      </c>
      <c r="BK23" s="78"/>
      <c r="BL23" s="68"/>
      <c r="BM23" s="68"/>
      <c r="BN23" s="68"/>
      <c r="BO23" s="68"/>
      <c r="BP23" s="68"/>
      <c r="BQ23" s="68"/>
      <c r="BR23" s="144"/>
      <c r="BS23" s="68"/>
      <c r="BT23" s="225"/>
      <c r="BU23" s="270" t="s">
        <v>40</v>
      </c>
      <c r="BV23" s="261">
        <v>60238.44</v>
      </c>
      <c r="BW23" s="326">
        <v>13436.388891999999</v>
      </c>
      <c r="BX23" s="327">
        <v>61</v>
      </c>
      <c r="BY23" s="262">
        <v>42185</v>
      </c>
      <c r="BZ23" s="68">
        <v>60238.44</v>
      </c>
      <c r="CA23" s="236">
        <v>42185</v>
      </c>
      <c r="CB23" s="61">
        <v>61</v>
      </c>
      <c r="CC23" s="78"/>
      <c r="CD23" s="68"/>
      <c r="CE23" s="68"/>
      <c r="CF23" s="68"/>
      <c r="CG23" s="68"/>
      <c r="CH23" s="144"/>
      <c r="CI23" s="103"/>
      <c r="CJ23" s="320" t="s">
        <v>11</v>
      </c>
      <c r="CK23" s="318" t="s">
        <v>20</v>
      </c>
      <c r="CL23" s="324" t="s">
        <v>3016</v>
      </c>
      <c r="CO23" s="293"/>
    </row>
    <row r="24" spans="2:93" ht="15.75" thickBot="1" x14ac:dyDescent="0.3">
      <c r="B24" s="63"/>
      <c r="C24" s="63"/>
      <c r="D24" s="63"/>
      <c r="E24" s="63"/>
      <c r="F24" s="63"/>
      <c r="G24" s="63"/>
      <c r="H24" s="64"/>
      <c r="I24" s="64"/>
      <c r="J24" s="63"/>
      <c r="K24" s="63"/>
      <c r="L24" s="63"/>
      <c r="M24" s="63"/>
      <c r="N24" s="63"/>
      <c r="O24" s="63"/>
      <c r="P24" s="63"/>
      <c r="Q24" s="63"/>
      <c r="R24" s="65"/>
      <c r="S24" s="65"/>
      <c r="U24" s="225" t="s">
        <v>418</v>
      </c>
      <c r="V24" s="366">
        <v>15403.56</v>
      </c>
      <c r="W24" s="359">
        <v>13032.598839999999</v>
      </c>
      <c r="X24" s="359">
        <v>373.22</v>
      </c>
      <c r="Y24" s="361">
        <v>1336.0164599999991</v>
      </c>
      <c r="Z24" s="78"/>
      <c r="AA24" s="160" t="str">
        <f t="shared" si="0"/>
        <v>Maryland</v>
      </c>
      <c r="AB24" s="171">
        <v>15403.56</v>
      </c>
      <c r="AC24" s="144">
        <f t="shared" si="16"/>
        <v>1</v>
      </c>
      <c r="AD24" s="182" t="s">
        <v>111</v>
      </c>
      <c r="AE24" s="146" t="s">
        <v>29</v>
      </c>
      <c r="AF24" s="183">
        <f>IFERROR(GETPIVOTDATA("[Measures].[Sum of Cumulative cost]",$AD$5,"[Table_1].[Product Category]","[Table_1].[Product Category].&amp;[Furniture]","[Table_1].[Region]","[Table_1].[Region].&amp;[East]"),"")</f>
        <v>178464.49809199994</v>
      </c>
      <c r="AG24" s="183">
        <f>IFERROR(GETPIVOTDATA("[Measures].[Sum of Shipping Cost]",$AD$5,"[Table_1].[Product Category]","[Table_1].[Product Category].&amp;[Furniture]","[Table_1].[Region]","[Table_1].[Region].&amp;[East]"),"")</f>
        <v>3275.32</v>
      </c>
      <c r="AH24" s="183">
        <f>IFERROR(GETPIVOTDATA("[Measures].[Sum of Discount]",$AD$5,"[Table_1].[Product Category]","[Table_1].[Product Category].&amp;[Furniture]","[Table_1].[Region]","[Table_1].[Region].&amp;[East]"),"")</f>
        <v>4.7399999999999949</v>
      </c>
      <c r="AI24" s="183">
        <f>IFERROR(GETPIVOTDATA("[Measures].[Sum of Profit]",$AD$5,"[Table_1].[Product Category]","[Table_1].[Product Category].&amp;[Furniture]","[Table_1].[Region]","[Table_1].[Region].&amp;[East]"),"")</f>
        <v>-923.6501919999962</v>
      </c>
      <c r="AJ24" s="184">
        <f>IFERROR(GETPIVOTDATA("[Measures].[Sum of Sales]",$AD$5,"[Table_1].[Product Category]","[Table_1].[Product Category].&amp;[Furniture]","[Table_1].[Region]","[Table_1].[Region].&amp;[East]"),"")</f>
        <v>189677.38</v>
      </c>
      <c r="AK24" s="83"/>
      <c r="AL24" s="225"/>
      <c r="AM24" s="398">
        <v>42022</v>
      </c>
      <c r="AN24" s="354">
        <v>2987.38</v>
      </c>
      <c r="AO24" s="146">
        <v>2760.40454</v>
      </c>
      <c r="AP24" s="147">
        <v>27</v>
      </c>
      <c r="AQ24" s="59">
        <v>42022</v>
      </c>
      <c r="AR24" s="183">
        <v>2987.38</v>
      </c>
      <c r="AS24" s="61">
        <f t="shared" si="11"/>
        <v>1</v>
      </c>
      <c r="AT24" s="188">
        <f t="shared" si="12"/>
        <v>4</v>
      </c>
      <c r="AU24" s="143"/>
      <c r="AV24" s="68"/>
      <c r="AW24" s="68"/>
      <c r="AX24" s="68"/>
      <c r="AY24" s="144"/>
      <c r="AZ24" s="68"/>
      <c r="BB24" s="225"/>
      <c r="BC24" s="260" t="s">
        <v>26</v>
      </c>
      <c r="BD24" s="261">
        <v>72004.78</v>
      </c>
      <c r="BE24" s="326">
        <v>11729.914612680001</v>
      </c>
      <c r="BF24" s="327">
        <v>49</v>
      </c>
      <c r="BG24" s="262">
        <v>42181</v>
      </c>
      <c r="BH24" s="68">
        <v>11729.914612680001</v>
      </c>
      <c r="BI24" s="236">
        <v>42181</v>
      </c>
      <c r="BJ24" s="61">
        <v>49</v>
      </c>
      <c r="BK24" s="78"/>
      <c r="BL24" s="68"/>
      <c r="BM24" s="68"/>
      <c r="BN24" s="68"/>
      <c r="BO24" s="68"/>
      <c r="BP24" s="68"/>
      <c r="BQ24" s="68"/>
      <c r="BR24" s="144"/>
      <c r="BS24" s="68"/>
      <c r="BT24" s="225"/>
      <c r="BU24" s="270" t="s">
        <v>94</v>
      </c>
      <c r="BV24" s="261">
        <v>147995.46</v>
      </c>
      <c r="BW24" s="326">
        <v>8400.3930129999972</v>
      </c>
      <c r="BX24" s="327">
        <v>97</v>
      </c>
      <c r="BY24" s="262">
        <v>42182</v>
      </c>
      <c r="BZ24" s="68">
        <v>147995.46</v>
      </c>
      <c r="CA24" s="236">
        <v>42182</v>
      </c>
      <c r="CB24" s="61">
        <v>97</v>
      </c>
      <c r="CC24" s="78"/>
      <c r="CD24" s="68"/>
      <c r="CE24" s="68"/>
      <c r="CF24" s="68"/>
      <c r="CG24" s="68"/>
      <c r="CH24" s="144"/>
      <c r="CI24" s="103"/>
      <c r="CJ24" s="321" t="s">
        <v>314</v>
      </c>
      <c r="CK24" s="314">
        <v>-27621.245408000002</v>
      </c>
      <c r="CL24" s="303">
        <v>7</v>
      </c>
      <c r="CO24" s="293"/>
    </row>
    <row r="25" spans="2:93" ht="15.75" thickBot="1" x14ac:dyDescent="0.3">
      <c r="B25" s="63"/>
      <c r="C25" s="63"/>
      <c r="D25" s="63"/>
      <c r="E25" s="63"/>
      <c r="F25" s="63"/>
      <c r="G25" s="63"/>
      <c r="H25" s="64"/>
      <c r="I25" s="64"/>
      <c r="J25" s="63"/>
      <c r="K25" s="63"/>
      <c r="L25" s="63"/>
      <c r="M25" s="63"/>
      <c r="N25" s="63"/>
      <c r="O25" s="63"/>
      <c r="P25" s="63"/>
      <c r="Q25" s="63"/>
      <c r="R25" s="65"/>
      <c r="S25" s="65"/>
      <c r="U25" s="225" t="s">
        <v>403</v>
      </c>
      <c r="V25" s="366">
        <v>59114.82</v>
      </c>
      <c r="W25" s="359">
        <v>49711.163120000012</v>
      </c>
      <c r="X25" s="359">
        <v>538.89</v>
      </c>
      <c r="Y25" s="361">
        <v>5293.7839800000002</v>
      </c>
      <c r="Z25" s="78"/>
      <c r="AA25" s="160" t="str">
        <f t="shared" si="0"/>
        <v>Massachusetts</v>
      </c>
      <c r="AB25" s="171">
        <v>59114.82</v>
      </c>
      <c r="AC25" s="144">
        <f t="shared" si="16"/>
        <v>1</v>
      </c>
      <c r="AD25" s="182" t="s">
        <v>111</v>
      </c>
      <c r="AE25" s="146" t="s">
        <v>49</v>
      </c>
      <c r="AF25" s="183">
        <f>IFERROR(GETPIVOTDATA("[Measures].[Sum of Cumulative cost]",$AD$5,"[Table_1].[Product Category]","[Table_1].[Product Category].&amp;[Office Supplies]","[Table_1].[Region]","[Table_1].[Region].&amp;[East]"),"")</f>
        <v>147891.75536999988</v>
      </c>
      <c r="AG25" s="183">
        <f>IFERROR(GETPIVOTDATA("[Measures].[Sum of Shipping Cost]",$AD$5,"[Table_1].[Product Category]","[Table_1].[Product Category].&amp;[Office Supplies]","[Table_1].[Region]","[Table_1].[Region].&amp;[East]"),"")</f>
        <v>2138.65</v>
      </c>
      <c r="AH25" s="183">
        <f>IFERROR(GETPIVOTDATA("[Measures].[Sum of Discount]",$AD$5,"[Table_1].[Product Category]","[Table_1].[Product Category].&amp;[Office Supplies]","[Table_1].[Region]","[Table_1].[Region].&amp;[East]"),"")</f>
        <v>13.469999999999972</v>
      </c>
      <c r="AI25" s="183">
        <f>IFERROR(GETPIVOTDATA("[Measures].[Sum of Profit]",$AD$5,"[Table_1].[Product Category]","[Table_1].[Product Category].&amp;[Office Supplies]","[Table_1].[Region]","[Table_1].[Region].&amp;[East]"),"")</f>
        <v>51854.281129999996</v>
      </c>
      <c r="AJ25" s="184">
        <f>IFERROR(GETPIVOTDATA("[Measures].[Sum of Sales]",$AD$5,"[Table_1].[Product Category]","[Table_1].[Product Category].&amp;[Office Supplies]","[Table_1].[Region]","[Table_1].[Region].&amp;[East]"),"")</f>
        <v>210991.5</v>
      </c>
      <c r="AK25" s="83"/>
      <c r="AL25" s="225"/>
      <c r="AM25" s="398">
        <v>42023</v>
      </c>
      <c r="AN25" s="354">
        <v>1652.89</v>
      </c>
      <c r="AO25" s="146">
        <v>539.44622000000004</v>
      </c>
      <c r="AP25" s="147">
        <v>21</v>
      </c>
      <c r="AQ25" s="59">
        <v>42023</v>
      </c>
      <c r="AR25" s="183">
        <v>1652.89</v>
      </c>
      <c r="AS25" s="61">
        <f t="shared" si="11"/>
        <v>1</v>
      </c>
      <c r="AT25" s="188">
        <f t="shared" si="12"/>
        <v>4</v>
      </c>
      <c r="AU25" s="139" t="s">
        <v>3089</v>
      </c>
      <c r="AV25" s="68"/>
      <c r="AW25" s="68"/>
      <c r="AX25" s="68"/>
      <c r="AY25" s="147"/>
      <c r="AZ25" s="68"/>
      <c r="BB25" s="226"/>
      <c r="BC25" s="263" t="s">
        <v>3094</v>
      </c>
      <c r="BD25" s="267">
        <v>118690.16</v>
      </c>
      <c r="BE25" s="268">
        <v>22947.839705000009</v>
      </c>
      <c r="BF25" s="329">
        <v>53</v>
      </c>
      <c r="BG25" s="269">
        <v>42180</v>
      </c>
      <c r="BH25" s="68">
        <v>22947.839705000009</v>
      </c>
      <c r="BI25" s="236">
        <v>42180</v>
      </c>
      <c r="BJ25" s="61">
        <v>53</v>
      </c>
      <c r="BK25" s="78"/>
      <c r="BL25" s="68"/>
      <c r="BM25" s="68"/>
      <c r="BN25" s="68"/>
      <c r="BO25" s="68"/>
      <c r="BP25" s="68"/>
      <c r="BQ25" s="68"/>
      <c r="BR25" s="144"/>
      <c r="BS25" s="68"/>
      <c r="BT25" s="226"/>
      <c r="BU25" s="271" t="s">
        <v>28</v>
      </c>
      <c r="BV25" s="267">
        <v>118690.16</v>
      </c>
      <c r="BW25" s="268">
        <v>22947.839705000009</v>
      </c>
      <c r="BX25" s="329">
        <v>53</v>
      </c>
      <c r="BY25" s="269">
        <v>42180</v>
      </c>
      <c r="BZ25" s="68">
        <v>118690.16</v>
      </c>
      <c r="CA25" s="236">
        <v>42180</v>
      </c>
      <c r="CB25" s="61">
        <v>53</v>
      </c>
      <c r="CC25" s="78"/>
      <c r="CD25" s="68"/>
      <c r="CE25" s="68"/>
      <c r="CF25" s="68"/>
      <c r="CG25" s="68"/>
      <c r="CH25" s="144"/>
      <c r="CI25" s="103"/>
      <c r="CJ25" s="322" t="s">
        <v>1249</v>
      </c>
      <c r="CK25" s="315">
        <v>-12548.946099999999</v>
      </c>
      <c r="CL25" s="302">
        <v>51</v>
      </c>
      <c r="CO25" s="293"/>
    </row>
    <row r="26" spans="2:93" ht="15.75" thickBot="1" x14ac:dyDescent="0.3">
      <c r="B26" s="113" t="s">
        <v>3077</v>
      </c>
      <c r="C26" s="114"/>
      <c r="D26" s="130"/>
      <c r="E26" s="131"/>
      <c r="F26" s="132" t="s">
        <v>3079</v>
      </c>
      <c r="G26" s="133"/>
      <c r="H26" s="137"/>
      <c r="I26" s="138" t="s">
        <v>3080</v>
      </c>
      <c r="J26" s="133"/>
      <c r="K26" s="63"/>
      <c r="L26" s="63"/>
      <c r="M26" s="63"/>
      <c r="N26" s="63"/>
      <c r="O26" s="63"/>
      <c r="P26" s="63"/>
      <c r="Q26" s="63"/>
      <c r="R26" s="65"/>
      <c r="S26" s="65"/>
      <c r="U26" s="225" t="s">
        <v>289</v>
      </c>
      <c r="V26" s="366">
        <v>69641.81</v>
      </c>
      <c r="W26" s="359">
        <v>53617.758808400016</v>
      </c>
      <c r="X26" s="359">
        <v>832.47</v>
      </c>
      <c r="Y26" s="361">
        <v>12307.551891600006</v>
      </c>
      <c r="Z26" s="78"/>
      <c r="AA26" s="160" t="str">
        <f t="shared" si="0"/>
        <v>Michigan</v>
      </c>
      <c r="AB26" s="171">
        <v>69641.81</v>
      </c>
      <c r="AC26" s="144">
        <f t="shared" si="16"/>
        <v>1</v>
      </c>
      <c r="AD26" s="182" t="s">
        <v>111</v>
      </c>
      <c r="AE26" s="146" t="s">
        <v>41</v>
      </c>
      <c r="AF26" s="183">
        <f>IFERROR(GETPIVOTDATA("[Measures].[Sum of Cumulative cost]",$AD$5,"[Table_1].[Product Category]","[Table_1].[Product Category].&amp;[Technology]","[Table_1].[Region]","[Table_1].[Region].&amp;[East]"),"")</f>
        <v>138872.93219199998</v>
      </c>
      <c r="AG26" s="183">
        <f>IFERROR(GETPIVOTDATA("[Measures].[Sum of Shipping Cost]",$AD$5,"[Table_1].[Product Category]","[Table_1].[Product Category].&amp;[Technology]","[Table_1].[Region]","[Table_1].[Region].&amp;[East]"),"")</f>
        <v>1032.54</v>
      </c>
      <c r="AH26" s="183">
        <f>IFERROR(GETPIVOTDATA("[Measures].[Sum of Discount]",$AD$5,"[Table_1].[Product Category]","[Table_1].[Product Category].&amp;[Technology]","[Table_1].[Region]","[Table_1].[Region].&amp;[East]"),"")</f>
        <v>5.1499999999999941</v>
      </c>
      <c r="AI26" s="183">
        <f>IFERROR(GETPIVOTDATA("[Measures].[Sum of Profit]",$AD$5,"[Table_1].[Product Category]","[Table_1].[Product Category].&amp;[Technology]","[Table_1].[Region]","[Table_1].[Region].&amp;[East]"),"")</f>
        <v>34646.814908</v>
      </c>
      <c r="AJ26" s="184">
        <f>IFERROR(GETPIVOTDATA("[Measures].[Sum of Sales]",$AD$5,"[Table_1].[Product Category]","[Table_1].[Product Category].&amp;[Technology]","[Table_1].[Region]","[Table_1].[Region].&amp;[East]"),"")</f>
        <v>184055.31</v>
      </c>
      <c r="AK26" s="83"/>
      <c r="AL26" s="225"/>
      <c r="AM26" s="398">
        <v>42024</v>
      </c>
      <c r="AN26" s="354">
        <v>6109.01</v>
      </c>
      <c r="AO26" s="146">
        <v>641.34900000000016</v>
      </c>
      <c r="AP26" s="147">
        <v>64</v>
      </c>
      <c r="AQ26" s="59">
        <v>42024</v>
      </c>
      <c r="AR26" s="183">
        <v>6109.01</v>
      </c>
      <c r="AS26" s="61">
        <f t="shared" si="11"/>
        <v>1</v>
      </c>
      <c r="AT26" s="188">
        <f t="shared" si="12"/>
        <v>4</v>
      </c>
      <c r="AU26" s="400" t="s">
        <v>3060</v>
      </c>
      <c r="AV26" s="385" t="s">
        <v>22</v>
      </c>
      <c r="AW26" s="386" t="s">
        <v>20</v>
      </c>
      <c r="AX26" s="387" t="s">
        <v>3058</v>
      </c>
      <c r="AY26" s="202" t="str">
        <f>AR5</f>
        <v>Sales</v>
      </c>
      <c r="AZ26" s="68"/>
      <c r="BB26" s="247"/>
      <c r="BC26" s="178"/>
      <c r="BD26" s="248">
        <f>SUM(BD6:BD25)</f>
        <v>1881524.77</v>
      </c>
      <c r="BE26" s="248">
        <f t="shared" ref="BE26:BF26" si="17">SUM(BE6:BE25)</f>
        <v>215023.39973715</v>
      </c>
      <c r="BF26" s="248">
        <f t="shared" si="17"/>
        <v>1361</v>
      </c>
      <c r="BG26" s="178"/>
      <c r="BH26" s="248"/>
      <c r="BI26" s="248"/>
      <c r="BJ26" s="248"/>
      <c r="BK26" s="178"/>
      <c r="BL26" s="178"/>
      <c r="BM26" s="178"/>
      <c r="BN26" s="178"/>
      <c r="BO26" s="178"/>
      <c r="BP26" s="178"/>
      <c r="BQ26" s="178"/>
      <c r="BR26" s="181"/>
      <c r="BS26" s="68"/>
      <c r="BT26" s="278"/>
      <c r="BU26" s="279"/>
      <c r="BV26" s="279"/>
      <c r="BW26" s="279"/>
      <c r="BX26" s="279"/>
      <c r="BY26" s="279"/>
      <c r="BZ26" s="248"/>
      <c r="CA26" s="248"/>
      <c r="CB26" s="248"/>
      <c r="CC26" s="178"/>
      <c r="CD26" s="178"/>
      <c r="CE26" s="178"/>
      <c r="CF26" s="178"/>
      <c r="CG26" s="178"/>
      <c r="CH26" s="181"/>
      <c r="CI26" s="103"/>
      <c r="CJ26" s="323" t="s">
        <v>841</v>
      </c>
      <c r="CK26" s="316">
        <v>-10999.533191999999</v>
      </c>
      <c r="CL26" s="418">
        <v>2</v>
      </c>
      <c r="CM26" s="296"/>
      <c r="CN26" s="297"/>
      <c r="CO26" s="298"/>
    </row>
    <row r="27" spans="2:93" ht="15.75" thickBot="1" x14ac:dyDescent="0.3">
      <c r="B27" s="344" t="s">
        <v>9</v>
      </c>
      <c r="C27" s="334" t="s">
        <v>22</v>
      </c>
      <c r="D27" s="335" t="s">
        <v>3032</v>
      </c>
      <c r="E27" s="118" t="s">
        <v>3078</v>
      </c>
      <c r="F27" s="335" t="s">
        <v>9</v>
      </c>
      <c r="G27" s="335" t="s">
        <v>3030</v>
      </c>
      <c r="H27" s="118" t="s">
        <v>3038</v>
      </c>
      <c r="I27" s="335" t="s">
        <v>9</v>
      </c>
      <c r="J27" s="335" t="s">
        <v>3030</v>
      </c>
      <c r="K27" s="63"/>
      <c r="L27" s="63"/>
      <c r="M27" s="63"/>
      <c r="N27" s="63"/>
      <c r="O27" s="63"/>
      <c r="P27" s="63"/>
      <c r="Q27" s="65"/>
      <c r="R27" s="65"/>
      <c r="S27" s="65"/>
      <c r="T27" s="55"/>
      <c r="U27" s="225" t="s">
        <v>84</v>
      </c>
      <c r="V27" s="366">
        <v>37752.28</v>
      </c>
      <c r="W27" s="359">
        <v>28252.06884</v>
      </c>
      <c r="X27" s="359">
        <v>858.77</v>
      </c>
      <c r="Y27" s="361">
        <v>6932.4458599999989</v>
      </c>
      <c r="Z27" s="78"/>
      <c r="AA27" s="160" t="str">
        <f t="shared" si="0"/>
        <v>Minnesota</v>
      </c>
      <c r="AB27" s="171">
        <v>37752.28</v>
      </c>
      <c r="AC27" s="144">
        <f t="shared" si="16"/>
        <v>1</v>
      </c>
      <c r="AD27" s="182" t="s">
        <v>34</v>
      </c>
      <c r="AE27" s="146" t="s">
        <v>29</v>
      </c>
      <c r="AF27" s="183">
        <f>IFERROR(GETPIVOTDATA("[Measures].[Sum of Cumulative cost]",$AD$5,"[Table_1].[Product Category]","[Table_1].[Product Category].&amp;[Furniture]","[Table_1].[Region]","[Table_1].[Region].&amp;[South]"),"")</f>
        <v>90867.02654625001</v>
      </c>
      <c r="AG27" s="183">
        <f>IFERROR(GETPIVOTDATA("[Measures].[Sum of Shipping Cost]",$AD$5,"[Table_1].[Product Category]","[Table_1].[Product Category].&amp;[Furniture]","[Table_1].[Region]","[Table_1].[Region].&amp;[South]"),"")</f>
        <v>2585.48</v>
      </c>
      <c r="AH27" s="183">
        <f>IFERROR(GETPIVOTDATA("[Measures].[Sum of Discount]",$AD$5,"[Table_1].[Product Category]","[Table_1].[Product Category].&amp;[Furniture]","[Table_1].[Region]","[Table_1].[Region].&amp;[South]"),"")</f>
        <v>4.1999999999999993</v>
      </c>
      <c r="AI27" s="183">
        <f>IFERROR(GETPIVOTDATA("[Measures].[Sum of Profit]",$AD$5,"[Table_1].[Product Category]","[Table_1].[Product Category].&amp;[Furniture]","[Table_1].[Region]","[Table_1].[Region].&amp;[South]"),"")</f>
        <v>-1862.118946250001</v>
      </c>
      <c r="AJ27" s="184">
        <f>IFERROR(GETPIVOTDATA("[Measures].[Sum of Sales]",$AD$5,"[Table_1].[Product Category]","[Table_1].[Product Category].&amp;[Furniture]","[Table_1].[Region]","[Table_1].[Region].&amp;[South]"),"")</f>
        <v>97290.37</v>
      </c>
      <c r="AK27" s="83"/>
      <c r="AL27" s="225"/>
      <c r="AM27" s="398">
        <v>42025</v>
      </c>
      <c r="AN27" s="354">
        <v>12281.51</v>
      </c>
      <c r="AO27" s="146">
        <v>959.18362399999944</v>
      </c>
      <c r="AP27" s="147">
        <v>224</v>
      </c>
      <c r="AQ27" s="59">
        <v>42025</v>
      </c>
      <c r="AR27" s="183">
        <v>12281.51</v>
      </c>
      <c r="AS27" s="61">
        <f t="shared" si="11"/>
        <v>1</v>
      </c>
      <c r="AT27" s="188">
        <f t="shared" si="12"/>
        <v>4</v>
      </c>
      <c r="AU27" s="410" t="s">
        <v>95</v>
      </c>
      <c r="AV27" s="372">
        <v>82201.149999999994</v>
      </c>
      <c r="AW27" s="352">
        <v>12594.820600000001</v>
      </c>
      <c r="AX27" s="353">
        <v>1187</v>
      </c>
      <c r="AY27" s="184" cm="1">
        <f t="array" ref="AY27:AY43">IFERROR(INDEX($AV$27:$AX$43,,_xlfn.XMATCH($AR$6,$AV$26:$AX$26)),"")</f>
        <v>82201.149999999994</v>
      </c>
      <c r="AZ27" s="68"/>
      <c r="BE27" s="55"/>
      <c r="BF27" s="55"/>
      <c r="BG27" s="55"/>
      <c r="BH27" s="55"/>
      <c r="BI27" s="55"/>
      <c r="BJ27" s="55"/>
      <c r="BT27" s="277"/>
      <c r="BU27" s="277"/>
      <c r="BV27" s="277"/>
      <c r="BW27" s="277"/>
      <c r="BX27" s="277"/>
      <c r="BY27" s="277"/>
    </row>
    <row r="28" spans="2:93" ht="15.75" thickBot="1" x14ac:dyDescent="0.3">
      <c r="B28" s="345" t="s">
        <v>3034</v>
      </c>
      <c r="C28" s="350">
        <v>264998.55</v>
      </c>
      <c r="D28" s="337">
        <v>264998.55</v>
      </c>
      <c r="E28" s="134">
        <f>AVERAGE(C28:C33)</f>
        <v>313587.46166666667</v>
      </c>
      <c r="F28" s="117" t="s">
        <v>3034</v>
      </c>
      <c r="G28" s="337">
        <v>-657.53850031999514</v>
      </c>
      <c r="H28" s="135">
        <f>GETPIVOTDATA("[Measures].[Sum of Profit]",$I$27)</f>
        <v>215023.39973715009</v>
      </c>
      <c r="I28" s="117" t="s">
        <v>53</v>
      </c>
      <c r="J28" s="337">
        <v>78645.775268599988</v>
      </c>
      <c r="K28" s="63"/>
      <c r="L28" s="63"/>
      <c r="M28" s="63"/>
      <c r="N28" s="63"/>
      <c r="O28" s="63"/>
      <c r="P28" s="63"/>
      <c r="Q28" s="65"/>
      <c r="R28" s="89"/>
      <c r="S28" s="90"/>
      <c r="T28" s="91"/>
      <c r="U28" s="225" t="s">
        <v>35</v>
      </c>
      <c r="V28" s="366">
        <v>9689.58</v>
      </c>
      <c r="W28" s="359">
        <v>9376.7114499999989</v>
      </c>
      <c r="X28" s="359">
        <v>263.61</v>
      </c>
      <c r="Y28" s="361">
        <v>-529.91494999999998</v>
      </c>
      <c r="Z28" s="78"/>
      <c r="AA28" s="160" t="str">
        <f t="shared" si="0"/>
        <v>Mississippi</v>
      </c>
      <c r="AB28" s="171">
        <v>9689.58</v>
      </c>
      <c r="AC28" s="144">
        <f t="shared" si="16"/>
        <v>1</v>
      </c>
      <c r="AD28" s="182" t="s">
        <v>34</v>
      </c>
      <c r="AE28" s="146" t="s">
        <v>49</v>
      </c>
      <c r="AF28" s="183">
        <f>IFERROR(GETPIVOTDATA("[Measures].[Sum of Cumulative cost]",$AD$5,"[Table_1].[Product Category]","[Table_1].[Product Category].&amp;[Office Supplies]","[Table_1].[Region]","[Table_1].[Region].&amp;[South]"),"")</f>
        <v>108121.61715319999</v>
      </c>
      <c r="AG28" s="183">
        <f>IFERROR(GETPIVOTDATA("[Measures].[Sum of Shipping Cost]",$AD$5,"[Table_1].[Product Category]","[Table_1].[Product Category].&amp;[Office Supplies]","[Table_1].[Region]","[Table_1].[Region].&amp;[South]"),"")</f>
        <v>1897.34</v>
      </c>
      <c r="AH28" s="183">
        <f>IFERROR(GETPIVOTDATA("[Measures].[Sum of Discount]",$AD$5,"[Table_1].[Product Category]","[Table_1].[Product Category].&amp;[Office Supplies]","[Table_1].[Region]","[Table_1].[Region].&amp;[South]"),"")</f>
        <v>11.74999999999998</v>
      </c>
      <c r="AI28" s="183">
        <f>IFERROR(GETPIVOTDATA("[Measures].[Sum of Profit]",$AD$5,"[Table_1].[Product Category]","[Table_1].[Product Category].&amp;[Office Supplies]","[Table_1].[Region]","[Table_1].[Region].&amp;[South]"),"")</f>
        <v>-2119.4586532000021</v>
      </c>
      <c r="AJ28" s="184">
        <f>IFERROR(GETPIVOTDATA("[Measures].[Sum of Sales]",$AD$5,"[Table_1].[Product Category]","[Table_1].[Product Category].&amp;[Office Supplies]","[Table_1].[Region]","[Table_1].[Region].&amp;[South]"),"")</f>
        <v>112566.34</v>
      </c>
      <c r="AK28" s="83"/>
      <c r="AL28" s="225"/>
      <c r="AM28" s="398">
        <v>42026</v>
      </c>
      <c r="AN28" s="354">
        <v>13513.64</v>
      </c>
      <c r="AO28" s="146">
        <v>4737.4732800000011</v>
      </c>
      <c r="AP28" s="147">
        <v>104</v>
      </c>
      <c r="AQ28" s="59">
        <v>42026</v>
      </c>
      <c r="AR28" s="183">
        <v>13513.64</v>
      </c>
      <c r="AS28" s="61">
        <f t="shared" si="11"/>
        <v>1</v>
      </c>
      <c r="AT28" s="188">
        <f t="shared" si="12"/>
        <v>4</v>
      </c>
      <c r="AU28" s="411" t="s">
        <v>72</v>
      </c>
      <c r="AV28" s="404">
        <v>185928.14</v>
      </c>
      <c r="AW28" s="405">
        <v>59296.389429999988</v>
      </c>
      <c r="AX28" s="406">
        <v>2554</v>
      </c>
      <c r="AY28" s="184">
        <v>185928.14</v>
      </c>
      <c r="AZ28" s="68"/>
      <c r="BB28" s="112" t="s">
        <v>3022</v>
      </c>
      <c r="BE28" s="55"/>
      <c r="BF28" s="55"/>
      <c r="BG28" s="55"/>
      <c r="BH28" s="55"/>
      <c r="BI28" s="55"/>
      <c r="BJ28" s="55"/>
      <c r="BT28" s="277"/>
      <c r="BU28" s="277"/>
      <c r="BV28" s="277"/>
      <c r="BW28" s="277"/>
      <c r="BX28" s="277"/>
      <c r="BY28" s="277"/>
      <c r="CI28" s="103"/>
      <c r="CJ28" s="304" t="s">
        <v>3100</v>
      </c>
      <c r="CK28" s="299"/>
      <c r="CL28" s="303"/>
      <c r="CM28" s="282" t="s">
        <v>3053</v>
      </c>
      <c r="CN28" s="285" t="str">
        <f>CHOOSE(Distribution!AH8,"Sales", "Profit")</f>
        <v>Profit</v>
      </c>
      <c r="CO28" s="286"/>
    </row>
    <row r="29" spans="2:93" ht="15.75" thickBot="1" x14ac:dyDescent="0.3">
      <c r="B29" s="346" t="s">
        <v>3044</v>
      </c>
      <c r="C29" s="134">
        <v>325502.44</v>
      </c>
      <c r="D29" s="336">
        <v>325502.44</v>
      </c>
      <c r="E29" s="118"/>
      <c r="F29" s="119" t="s">
        <v>3044</v>
      </c>
      <c r="G29" s="336">
        <v>36266.168780320018</v>
      </c>
      <c r="H29" s="118"/>
      <c r="I29" s="119" t="s">
        <v>111</v>
      </c>
      <c r="J29" s="336">
        <v>85577.445845999988</v>
      </c>
      <c r="K29" s="63"/>
      <c r="L29" s="63"/>
      <c r="M29" s="63"/>
      <c r="N29" s="63"/>
      <c r="O29" s="63"/>
      <c r="P29" s="63"/>
      <c r="Q29" s="65"/>
      <c r="R29" s="89"/>
      <c r="S29" s="90"/>
      <c r="T29" s="91"/>
      <c r="U29" s="225" t="s">
        <v>80</v>
      </c>
      <c r="V29" s="366">
        <v>10903.08</v>
      </c>
      <c r="W29" s="359">
        <v>7873.8834000000006</v>
      </c>
      <c r="X29" s="359">
        <v>284.70999999999998</v>
      </c>
      <c r="Y29" s="361">
        <v>2123.2119000000002</v>
      </c>
      <c r="Z29" s="78"/>
      <c r="AA29" s="160" t="str">
        <f t="shared" si="0"/>
        <v>Missouri</v>
      </c>
      <c r="AB29" s="171">
        <v>10903.08</v>
      </c>
      <c r="AC29" s="144">
        <f t="shared" si="16"/>
        <v>1</v>
      </c>
      <c r="AD29" s="182" t="s">
        <v>34</v>
      </c>
      <c r="AE29" s="146" t="s">
        <v>41</v>
      </c>
      <c r="AF29" s="183">
        <f>IFERROR(GETPIVOTDATA("[Measures].[Sum of Cumulative cost]",$AD$5,"[Table_1].[Product Category]","[Table_1].[Product Category].&amp;[Technology]","[Table_1].[Region]","[Table_1].[Region].&amp;[South]"),"")</f>
        <v>137240.41917999997</v>
      </c>
      <c r="AG29" s="183">
        <f>IFERROR(GETPIVOTDATA("[Measures].[Sum of Shipping Cost]",$AD$5,"[Table_1].[Product Category]","[Table_1].[Product Category].&amp;[Technology]","[Table_1].[Region]","[Table_1].[Region].&amp;[South]"),"")</f>
        <v>957.5</v>
      </c>
      <c r="AH29" s="183">
        <f>IFERROR(GETPIVOTDATA("[Measures].[Sum of Discount]",$AD$5,"[Table_1].[Product Category]","[Table_1].[Product Category].&amp;[Technology]","[Table_1].[Region]","[Table_1].[Region].&amp;[South]"),"")</f>
        <v>5.6299999999999937</v>
      </c>
      <c r="AI29" s="183">
        <f>IFERROR(GETPIVOTDATA("[Measures].[Sum of Profit]",$AD$5,"[Table_1].[Product Category]","[Table_1].[Product Category].&amp;[Technology]","[Table_1].[Region]","[Table_1].[Region].&amp;[South]"),"")</f>
        <v>-13449.778180000001</v>
      </c>
      <c r="AJ29" s="184">
        <f>IFERROR(GETPIVOTDATA("[Measures].[Sum of Sales]",$AD$5,"[Table_1].[Product Category]","[Table_1].[Product Category].&amp;[Technology]","[Table_1].[Region]","[Table_1].[Region].&amp;[South]"),"")</f>
        <v>131471.60999999999</v>
      </c>
      <c r="AK29" s="83"/>
      <c r="AL29" s="225"/>
      <c r="AM29" s="398">
        <v>42027</v>
      </c>
      <c r="AN29" s="354">
        <v>765.9</v>
      </c>
      <c r="AO29" s="146">
        <v>-181.04519999999999</v>
      </c>
      <c r="AP29" s="147">
        <v>21</v>
      </c>
      <c r="AQ29" s="59">
        <v>42027</v>
      </c>
      <c r="AR29" s="183">
        <v>765.9</v>
      </c>
      <c r="AS29" s="61">
        <f t="shared" si="11"/>
        <v>1</v>
      </c>
      <c r="AT29" s="188">
        <f t="shared" si="12"/>
        <v>4</v>
      </c>
      <c r="AU29" s="411" t="s">
        <v>117</v>
      </c>
      <c r="AV29" s="404">
        <v>107796.09</v>
      </c>
      <c r="AW29" s="405">
        <v>-930.43840000000046</v>
      </c>
      <c r="AX29" s="406">
        <v>536</v>
      </c>
      <c r="AY29" s="184">
        <v>107796.09</v>
      </c>
      <c r="AZ29" s="68"/>
      <c r="BB29" s="112" t="s">
        <v>3023</v>
      </c>
      <c r="BE29" s="55"/>
      <c r="BF29" s="55"/>
      <c r="BG29" s="55"/>
      <c r="BH29" s="55"/>
      <c r="BI29" s="55"/>
      <c r="BJ29" s="55"/>
      <c r="BT29" s="277"/>
      <c r="BU29" s="277"/>
      <c r="BV29" s="277"/>
      <c r="BW29" s="277"/>
      <c r="BX29" s="277"/>
      <c r="BY29" s="277"/>
      <c r="CI29" s="103"/>
      <c r="CJ29" s="320" t="s">
        <v>3104</v>
      </c>
      <c r="CK29" s="318" t="s">
        <v>22</v>
      </c>
      <c r="CL29" s="324" t="s">
        <v>3016</v>
      </c>
      <c r="CM29" s="305" t="s">
        <v>11</v>
      </c>
      <c r="CN29" s="281" t="str">
        <f>CN28</f>
        <v>Profit</v>
      </c>
      <c r="CO29" s="288" t="s">
        <v>3016</v>
      </c>
    </row>
    <row r="30" spans="2:93" x14ac:dyDescent="0.25">
      <c r="B30" s="346" t="s">
        <v>3045</v>
      </c>
      <c r="C30" s="134">
        <v>265167.13</v>
      </c>
      <c r="D30" s="336">
        <v>265167.13</v>
      </c>
      <c r="E30" s="118"/>
      <c r="F30" s="119" t="s">
        <v>3045</v>
      </c>
      <c r="G30" s="336">
        <v>1881.8305867500003</v>
      </c>
      <c r="H30" s="118"/>
      <c r="I30" s="119" t="s">
        <v>34</v>
      </c>
      <c r="J30" s="336">
        <v>-17431.355779449979</v>
      </c>
      <c r="K30" s="63"/>
      <c r="L30" s="63"/>
      <c r="M30" s="63"/>
      <c r="N30" s="63"/>
      <c r="O30" s="63"/>
      <c r="P30" s="63"/>
      <c r="Q30" s="65"/>
      <c r="R30" s="89"/>
      <c r="S30" s="90"/>
      <c r="T30" s="91"/>
      <c r="U30" s="225" t="s">
        <v>277</v>
      </c>
      <c r="V30" s="366">
        <v>12593.59</v>
      </c>
      <c r="W30" s="359">
        <v>25609.161688000004</v>
      </c>
      <c r="X30" s="359">
        <v>175.9</v>
      </c>
      <c r="Y30" s="361">
        <v>-13759.205488000001</v>
      </c>
      <c r="Z30" s="78"/>
      <c r="AA30" s="160" t="str">
        <f t="shared" si="0"/>
        <v>Montana</v>
      </c>
      <c r="AB30" s="171">
        <v>12593.59</v>
      </c>
      <c r="AC30" s="144">
        <f t="shared" si="16"/>
        <v>1</v>
      </c>
      <c r="AD30" s="182" t="s">
        <v>60</v>
      </c>
      <c r="AE30" s="146" t="s">
        <v>29</v>
      </c>
      <c r="AF30" s="183">
        <f>IFERROR(GETPIVOTDATA("[Measures].[Sum of Cumulative cost]",$AD$5,"[Table_1].[Product Category]","[Table_1].[Product Category].&amp;[Furniture]","[Table_1].[Region]","[Table_1].[Region].&amp;[West]"),"")</f>
        <v>127078.66102000001</v>
      </c>
      <c r="AG30" s="183">
        <f>IFERROR(GETPIVOTDATA("[Measures].[Sum of Shipping Cost]",$AD$5,"[Table_1].[Product Category]","[Table_1].[Product Category].&amp;[Furniture]","[Table_1].[Region]","[Table_1].[Region].&amp;[West]"),"")</f>
        <v>2702.04</v>
      </c>
      <c r="AH30" s="183">
        <f>IFERROR(GETPIVOTDATA("[Measures].[Sum of Discount]",$AD$5,"[Table_1].[Product Category]","[Table_1].[Product Category].&amp;[Furniture]","[Table_1].[Region]","[Table_1].[Region].&amp;[West]"),"")</f>
        <v>4.2399999999999984</v>
      </c>
      <c r="AI30" s="183">
        <f>IFERROR(GETPIVOTDATA("[Measures].[Sum of Profit]",$AD$5,"[Table_1].[Product Category]","[Table_1].[Product Category].&amp;[Furniture]","[Table_1].[Region]","[Table_1].[Region].&amp;[West]"),"")</f>
        <v>45999.542280000001</v>
      </c>
      <c r="AJ30" s="184">
        <f>IFERROR(GETPIVOTDATA("[Measures].[Sum of Sales]",$AD$5,"[Table_1].[Product Category]","[Table_1].[Product Category].&amp;[Furniture]","[Table_1].[Region]","[Table_1].[Region].&amp;[West]"),"")</f>
        <v>184155.86</v>
      </c>
      <c r="AK30" s="83"/>
      <c r="AL30" s="225"/>
      <c r="AM30" s="398">
        <v>42028</v>
      </c>
      <c r="AN30" s="354">
        <v>8376.58</v>
      </c>
      <c r="AO30" s="146">
        <v>729.50390000000004</v>
      </c>
      <c r="AP30" s="147">
        <v>123</v>
      </c>
      <c r="AQ30" s="59">
        <v>42028</v>
      </c>
      <c r="AR30" s="183">
        <v>8376.58</v>
      </c>
      <c r="AS30" s="61">
        <f t="shared" si="11"/>
        <v>1</v>
      </c>
      <c r="AT30" s="188">
        <f t="shared" si="12"/>
        <v>4</v>
      </c>
      <c r="AU30" s="411" t="s">
        <v>109</v>
      </c>
      <c r="AV30" s="404">
        <v>241200.42</v>
      </c>
      <c r="AW30" s="405">
        <v>39808.485999999997</v>
      </c>
      <c r="AX30" s="406">
        <v>1138</v>
      </c>
      <c r="AY30" s="184">
        <v>241200.42</v>
      </c>
      <c r="AZ30" s="68"/>
      <c r="BB30" s="112" t="s">
        <v>3039</v>
      </c>
      <c r="BE30" s="55"/>
      <c r="BF30" s="55"/>
      <c r="BG30" s="55"/>
      <c r="BH30" s="55"/>
      <c r="BI30" s="55"/>
      <c r="BJ30" s="55"/>
      <c r="BT30" s="277"/>
      <c r="BU30" s="277"/>
      <c r="BV30" s="277"/>
      <c r="BW30" s="277"/>
      <c r="BX30" s="277"/>
      <c r="BY30" s="277"/>
      <c r="CI30" s="103"/>
      <c r="CJ30" s="321" t="s">
        <v>100</v>
      </c>
      <c r="CK30" s="314">
        <v>154806.10999999999</v>
      </c>
      <c r="CL30" s="303">
        <v>1710</v>
      </c>
      <c r="CM30" s="294" t="str" cm="1">
        <f t="array" ref="CM30">IFERROR(_xlfn.IFS($CN$28="Sales",CJ30,$CN$28="Profit",CJ36),"")</f>
        <v>Los Angeles</v>
      </c>
      <c r="CN30" s="276" cm="1">
        <f t="array" ref="CN30">IFERROR(_xlfn.IFS($CN$28="Sales",CK30,$CN$28="Profit",CK36),"")</f>
        <v>7865.8371800000004</v>
      </c>
      <c r="CO30" s="306" cm="1">
        <f t="array" ref="CO30">IFERROR(_xlfn.IFS($CN$28="Sales",CL30,$CN$28="Profit",CL36),"")</f>
        <v>1710</v>
      </c>
    </row>
    <row r="31" spans="2:93" ht="15.75" thickBot="1" x14ac:dyDescent="0.3">
      <c r="B31" s="346" t="s">
        <v>3046</v>
      </c>
      <c r="C31" s="134">
        <v>384029.19</v>
      </c>
      <c r="D31" s="336">
        <v>384029.19</v>
      </c>
      <c r="E31" s="118" t="s">
        <v>3037</v>
      </c>
      <c r="F31" s="119" t="s">
        <v>3046</v>
      </c>
      <c r="G31" s="336">
        <v>50182.103101999965</v>
      </c>
      <c r="H31" s="118"/>
      <c r="I31" s="129" t="s">
        <v>60</v>
      </c>
      <c r="J31" s="336">
        <v>68231.53440199999</v>
      </c>
      <c r="K31" s="63"/>
      <c r="L31" s="63"/>
      <c r="M31" s="63"/>
      <c r="N31" s="63"/>
      <c r="O31" s="63"/>
      <c r="P31" s="63"/>
      <c r="Q31" s="65"/>
      <c r="R31" s="89"/>
      <c r="S31" s="89"/>
      <c r="T31" s="92"/>
      <c r="U31" s="225" t="s">
        <v>133</v>
      </c>
      <c r="V31" s="366">
        <v>15764.51</v>
      </c>
      <c r="W31" s="359">
        <v>10010.948770000001</v>
      </c>
      <c r="X31" s="359">
        <v>390.81</v>
      </c>
      <c r="Y31" s="361">
        <v>4675.6003300000002</v>
      </c>
      <c r="Z31" s="78"/>
      <c r="AA31" s="160" t="str">
        <f t="shared" si="0"/>
        <v>Nebraska</v>
      </c>
      <c r="AB31" s="171">
        <v>15764.51</v>
      </c>
      <c r="AC31" s="144">
        <f t="shared" si="16"/>
        <v>1</v>
      </c>
      <c r="AD31" s="182" t="s">
        <v>60</v>
      </c>
      <c r="AE31" s="146" t="s">
        <v>49</v>
      </c>
      <c r="AF31" s="183">
        <f>IFERROR(GETPIVOTDATA("[Measures].[Sum of Cumulative cost]",$AD$5,"[Table_1].[Product Category]","[Table_1].[Product Category].&amp;[Office Supplies]","[Table_1].[Region]","[Table_1].[Region].&amp;[West]"),"")</f>
        <v>91882.323870000007</v>
      </c>
      <c r="AG31" s="183">
        <f>IFERROR(GETPIVOTDATA("[Measures].[Sum of Shipping Cost]",$AD$5,"[Table_1].[Product Category]","[Table_1].[Product Category].&amp;[Office Supplies]","[Table_1].[Region]","[Table_1].[Region].&amp;[West]"),"")</f>
        <v>1813.46</v>
      </c>
      <c r="AH31" s="183">
        <f>IFERROR(GETPIVOTDATA("[Measures].[Sum of Discount]",$AD$5,"[Table_1].[Product Category]","[Table_1].[Product Category].&amp;[Office Supplies]","[Table_1].[Region]","[Table_1].[Region].&amp;[West]"),"")</f>
        <v>12.259999999999987</v>
      </c>
      <c r="AI31" s="183">
        <f>IFERROR(GETPIVOTDATA("[Measures].[Sum of Profit]",$AD$5,"[Table_1].[Product Category]","[Table_1].[Product Category].&amp;[Office Supplies]","[Table_1].[Region]","[Table_1].[Region].&amp;[West]"),"")</f>
        <v>12136.81913</v>
      </c>
      <c r="AJ31" s="184">
        <f>IFERROR(GETPIVOTDATA("[Measures].[Sum of Sales]",$AD$5,"[Table_1].[Product Category]","[Table_1].[Product Category].&amp;[Office Supplies]","[Table_1].[Region]","[Table_1].[Region].&amp;[West]"),"")</f>
        <v>111003.26</v>
      </c>
      <c r="AK31" s="83"/>
      <c r="AL31" s="225"/>
      <c r="AM31" s="398">
        <v>42029</v>
      </c>
      <c r="AN31" s="354">
        <v>445.25</v>
      </c>
      <c r="AO31" s="146">
        <v>-12.061199999999999</v>
      </c>
      <c r="AP31" s="147">
        <v>8</v>
      </c>
      <c r="AQ31" s="59">
        <v>42029</v>
      </c>
      <c r="AR31" s="183">
        <v>445.25</v>
      </c>
      <c r="AS31" s="61">
        <f t="shared" si="11"/>
        <v>1</v>
      </c>
      <c r="AT31" s="188">
        <f t="shared" si="12"/>
        <v>5</v>
      </c>
      <c r="AU31" s="411" t="s">
        <v>42</v>
      </c>
      <c r="AV31" s="404">
        <v>96261.3</v>
      </c>
      <c r="AW31" s="405">
        <v>1698.043979999999</v>
      </c>
      <c r="AX31" s="406">
        <v>2481</v>
      </c>
      <c r="AY31" s="184">
        <v>96261.3</v>
      </c>
      <c r="AZ31" s="68"/>
      <c r="BB31" s="112" t="s">
        <v>3072</v>
      </c>
      <c r="BE31" s="55"/>
      <c r="BF31" s="55"/>
      <c r="BG31" s="55"/>
      <c r="BH31" s="55"/>
      <c r="BI31" s="55"/>
      <c r="BJ31" s="55"/>
      <c r="BT31" s="277"/>
      <c r="BU31" s="277"/>
      <c r="BV31" s="277"/>
      <c r="BW31" s="277"/>
      <c r="BX31" s="277"/>
      <c r="BY31" s="277"/>
      <c r="CI31" s="103"/>
      <c r="CJ31" s="322" t="s">
        <v>113</v>
      </c>
      <c r="CK31" s="315">
        <v>145010.54</v>
      </c>
      <c r="CL31" s="302">
        <v>1642</v>
      </c>
      <c r="CM31" s="294" t="str" cm="1">
        <f t="array" ref="CM31">IFERROR(_xlfn.IFS($CN$28="Sales",CJ31,$CN$28="Profit",CJ37),"")</f>
        <v>New York City</v>
      </c>
      <c r="CN31" s="276" cm="1">
        <f t="array" ref="CN31">IFERROR(_xlfn.IFS($CN$28="Sales",CK31,$CN$28="Profit",CK37),"")</f>
        <v>4928.1599800000004</v>
      </c>
      <c r="CO31" s="306" cm="1">
        <f t="array" ref="CO31">IFERROR(_xlfn.IFS($CN$28="Sales",CL31,$CN$28="Profit",CL37),"")</f>
        <v>1642</v>
      </c>
    </row>
    <row r="32" spans="2:93" ht="15.75" thickBot="1" x14ac:dyDescent="0.3">
      <c r="B32" s="346" t="s">
        <v>3047</v>
      </c>
      <c r="C32" s="134">
        <v>290230.84999999998</v>
      </c>
      <c r="D32" s="336">
        <v>290230.84999999998</v>
      </c>
      <c r="E32" s="135">
        <f>GETPIVOTDATA("[Measures].[Sum of Profit]",$F$27)</f>
        <v>215023.39973715009</v>
      </c>
      <c r="F32" s="119" t="s">
        <v>3047</v>
      </c>
      <c r="G32" s="336">
        <v>61026.94915840005</v>
      </c>
      <c r="H32" s="136"/>
      <c r="I32" s="338" t="s">
        <v>3015</v>
      </c>
      <c r="J32" s="331">
        <v>215023.39973715009</v>
      </c>
      <c r="K32" s="63"/>
      <c r="L32" s="63"/>
      <c r="M32" s="63"/>
      <c r="N32" s="63"/>
      <c r="O32" s="63"/>
      <c r="P32" s="63"/>
      <c r="Q32" s="65"/>
      <c r="R32" s="89"/>
      <c r="S32" s="89"/>
      <c r="T32" s="92"/>
      <c r="U32" s="225" t="s">
        <v>296</v>
      </c>
      <c r="V32" s="366">
        <v>8864.5400000000009</v>
      </c>
      <c r="W32" s="359">
        <v>4598.3680040000008</v>
      </c>
      <c r="X32" s="359">
        <v>134.26</v>
      </c>
      <c r="Y32" s="361">
        <v>3788.8289959999997</v>
      </c>
      <c r="Z32" s="78"/>
      <c r="AA32" s="160" t="str">
        <f t="shared" si="0"/>
        <v>Nevada</v>
      </c>
      <c r="AB32" s="171">
        <v>8864.5400000000009</v>
      </c>
      <c r="AC32" s="144">
        <f t="shared" si="16"/>
        <v>1</v>
      </c>
      <c r="AD32" s="182" t="s">
        <v>60</v>
      </c>
      <c r="AE32" s="146" t="s">
        <v>41</v>
      </c>
      <c r="AF32" s="183">
        <f>IFERROR(GETPIVOTDATA("[Measures].[Sum of Cumulative cost]",$AD$5,"[Table_1].[Product Category]","[Table_1].[Product Category].&amp;[Technology]","[Table_1].[Region]","[Table_1].[Region].&amp;[West]"),"")</f>
        <v>195112.64050799998</v>
      </c>
      <c r="AG32" s="183">
        <f>IFERROR(GETPIVOTDATA("[Measures].[Sum of Shipping Cost]",$AD$5,"[Table_1].[Product Category]","[Table_1].[Product Category].&amp;[Technology]","[Table_1].[Region]","[Table_1].[Region].&amp;[West]"),"")</f>
        <v>1325.44</v>
      </c>
      <c r="AH32" s="183">
        <f>IFERROR(GETPIVOTDATA("[Measures].[Sum of Discount]",$AD$5,"[Table_1].[Product Category]","[Table_1].[Product Category].&amp;[Technology]","[Table_1].[Region]","[Table_1].[Region].&amp;[West]"),"")</f>
        <v>5.7099999999999937</v>
      </c>
      <c r="AI32" s="183">
        <f>IFERROR(GETPIVOTDATA("[Measures].[Sum of Profit]",$AD$5,"[Table_1].[Product Category]","[Table_1].[Product Category].&amp;[Technology]","[Table_1].[Region]","[Table_1].[Region].&amp;[West]"),"")</f>
        <v>10095.172992000003</v>
      </c>
      <c r="AJ32" s="184">
        <f>IFERROR(GETPIVOTDATA("[Measures].[Sum of Sales]",$AD$5,"[Table_1].[Product Category]","[Table_1].[Product Category].&amp;[Technology]","[Table_1].[Region]","[Table_1].[Region].&amp;[West]"),"")</f>
        <v>218867.52</v>
      </c>
      <c r="AK32" s="83"/>
      <c r="AL32" s="225"/>
      <c r="AM32" s="398">
        <v>42030</v>
      </c>
      <c r="AN32" s="354">
        <v>7035.73</v>
      </c>
      <c r="AO32" s="146">
        <v>-1561.5387000000005</v>
      </c>
      <c r="AP32" s="147">
        <v>134</v>
      </c>
      <c r="AQ32" s="59">
        <v>42030</v>
      </c>
      <c r="AR32" s="183">
        <v>7035.73</v>
      </c>
      <c r="AS32" s="61">
        <f t="shared" si="11"/>
        <v>1</v>
      </c>
      <c r="AT32" s="188">
        <f t="shared" si="12"/>
        <v>5</v>
      </c>
      <c r="AU32" s="411" t="s">
        <v>64</v>
      </c>
      <c r="AV32" s="404">
        <v>99069.48</v>
      </c>
      <c r="AW32" s="405">
        <v>23990.207579999998</v>
      </c>
      <c r="AX32" s="406">
        <v>181</v>
      </c>
      <c r="AY32" s="184">
        <v>99069.48</v>
      </c>
      <c r="AZ32" s="68"/>
      <c r="BB32" s="112" t="s">
        <v>3071</v>
      </c>
      <c r="BE32" s="55"/>
      <c r="BF32" s="55"/>
      <c r="BG32" s="55"/>
      <c r="BH32" s="55"/>
      <c r="BI32" s="55"/>
      <c r="BJ32" s="55"/>
      <c r="BT32" s="277"/>
      <c r="BU32" s="277"/>
      <c r="BV32" s="277"/>
      <c r="BW32" s="277"/>
      <c r="BX32" s="277"/>
      <c r="BY32" s="277"/>
      <c r="CI32" s="103"/>
      <c r="CJ32" s="323" t="s">
        <v>67</v>
      </c>
      <c r="CK32" s="316">
        <v>68946.66</v>
      </c>
      <c r="CL32" s="418">
        <v>600</v>
      </c>
      <c r="CM32" s="294" t="str" cm="1">
        <f t="array" ref="CM32">IFERROR(_xlfn.IFS($CN$28="Sales",CJ32,$CN$28="Profit",CJ38),"")</f>
        <v>Washington</v>
      </c>
      <c r="CN32" s="276" cm="1">
        <f t="array" ref="CN32">IFERROR(_xlfn.IFS($CN$28="Sales",CK32,$CN$28="Profit",CK38),"")</f>
        <v>11677.363099999999</v>
      </c>
      <c r="CO32" s="306" cm="1">
        <f t="array" ref="CO32">IFERROR(_xlfn.IFS($CN$28="Sales",CL32,$CN$28="Profit",CL38),"")</f>
        <v>600</v>
      </c>
    </row>
    <row r="33" spans="2:93" ht="15.75" thickBot="1" x14ac:dyDescent="0.3">
      <c r="B33" s="347" t="s">
        <v>3048</v>
      </c>
      <c r="C33" s="134">
        <v>351596.61</v>
      </c>
      <c r="D33" s="336">
        <v>351596.61</v>
      </c>
      <c r="E33" s="118"/>
      <c r="F33" s="129" t="s">
        <v>3048</v>
      </c>
      <c r="G33" s="336">
        <v>66323.886610000001</v>
      </c>
      <c r="H33" s="63"/>
      <c r="I33" s="63"/>
      <c r="J33" s="63"/>
      <c r="K33" s="63"/>
      <c r="L33" s="63"/>
      <c r="M33" s="63"/>
      <c r="N33" s="63"/>
      <c r="O33" s="63"/>
      <c r="P33" s="63"/>
      <c r="Q33" s="65"/>
      <c r="R33" s="89"/>
      <c r="S33" s="89"/>
      <c r="T33" s="92"/>
      <c r="U33" s="225" t="s">
        <v>1356</v>
      </c>
      <c r="V33" s="366">
        <v>7619.7</v>
      </c>
      <c r="W33" s="359">
        <v>3386.4947000000002</v>
      </c>
      <c r="X33" s="359">
        <v>144.16</v>
      </c>
      <c r="Y33" s="361">
        <v>3611.0573999999997</v>
      </c>
      <c r="Z33" s="78"/>
      <c r="AA33" s="160" t="str">
        <f t="shared" si="0"/>
        <v>New Hampshire</v>
      </c>
      <c r="AB33" s="171">
        <v>7619.7</v>
      </c>
      <c r="AC33" s="144">
        <f t="shared" si="16"/>
        <v>1</v>
      </c>
      <c r="AD33" s="145"/>
      <c r="AE33" s="146"/>
      <c r="AF33" s="183" t="s">
        <v>3020</v>
      </c>
      <c r="AG33" s="183" t="s">
        <v>5</v>
      </c>
      <c r="AH33" s="183" t="s">
        <v>3</v>
      </c>
      <c r="AI33" s="183" t="s">
        <v>20</v>
      </c>
      <c r="AJ33" s="144"/>
      <c r="AL33" s="225"/>
      <c r="AM33" s="398">
        <v>42031</v>
      </c>
      <c r="AN33" s="354">
        <v>4036.39</v>
      </c>
      <c r="AO33" s="146">
        <v>4441.4325399999998</v>
      </c>
      <c r="AP33" s="147">
        <v>196</v>
      </c>
      <c r="AQ33" s="59">
        <v>42031</v>
      </c>
      <c r="AR33" s="183">
        <v>4036.39</v>
      </c>
      <c r="AS33" s="61">
        <f t="shared" si="11"/>
        <v>1</v>
      </c>
      <c r="AT33" s="188">
        <f t="shared" si="12"/>
        <v>5</v>
      </c>
      <c r="AU33" s="411" t="s">
        <v>345</v>
      </c>
      <c r="AV33" s="404">
        <v>10479.77</v>
      </c>
      <c r="AW33" s="405">
        <v>-1194.4125000000008</v>
      </c>
      <c r="AX33" s="406">
        <v>590</v>
      </c>
      <c r="AY33" s="184">
        <v>10479.77</v>
      </c>
      <c r="AZ33" s="68"/>
      <c r="BE33" s="55"/>
      <c r="BF33" s="55"/>
      <c r="BG33" s="55"/>
      <c r="BH33" s="55"/>
      <c r="BI33" s="55"/>
      <c r="BJ33" s="55"/>
      <c r="BT33" s="277"/>
      <c r="BU33" s="277"/>
      <c r="BV33" s="277"/>
      <c r="BW33" s="277"/>
      <c r="BX33" s="277"/>
      <c r="BY33" s="277"/>
      <c r="CJ33" s="294"/>
      <c r="CL33" s="293"/>
      <c r="CM33" s="294"/>
      <c r="CO33" s="293"/>
    </row>
    <row r="34" spans="2:93" ht="15.75" thickBot="1" x14ac:dyDescent="0.3">
      <c r="B34" s="348" t="s">
        <v>3015</v>
      </c>
      <c r="C34" s="330">
        <v>1881524.77</v>
      </c>
      <c r="D34" s="331">
        <v>1881524.77</v>
      </c>
      <c r="E34" s="136"/>
      <c r="F34" s="338" t="s">
        <v>3015</v>
      </c>
      <c r="G34" s="331">
        <v>215023.39973715009</v>
      </c>
      <c r="H34" s="63"/>
      <c r="I34" s="63"/>
      <c r="J34" s="63"/>
      <c r="K34" s="63"/>
      <c r="L34" s="63"/>
      <c r="M34" s="63"/>
      <c r="N34" s="63"/>
      <c r="O34" s="63"/>
      <c r="P34" s="63"/>
      <c r="Q34" s="65"/>
      <c r="R34" s="89"/>
      <c r="S34" s="89"/>
      <c r="T34" s="92"/>
      <c r="U34" s="225" t="s">
        <v>397</v>
      </c>
      <c r="V34" s="366">
        <v>21943.91</v>
      </c>
      <c r="W34" s="359">
        <v>19284.279712</v>
      </c>
      <c r="X34" s="359">
        <v>404.49</v>
      </c>
      <c r="Y34" s="361">
        <v>770.9086880000001</v>
      </c>
      <c r="Z34" s="78"/>
      <c r="AA34" s="160" t="str">
        <f t="shared" si="0"/>
        <v>New Jersey</v>
      </c>
      <c r="AB34" s="171">
        <v>21943.91</v>
      </c>
      <c r="AC34" s="144">
        <f t="shared" si="16"/>
        <v>1</v>
      </c>
      <c r="AD34" s="145"/>
      <c r="AE34" s="146" t="s">
        <v>29</v>
      </c>
      <c r="AF34" s="183" cm="1">
        <f t="array" ref="AF34">IFERROR(_xlfn.IFS($AE$20=AD21,AF21,$AE$20=AD24,AF24,$AE$20=AD27,AF27,$AE$20=AD30,AF30),"")</f>
        <v>131268.74200539998</v>
      </c>
      <c r="AG34" s="183" cm="1">
        <f t="array" ref="AG34">IFERROR(_xlfn.IFS($AE$20=AD21,AG21,$AE$20=AD24,AG24,$AE$20=AD27,AG27,$AE$20=AD30,AG30),"")</f>
        <v>3295</v>
      </c>
      <c r="AH34" s="183" cm="1">
        <f t="array" ref="AH34">IFERROR(_xlfn.IFS($AE$20=AD21,AH21,$AE$20=AD24,AH24,$AE$20=AD27,AH27,$AE$20=AD30,AH30),"")</f>
        <v>5.8499999999999943</v>
      </c>
      <c r="AI34" s="183" cm="1">
        <f t="array" ref="AI34">IFERROR(_xlfn.IFS($AE$20=AD21,AI21,$AE$20=AD24,AI24,$AE$20=AD27,AI27,$AE$20=AD30,AI30),"")</f>
        <v>6301.754294600003</v>
      </c>
      <c r="AJ34" s="184" cm="1">
        <f t="array" ref="AJ34">IFERROR(_xlfn.IFS($AE$20=AD21,AJ21,$AE$20=AD24,AJ24,$AE$20=AD27,AJ27,$AE$20=AD30,AJ30),"")</f>
        <v>148455.14000000001</v>
      </c>
      <c r="AK34" s="83"/>
      <c r="AL34" s="225"/>
      <c r="AM34" s="398">
        <v>42032</v>
      </c>
      <c r="AN34" s="354">
        <v>6617.65</v>
      </c>
      <c r="AO34" s="146">
        <v>-9411.1713799999998</v>
      </c>
      <c r="AP34" s="147">
        <v>92</v>
      </c>
      <c r="AQ34" s="59">
        <v>42032</v>
      </c>
      <c r="AR34" s="183">
        <v>6617.65</v>
      </c>
      <c r="AS34" s="61">
        <f t="shared" si="11"/>
        <v>1</v>
      </c>
      <c r="AT34" s="188">
        <f t="shared" si="12"/>
        <v>5</v>
      </c>
      <c r="AU34" s="411" t="s">
        <v>152</v>
      </c>
      <c r="AV34" s="404">
        <v>4914.82</v>
      </c>
      <c r="AW34" s="405">
        <v>7028.1595000000016</v>
      </c>
      <c r="AX34" s="406">
        <v>903</v>
      </c>
      <c r="AY34" s="184">
        <v>4914.82</v>
      </c>
      <c r="AZ34" s="68"/>
      <c r="BE34" s="55"/>
      <c r="BF34" s="55"/>
      <c r="BG34" s="55"/>
      <c r="BH34" s="55"/>
      <c r="BI34" s="55"/>
      <c r="BJ34" s="55"/>
      <c r="BT34" s="277"/>
      <c r="BU34" s="277"/>
      <c r="BV34" s="277"/>
      <c r="BW34" s="277"/>
      <c r="BX34" s="277"/>
      <c r="BY34" s="277"/>
      <c r="CI34" s="103"/>
      <c r="CJ34" s="289" t="s">
        <v>3102</v>
      </c>
      <c r="CK34" s="287"/>
      <c r="CL34" s="302"/>
      <c r="CM34" s="294"/>
      <c r="CO34" s="293"/>
    </row>
    <row r="35" spans="2:93" ht="15.75" thickBot="1" x14ac:dyDescent="0.3">
      <c r="B35" s="68"/>
      <c r="C35" s="68"/>
      <c r="D35" s="68"/>
      <c r="E35" s="68"/>
      <c r="F35" s="68"/>
      <c r="G35" s="68"/>
      <c r="H35" s="93"/>
      <c r="I35" s="68"/>
      <c r="J35" s="68"/>
      <c r="K35" s="68"/>
      <c r="L35" s="68"/>
      <c r="M35" s="68"/>
      <c r="N35" s="68"/>
      <c r="O35" s="68"/>
      <c r="P35" s="68"/>
      <c r="Q35" s="67"/>
      <c r="R35" s="94"/>
      <c r="S35" s="94"/>
      <c r="T35" s="92"/>
      <c r="U35" s="225" t="s">
        <v>640</v>
      </c>
      <c r="V35" s="366">
        <v>5593.18</v>
      </c>
      <c r="W35" s="359">
        <v>925.6388199999999</v>
      </c>
      <c r="X35" s="359">
        <v>101.38</v>
      </c>
      <c r="Y35" s="361">
        <v>4215.9194799999996</v>
      </c>
      <c r="Z35" s="78"/>
      <c r="AA35" s="160" t="str">
        <f t="shared" si="0"/>
        <v>New Mexico</v>
      </c>
      <c r="AB35" s="171">
        <v>5593.18</v>
      </c>
      <c r="AC35" s="144">
        <f t="shared" si="16"/>
        <v>1</v>
      </c>
      <c r="AD35" s="145"/>
      <c r="AE35" s="146" t="s">
        <v>49</v>
      </c>
      <c r="AF35" s="183" cm="1">
        <f t="array" ref="AF35">IFERROR(_xlfn.IFS($AE$20=AD22,AF22,$AE$20=AD25,AF25,$AE$20=AD28,AF28,$AE$20=AD31,AF31),"")</f>
        <v>80084.997369999983</v>
      </c>
      <c r="AG35" s="183" cm="1">
        <f t="array" ref="AG35">IFERROR(_xlfn.IFS($AE$20=AD22,AG22,$AE$20=AD25,AG25,$AE$20=AD28,AG28,$AE$20=AD31,AG31),"")</f>
        <v>2496</v>
      </c>
      <c r="AH35" s="183" cm="1">
        <f t="array" ref="AH35">IFERROR(_xlfn.IFS($AE$20=AD22,AH22,$AE$20=AD25,AH25,$AE$20=AD28,AH28,$AE$20=AD31,AH31),"")</f>
        <v>15.109999999999983</v>
      </c>
      <c r="AI35" s="183" cm="1">
        <f t="array" ref="AI35">IFERROR(_xlfn.IFS($AE$20=AD22,AI22,$AE$20=AD25,AI25,$AE$20=AD28,AI28,$AE$20=AD31,AI31),"")</f>
        <v>28333.074329999999</v>
      </c>
      <c r="AJ35" s="184" cm="1">
        <f t="array" ref="AJ35">IFERROR(_xlfn.IFS($AE$20=AD22,AJ22,$AE$20=AD25,AJ25,$AE$20=AD28,AJ28,$AE$20=AD31,AJ31),"")</f>
        <v>115119.97</v>
      </c>
      <c r="AK35" s="83"/>
      <c r="AL35" s="225"/>
      <c r="AM35" s="398">
        <v>42033</v>
      </c>
      <c r="AN35" s="354">
        <v>11666.61</v>
      </c>
      <c r="AO35" s="146">
        <v>-1215.0591999999999</v>
      </c>
      <c r="AP35" s="147">
        <v>98</v>
      </c>
      <c r="AQ35" s="59">
        <v>42033</v>
      </c>
      <c r="AR35" s="183">
        <v>11666.61</v>
      </c>
      <c r="AS35" s="61">
        <f t="shared" si="11"/>
        <v>1</v>
      </c>
      <c r="AT35" s="188">
        <f t="shared" si="12"/>
        <v>5</v>
      </c>
      <c r="AU35" s="411" t="s">
        <v>126</v>
      </c>
      <c r="AV35" s="404">
        <v>98070.91</v>
      </c>
      <c r="AW35" s="405">
        <v>18724.1191</v>
      </c>
      <c r="AX35" s="406">
        <v>2356</v>
      </c>
      <c r="AY35" s="184">
        <v>98070.91</v>
      </c>
      <c r="AZ35" s="68"/>
      <c r="BE35" s="55"/>
      <c r="BF35" s="55"/>
      <c r="BG35" s="55"/>
      <c r="BH35" s="55"/>
      <c r="BI35" s="55"/>
      <c r="BJ35" s="55"/>
      <c r="BT35" s="277"/>
      <c r="BU35" s="277"/>
      <c r="BV35" s="277"/>
      <c r="BW35" s="277"/>
      <c r="BX35" s="277"/>
      <c r="BY35" s="277"/>
      <c r="CI35" s="275"/>
      <c r="CJ35" s="320" t="s">
        <v>3104</v>
      </c>
      <c r="CK35" s="318" t="s">
        <v>20</v>
      </c>
      <c r="CL35" s="324" t="s">
        <v>3016</v>
      </c>
      <c r="CM35" s="294"/>
      <c r="CO35" s="293"/>
    </row>
    <row r="36" spans="2:93" x14ac:dyDescent="0.25">
      <c r="B36" s="68"/>
      <c r="C36" s="68"/>
      <c r="D36" s="68"/>
      <c r="E36" s="68"/>
      <c r="F36" s="68"/>
      <c r="G36" s="68"/>
      <c r="H36" s="93"/>
      <c r="I36" s="68"/>
      <c r="J36" s="68"/>
      <c r="K36" s="68"/>
      <c r="L36" s="68"/>
      <c r="M36" s="68"/>
      <c r="N36" s="68"/>
      <c r="O36" s="68"/>
      <c r="P36" s="68"/>
      <c r="Q36" s="67"/>
      <c r="R36" s="94"/>
      <c r="S36" s="94"/>
      <c r="T36" s="92"/>
      <c r="U36" s="225" t="s">
        <v>112</v>
      </c>
      <c r="V36" s="366">
        <v>223930.48</v>
      </c>
      <c r="W36" s="359">
        <v>184662.40808139989</v>
      </c>
      <c r="X36" s="359">
        <v>1749.32</v>
      </c>
      <c r="Y36" s="361">
        <v>27611.943318600002</v>
      </c>
      <c r="Z36" s="78"/>
      <c r="AA36" s="160" t="str">
        <f t="shared" si="0"/>
        <v>New York</v>
      </c>
      <c r="AB36" s="171">
        <v>223930.48</v>
      </c>
      <c r="AC36" s="144">
        <f t="shared" si="16"/>
        <v>1</v>
      </c>
      <c r="AD36" s="145"/>
      <c r="AE36" s="146" t="s">
        <v>41</v>
      </c>
      <c r="AF36" s="183" cm="1">
        <f t="array" ref="AF36">IFERROR(_xlfn.IFS($AE$20=AD23,AF23,$AE$20=AD26,AF26,$AE$20=AD29,AF29,$AE$20=AD32,AF32),"")</f>
        <v>123747.83775599999</v>
      </c>
      <c r="AG36" s="183" cm="1">
        <f t="array" ref="AG36">IFERROR(_xlfn.IFS($AE$20=AD23,AG23,$AE$20=AD26,AG26,$AE$20=AD29,AG29,$AE$20=AD32,AG32),"")</f>
        <v>1229.6600000000001</v>
      </c>
      <c r="AH36" s="183" cm="1">
        <f t="array" ref="AH36">IFERROR(_xlfn.IFS($AE$20=AD23,AH23,$AE$20=AD26,AH26,$AE$20=AD29,AH29,$AE$20=AD32,AH32),"")</f>
        <v>6.4799999999999933</v>
      </c>
      <c r="AI36" s="183" cm="1">
        <f t="array" ref="AI36">IFERROR(_xlfn.IFS($AE$20=AD23,AI23,$AE$20=AD26,AI26,$AE$20=AD29,AI29,$AE$20=AD32,AI32),"")</f>
        <v>44010.946644000011</v>
      </c>
      <c r="AJ36" s="184" cm="1">
        <f t="array" ref="AJ36">IFERROR(_xlfn.IFS($AE$20=AD23,AJ23,$AE$20=AD26,AJ26,$AE$20=AD29,AJ29,$AE$20=AD32,AJ32),"")</f>
        <v>177870.51</v>
      </c>
      <c r="AK36" s="83"/>
      <c r="AL36" s="225"/>
      <c r="AM36" s="398">
        <v>42034</v>
      </c>
      <c r="AN36" s="354">
        <v>5276.23</v>
      </c>
      <c r="AO36" s="146">
        <v>3101.0900999999999</v>
      </c>
      <c r="AP36" s="147">
        <v>50</v>
      </c>
      <c r="AQ36" s="59">
        <v>42034</v>
      </c>
      <c r="AR36" s="183">
        <v>5276.23</v>
      </c>
      <c r="AS36" s="61">
        <f t="shared" si="11"/>
        <v>1</v>
      </c>
      <c r="AT36" s="188">
        <f t="shared" si="12"/>
        <v>5</v>
      </c>
      <c r="AU36" s="411" t="s">
        <v>57</v>
      </c>
      <c r="AV36" s="404">
        <v>318169.68</v>
      </c>
      <c r="AW36" s="405">
        <v>8824.3905639999939</v>
      </c>
      <c r="AX36" s="406">
        <v>898</v>
      </c>
      <c r="AY36" s="184">
        <v>318169.68</v>
      </c>
      <c r="AZ36" s="68"/>
      <c r="BE36" s="55"/>
      <c r="BF36" s="55"/>
      <c r="BG36" s="55"/>
      <c r="BH36" s="55"/>
      <c r="BI36" s="55"/>
      <c r="BJ36" s="55"/>
      <c r="BT36" s="277"/>
      <c r="BU36" s="277"/>
      <c r="BV36" s="277"/>
      <c r="BW36" s="277"/>
      <c r="BX36" s="277"/>
      <c r="BY36" s="277"/>
      <c r="CI36" s="103"/>
      <c r="CJ36" s="321" t="s">
        <v>100</v>
      </c>
      <c r="CK36" s="314">
        <v>7865.8371800000004</v>
      </c>
      <c r="CL36" s="303">
        <v>1710</v>
      </c>
      <c r="CM36" s="294"/>
      <c r="CO36" s="293"/>
    </row>
    <row r="37" spans="2:93" ht="15.75" thickBot="1" x14ac:dyDescent="0.3">
      <c r="B37" s="68"/>
      <c r="C37" s="68"/>
      <c r="D37" s="68"/>
      <c r="E37" s="68"/>
      <c r="F37" s="68"/>
      <c r="G37" s="95"/>
      <c r="H37" s="96"/>
      <c r="I37" s="68"/>
      <c r="J37" s="68"/>
      <c r="K37" s="68"/>
      <c r="L37" s="68"/>
      <c r="M37" s="68"/>
      <c r="N37" s="68"/>
      <c r="O37" s="68"/>
      <c r="P37" s="68"/>
      <c r="Q37" s="67"/>
      <c r="R37" s="94"/>
      <c r="S37" s="94"/>
      <c r="T37" s="92"/>
      <c r="U37" s="225" t="s">
        <v>97</v>
      </c>
      <c r="V37" s="366">
        <v>38147.89</v>
      </c>
      <c r="W37" s="359">
        <v>54770.866340000015</v>
      </c>
      <c r="X37" s="359">
        <v>503.25</v>
      </c>
      <c r="Y37" s="361">
        <v>-19337.166839999991</v>
      </c>
      <c r="Z37" s="78"/>
      <c r="AA37" s="160" t="str">
        <f t="shared" ref="AA37:AA53" si="18">U37</f>
        <v>North Carolina</v>
      </c>
      <c r="AB37" s="171">
        <v>38147.89</v>
      </c>
      <c r="AC37" s="144">
        <f t="shared" si="16"/>
        <v>1</v>
      </c>
      <c r="AD37" s="148"/>
      <c r="AE37" s="178" t="s">
        <v>3054</v>
      </c>
      <c r="AF37" s="149">
        <f>IFERROR(SUM(AF34:AF36),"-")</f>
        <v>335101.57713139994</v>
      </c>
      <c r="AG37" s="149">
        <f>IFERROR(SUM(AG34:AG36),"-")</f>
        <v>7020.66</v>
      </c>
      <c r="AH37" s="149">
        <f>IFERROR(SUM(AH34:AH36),"-")</f>
        <v>27.439999999999973</v>
      </c>
      <c r="AI37" s="149">
        <f>IFERROR(SUM(AI34:AI36),"-")</f>
        <v>78645.775268600017</v>
      </c>
      <c r="AJ37" s="150">
        <f>IFERROR(SUM(AJ34:AJ36),"-")</f>
        <v>441445.62</v>
      </c>
      <c r="AK37" s="73"/>
      <c r="AL37" s="225"/>
      <c r="AM37" s="399">
        <v>42035</v>
      </c>
      <c r="AN37" s="354">
        <v>16299.11</v>
      </c>
      <c r="AO37" s="146">
        <v>7714.6917749999993</v>
      </c>
      <c r="AP37" s="147">
        <v>133</v>
      </c>
      <c r="AQ37" s="59">
        <v>42035</v>
      </c>
      <c r="AR37" s="183">
        <v>16299.11</v>
      </c>
      <c r="AS37" s="61">
        <f t="shared" si="11"/>
        <v>1</v>
      </c>
      <c r="AT37" s="188">
        <f t="shared" si="12"/>
        <v>5</v>
      </c>
      <c r="AU37" s="411" t="s">
        <v>88</v>
      </c>
      <c r="AV37" s="404">
        <v>55813.919999999998</v>
      </c>
      <c r="AW37" s="405">
        <v>7769.3150700000015</v>
      </c>
      <c r="AX37" s="406">
        <v>3481</v>
      </c>
      <c r="AY37" s="184">
        <v>55813.919999999998</v>
      </c>
      <c r="AZ37" s="68"/>
      <c r="BE37" s="55"/>
      <c r="BF37" s="55"/>
      <c r="BG37" s="55"/>
      <c r="BH37" s="55"/>
      <c r="BI37" s="55"/>
      <c r="BJ37" s="55"/>
      <c r="BT37" s="277"/>
      <c r="BU37" s="277"/>
      <c r="BV37" s="277"/>
      <c r="BW37" s="277"/>
      <c r="BX37" s="277"/>
      <c r="BY37" s="277"/>
      <c r="CI37" s="103"/>
      <c r="CJ37" s="322" t="s">
        <v>113</v>
      </c>
      <c r="CK37" s="315">
        <v>4928.1599800000004</v>
      </c>
      <c r="CL37" s="302">
        <v>1642</v>
      </c>
      <c r="CM37" s="294"/>
      <c r="CO37" s="293"/>
    </row>
    <row r="38" spans="2:93" ht="15.75" thickBot="1" x14ac:dyDescent="0.3">
      <c r="B38" s="139" t="s">
        <v>3081</v>
      </c>
      <c r="C38" s="140"/>
      <c r="D38" s="140"/>
      <c r="E38" s="140"/>
      <c r="F38" s="140"/>
      <c r="G38" s="140"/>
      <c r="H38" s="141"/>
      <c r="I38" s="140"/>
      <c r="J38" s="140"/>
      <c r="K38" s="140"/>
      <c r="L38" s="140"/>
      <c r="M38" s="140"/>
      <c r="N38" s="140"/>
      <c r="O38" s="140"/>
      <c r="P38" s="140"/>
      <c r="Q38" s="140"/>
      <c r="R38" s="140"/>
      <c r="S38" s="142"/>
      <c r="T38" s="55"/>
      <c r="U38" s="225" t="s">
        <v>565</v>
      </c>
      <c r="V38" s="366">
        <v>5300.23</v>
      </c>
      <c r="W38" s="359">
        <v>1832.6151000000007</v>
      </c>
      <c r="X38" s="359">
        <v>72.28</v>
      </c>
      <c r="Y38" s="361">
        <v>3012.1560999999997</v>
      </c>
      <c r="Z38" s="78"/>
      <c r="AA38" s="160" t="str">
        <f t="shared" si="18"/>
        <v>North Dakota</v>
      </c>
      <c r="AB38" s="171">
        <v>5300.23</v>
      </c>
      <c r="AC38" s="144">
        <f t="shared" si="16"/>
        <v>1</v>
      </c>
      <c r="AD38" s="67"/>
      <c r="AE38" s="68"/>
      <c r="AF38" s="68"/>
      <c r="AG38" s="68"/>
      <c r="AH38" s="68"/>
      <c r="AI38" s="68"/>
      <c r="AJ38" s="68"/>
      <c r="AL38" s="228" t="s">
        <v>3044</v>
      </c>
      <c r="AM38" s="397">
        <v>42036</v>
      </c>
      <c r="AN38" s="415">
        <v>7529.03</v>
      </c>
      <c r="AO38" s="371">
        <v>918.25949999999989</v>
      </c>
      <c r="AP38" s="373">
        <v>97</v>
      </c>
      <c r="AQ38" s="59">
        <v>42036</v>
      </c>
      <c r="AR38" s="183">
        <v>7529.03</v>
      </c>
      <c r="AS38" s="61">
        <f t="shared" si="11"/>
        <v>1</v>
      </c>
      <c r="AT38" s="188">
        <f t="shared" si="12"/>
        <v>6</v>
      </c>
      <c r="AU38" s="411" t="s">
        <v>50</v>
      </c>
      <c r="AV38" s="404">
        <v>26071.61</v>
      </c>
      <c r="AW38" s="405">
        <v>-257.62879999999967</v>
      </c>
      <c r="AX38" s="406">
        <v>2744</v>
      </c>
      <c r="AY38" s="184">
        <v>26071.61</v>
      </c>
      <c r="AZ38" s="68"/>
      <c r="BE38" s="55"/>
      <c r="BF38" s="55"/>
      <c r="BG38" s="55"/>
      <c r="BH38" s="55"/>
      <c r="BI38" s="55"/>
      <c r="BJ38" s="55"/>
      <c r="BT38" s="277"/>
      <c r="BU38" s="277"/>
      <c r="BV38" s="277"/>
      <c r="BW38" s="277"/>
      <c r="BX38" s="277"/>
      <c r="BY38" s="277"/>
      <c r="CI38" s="103"/>
      <c r="CJ38" s="323" t="s">
        <v>67</v>
      </c>
      <c r="CK38" s="316">
        <v>11677.363099999999</v>
      </c>
      <c r="CL38" s="418">
        <v>600</v>
      </c>
      <c r="CM38" s="307"/>
      <c r="CN38" s="297"/>
      <c r="CO38" s="298"/>
    </row>
    <row r="39" spans="2:93" ht="15.75" thickBot="1" x14ac:dyDescent="0.3">
      <c r="B39" s="220"/>
      <c r="C39" s="220" t="s">
        <v>3065</v>
      </c>
      <c r="D39" s="221"/>
      <c r="E39" s="222"/>
      <c r="F39" s="222"/>
      <c r="G39" s="222"/>
      <c r="H39" s="222"/>
      <c r="I39" s="222"/>
      <c r="J39" s="222"/>
      <c r="K39" s="222"/>
      <c r="L39" s="222"/>
      <c r="M39" s="222"/>
      <c r="N39" s="222"/>
      <c r="O39" s="222"/>
      <c r="P39" s="222"/>
      <c r="Q39" s="222"/>
      <c r="R39" s="222"/>
      <c r="S39" s="223"/>
      <c r="T39" s="55"/>
      <c r="U39" s="225" t="s">
        <v>317</v>
      </c>
      <c r="V39" s="366">
        <v>69452.820000000007</v>
      </c>
      <c r="W39" s="359">
        <v>41357.092073999993</v>
      </c>
      <c r="X39" s="359">
        <v>1117.99</v>
      </c>
      <c r="Y39" s="361">
        <v>23410.842026000006</v>
      </c>
      <c r="Z39" s="78"/>
      <c r="AA39" s="160" t="str">
        <f t="shared" si="18"/>
        <v>Ohio</v>
      </c>
      <c r="AB39" s="171">
        <v>69452.820000000007</v>
      </c>
      <c r="AC39" s="144">
        <f t="shared" si="16"/>
        <v>1</v>
      </c>
      <c r="AD39" s="67"/>
      <c r="AE39" s="68"/>
      <c r="AF39" s="68"/>
      <c r="AG39" s="68"/>
      <c r="AH39" s="68"/>
      <c r="AI39" s="68"/>
      <c r="AJ39" s="68"/>
      <c r="AL39" s="225"/>
      <c r="AM39" s="398">
        <v>42037</v>
      </c>
      <c r="AN39" s="354">
        <v>20691.02</v>
      </c>
      <c r="AO39" s="146">
        <v>-1674.3463710000005</v>
      </c>
      <c r="AP39" s="147">
        <v>309</v>
      </c>
      <c r="AQ39" s="59">
        <v>42037</v>
      </c>
      <c r="AR39" s="183">
        <v>20691.02</v>
      </c>
      <c r="AS39" s="61">
        <f t="shared" si="11"/>
        <v>1</v>
      </c>
      <c r="AT39" s="188">
        <f t="shared" si="12"/>
        <v>6</v>
      </c>
      <c r="AU39" s="411" t="s">
        <v>176</v>
      </c>
      <c r="AV39" s="404">
        <v>1789.43</v>
      </c>
      <c r="AW39" s="405">
        <v>-1544.8260631999995</v>
      </c>
      <c r="AX39" s="406">
        <v>501</v>
      </c>
      <c r="AY39" s="184">
        <v>1789.43</v>
      </c>
      <c r="AZ39" s="68"/>
      <c r="BE39" s="55"/>
      <c r="BF39" s="55"/>
      <c r="BG39" s="55"/>
      <c r="BH39" s="55"/>
      <c r="BI39" s="55"/>
      <c r="BJ39" s="55"/>
      <c r="BT39" s="277"/>
      <c r="BU39" s="277"/>
      <c r="BV39" s="277"/>
      <c r="BW39" s="277"/>
      <c r="BX39" s="277"/>
      <c r="BY39" s="277"/>
    </row>
    <row r="40" spans="2:93" ht="15.75" thickBot="1" x14ac:dyDescent="0.3">
      <c r="B40" s="220" t="s">
        <v>3052</v>
      </c>
      <c r="C40" s="221" t="s">
        <v>95</v>
      </c>
      <c r="D40" s="222" t="s">
        <v>72</v>
      </c>
      <c r="E40" s="222" t="s">
        <v>117</v>
      </c>
      <c r="F40" s="222" t="s">
        <v>109</v>
      </c>
      <c r="G40" s="222" t="s">
        <v>42</v>
      </c>
      <c r="H40" s="222" t="s">
        <v>64</v>
      </c>
      <c r="I40" s="222" t="s">
        <v>345</v>
      </c>
      <c r="J40" s="222" t="s">
        <v>152</v>
      </c>
      <c r="K40" s="222" t="s">
        <v>126</v>
      </c>
      <c r="L40" s="222" t="s">
        <v>57</v>
      </c>
      <c r="M40" s="222" t="s">
        <v>88</v>
      </c>
      <c r="N40" s="222" t="s">
        <v>50</v>
      </c>
      <c r="O40" s="222" t="s">
        <v>176</v>
      </c>
      <c r="P40" s="222" t="s">
        <v>568</v>
      </c>
      <c r="Q40" s="222" t="s">
        <v>78</v>
      </c>
      <c r="R40" s="222" t="s">
        <v>30</v>
      </c>
      <c r="S40" s="223" t="s">
        <v>135</v>
      </c>
      <c r="T40" s="55"/>
      <c r="U40" s="225" t="s">
        <v>207</v>
      </c>
      <c r="V40" s="366">
        <v>6884.04</v>
      </c>
      <c r="W40" s="359">
        <v>3875.7087799999999</v>
      </c>
      <c r="X40" s="359">
        <v>245.17</v>
      </c>
      <c r="Y40" s="361">
        <v>2555.9895200000001</v>
      </c>
      <c r="Z40" s="78"/>
      <c r="AA40" s="160" t="str">
        <f t="shared" si="18"/>
        <v>Oklahoma</v>
      </c>
      <c r="AB40" s="171">
        <v>6884.04</v>
      </c>
      <c r="AC40" s="144">
        <f t="shared" si="16"/>
        <v>1</v>
      </c>
      <c r="AD40" s="67"/>
      <c r="AE40" s="68"/>
      <c r="AF40" s="68"/>
      <c r="AG40" s="68"/>
      <c r="AH40" s="68"/>
      <c r="AI40" s="68"/>
      <c r="AJ40" s="68"/>
      <c r="AL40" s="225"/>
      <c r="AM40" s="398">
        <v>42038</v>
      </c>
      <c r="AN40" s="354">
        <v>3485.71</v>
      </c>
      <c r="AO40" s="146">
        <v>290.33600000000001</v>
      </c>
      <c r="AP40" s="147">
        <v>29</v>
      </c>
      <c r="AQ40" s="59">
        <v>42038</v>
      </c>
      <c r="AR40" s="183">
        <v>3485.71</v>
      </c>
      <c r="AS40" s="61">
        <f t="shared" si="11"/>
        <v>1</v>
      </c>
      <c r="AT40" s="188">
        <f t="shared" si="12"/>
        <v>6</v>
      </c>
      <c r="AU40" s="411" t="s">
        <v>568</v>
      </c>
      <c r="AV40" s="404">
        <v>6752.18</v>
      </c>
      <c r="AW40" s="405">
        <v>-1291.0959000000003</v>
      </c>
      <c r="AX40" s="406">
        <v>423</v>
      </c>
      <c r="AY40" s="184">
        <v>6752.18</v>
      </c>
      <c r="AZ40" s="68"/>
      <c r="BE40" s="55"/>
      <c r="BF40" s="55"/>
      <c r="BG40" s="55"/>
      <c r="BH40" s="55"/>
      <c r="BI40" s="55"/>
      <c r="BJ40" s="55"/>
      <c r="BT40" s="277"/>
      <c r="BU40" s="277"/>
      <c r="BV40" s="277"/>
      <c r="BW40" s="277"/>
      <c r="BX40" s="277"/>
      <c r="BY40" s="277"/>
      <c r="CI40" s="103"/>
      <c r="CJ40" s="304" t="s">
        <v>3101</v>
      </c>
      <c r="CK40" s="299"/>
      <c r="CL40" s="300"/>
      <c r="CM40" s="311" t="s">
        <v>3053</v>
      </c>
      <c r="CN40" s="312" t="str">
        <f>CHOOSE(Distribution!AH9,"Sales", "Profit")</f>
        <v>Profit</v>
      </c>
      <c r="CO40" s="313"/>
    </row>
    <row r="41" spans="2:93" ht="15.75" thickBot="1" x14ac:dyDescent="0.3">
      <c r="B41" s="356" t="s">
        <v>3068</v>
      </c>
      <c r="C41" s="351">
        <v>4441.3719000000001</v>
      </c>
      <c r="D41" s="352">
        <v>6401.7309999999979</v>
      </c>
      <c r="E41" s="352">
        <v>4536.7698000000019</v>
      </c>
      <c r="F41" s="352">
        <v>12252.623699999998</v>
      </c>
      <c r="G41" s="352">
        <v>5405.0749999999971</v>
      </c>
      <c r="H41" s="352">
        <v>5175.9114</v>
      </c>
      <c r="I41" s="352">
        <v>500.76230000000004</v>
      </c>
      <c r="J41" s="352">
        <v>243.28150000000002</v>
      </c>
      <c r="K41" s="352">
        <v>3529.8900000000012</v>
      </c>
      <c r="L41" s="352">
        <v>15849.907800000001</v>
      </c>
      <c r="M41" s="352">
        <v>2747.3200000000006</v>
      </c>
      <c r="N41" s="352">
        <v>1366.8413999999998</v>
      </c>
      <c r="O41" s="352">
        <v>84.712400000000017</v>
      </c>
      <c r="P41" s="352">
        <v>286.62939999999992</v>
      </c>
      <c r="Q41" s="352">
        <v>7077.5603999999976</v>
      </c>
      <c r="R41" s="352">
        <v>10207.171399999997</v>
      </c>
      <c r="S41" s="353">
        <v>11011.929799999998</v>
      </c>
      <c r="T41" s="55"/>
      <c r="U41" s="225" t="s">
        <v>139</v>
      </c>
      <c r="V41" s="366">
        <v>21821.83</v>
      </c>
      <c r="W41" s="359">
        <v>5343.4571999999989</v>
      </c>
      <c r="X41" s="359">
        <v>216.11</v>
      </c>
      <c r="Y41" s="361">
        <v>15291.572600000001</v>
      </c>
      <c r="Z41" s="78"/>
      <c r="AA41" s="160" t="str">
        <f t="shared" si="18"/>
        <v>Oregon</v>
      </c>
      <c r="AB41" s="171">
        <v>21821.83</v>
      </c>
      <c r="AC41" s="144">
        <f t="shared" si="16"/>
        <v>1</v>
      </c>
      <c r="AD41" s="67"/>
      <c r="AE41" s="68"/>
      <c r="AF41" s="68"/>
      <c r="AG41" s="68"/>
      <c r="AH41" s="68"/>
      <c r="AI41" s="68"/>
      <c r="AJ41" s="68"/>
      <c r="AL41" s="225"/>
      <c r="AM41" s="398">
        <v>42039</v>
      </c>
      <c r="AN41" s="354">
        <v>8893.91</v>
      </c>
      <c r="AO41" s="146">
        <v>-2903.3084920000001</v>
      </c>
      <c r="AP41" s="147">
        <v>192</v>
      </c>
      <c r="AQ41" s="59">
        <v>42039</v>
      </c>
      <c r="AR41" s="183">
        <v>8893.91</v>
      </c>
      <c r="AS41" s="61">
        <f t="shared" si="11"/>
        <v>1</v>
      </c>
      <c r="AT41" s="188">
        <f t="shared" si="12"/>
        <v>6</v>
      </c>
      <c r="AU41" s="411" t="s">
        <v>78</v>
      </c>
      <c r="AV41" s="404">
        <v>175730.05</v>
      </c>
      <c r="AW41" s="405">
        <v>7803.9946</v>
      </c>
      <c r="AX41" s="406">
        <v>1889</v>
      </c>
      <c r="AY41" s="184">
        <v>175730.05</v>
      </c>
      <c r="AZ41" s="68"/>
      <c r="BE41" s="55"/>
      <c r="BF41" s="55"/>
      <c r="BG41" s="55"/>
      <c r="BH41" s="55"/>
      <c r="BI41" s="55"/>
      <c r="BJ41" s="55"/>
      <c r="BT41" s="277"/>
      <c r="BU41" s="277"/>
      <c r="BV41" s="277"/>
      <c r="BW41" s="277"/>
      <c r="BX41" s="277"/>
      <c r="BY41" s="277"/>
      <c r="CI41" s="103"/>
      <c r="CJ41" s="317" t="s">
        <v>3104</v>
      </c>
      <c r="CK41" s="318" t="s">
        <v>22</v>
      </c>
      <c r="CL41" s="319" t="s">
        <v>3016</v>
      </c>
      <c r="CM41" s="308" t="s">
        <v>11</v>
      </c>
      <c r="CN41" s="309" t="str">
        <f>CN40</f>
        <v>Profit</v>
      </c>
      <c r="CO41" s="310" t="s">
        <v>3016</v>
      </c>
    </row>
    <row r="42" spans="2:93" x14ac:dyDescent="0.25">
      <c r="B42" s="357" t="s">
        <v>3069</v>
      </c>
      <c r="C42" s="354">
        <v>12594.820600000001</v>
      </c>
      <c r="D42" s="146">
        <v>59296.389429999988</v>
      </c>
      <c r="E42" s="146">
        <v>-930.43840000000046</v>
      </c>
      <c r="F42" s="146">
        <v>39808.485999999997</v>
      </c>
      <c r="G42" s="146">
        <v>1698.043979999999</v>
      </c>
      <c r="H42" s="146">
        <v>23990.207579999998</v>
      </c>
      <c r="I42" s="146">
        <v>-1194.4125000000008</v>
      </c>
      <c r="J42" s="146">
        <v>7028.1595000000016</v>
      </c>
      <c r="K42" s="146">
        <v>18724.1191</v>
      </c>
      <c r="L42" s="146">
        <v>8824.3905639999939</v>
      </c>
      <c r="M42" s="146">
        <v>7769.3150700000015</v>
      </c>
      <c r="N42" s="146">
        <v>-257.62879999999967</v>
      </c>
      <c r="O42" s="146">
        <v>-1544.8260631999995</v>
      </c>
      <c r="P42" s="146">
        <v>-1291.0959000000003</v>
      </c>
      <c r="Q42" s="146">
        <v>7803.9946</v>
      </c>
      <c r="R42" s="146">
        <v>-8086.6392636499968</v>
      </c>
      <c r="S42" s="147">
        <v>40790.514240000011</v>
      </c>
      <c r="T42" s="55"/>
      <c r="U42" s="225" t="s">
        <v>320</v>
      </c>
      <c r="V42" s="366">
        <v>45780.85</v>
      </c>
      <c r="W42" s="359">
        <v>44643.700624600002</v>
      </c>
      <c r="X42" s="359">
        <v>693.2</v>
      </c>
      <c r="Y42" s="361">
        <v>-1556.1825245999987</v>
      </c>
      <c r="Z42" s="78"/>
      <c r="AA42" s="160" t="str">
        <f t="shared" si="18"/>
        <v>Pennsylvania</v>
      </c>
      <c r="AB42" s="171">
        <v>45780.85</v>
      </c>
      <c r="AC42" s="144">
        <f t="shared" si="16"/>
        <v>1</v>
      </c>
      <c r="AD42" s="67"/>
      <c r="AE42" s="68"/>
      <c r="AF42" s="68"/>
      <c r="AG42" s="68"/>
      <c r="AH42" s="68"/>
      <c r="AI42" s="68"/>
      <c r="AJ42" s="68"/>
      <c r="AL42" s="225"/>
      <c r="AM42" s="398">
        <v>42040</v>
      </c>
      <c r="AN42" s="354">
        <v>17906.150000000001</v>
      </c>
      <c r="AO42" s="146">
        <v>7315.8927000000003</v>
      </c>
      <c r="AP42" s="147">
        <v>304</v>
      </c>
      <c r="AQ42" s="59">
        <v>42040</v>
      </c>
      <c r="AR42" s="183">
        <v>17906.150000000001</v>
      </c>
      <c r="AS42" s="61">
        <f t="shared" si="11"/>
        <v>1</v>
      </c>
      <c r="AT42" s="188">
        <f t="shared" si="12"/>
        <v>6</v>
      </c>
      <c r="AU42" s="411" t="s">
        <v>30</v>
      </c>
      <c r="AV42" s="404">
        <v>172511.33</v>
      </c>
      <c r="AW42" s="405">
        <v>-8086.6392636499968</v>
      </c>
      <c r="AX42" s="406">
        <v>882</v>
      </c>
      <c r="AY42" s="184">
        <v>172511.33</v>
      </c>
      <c r="AZ42" s="68"/>
      <c r="BE42" s="55"/>
      <c r="BF42" s="55"/>
      <c r="BG42" s="55"/>
      <c r="BH42" s="55"/>
      <c r="BI42" s="55"/>
      <c r="BJ42" s="55"/>
      <c r="BT42" s="277"/>
      <c r="BU42" s="277"/>
      <c r="BV42" s="277"/>
      <c r="BW42" s="277"/>
      <c r="BX42" s="277"/>
      <c r="BY42" s="277"/>
      <c r="CI42" s="103"/>
      <c r="CJ42" s="304" t="s">
        <v>2645</v>
      </c>
      <c r="CK42" s="314">
        <v>4.21</v>
      </c>
      <c r="CL42" s="300">
        <v>1</v>
      </c>
      <c r="CM42" s="294" t="str" cm="1">
        <f t="array" ref="CM42">IFERROR(_xlfn.IFS($CN$40="Sales",CJ42,$CN$40="Profit",CJ48),"")</f>
        <v>Walla Walla</v>
      </c>
      <c r="CN42" s="276" cm="1">
        <f t="array" ref="CN42">IFERROR(_xlfn.IFS($CN$40="Sales",CK42,$CN$40="Profit",CK48),"")</f>
        <v>-2.87</v>
      </c>
      <c r="CO42" s="293" cm="1">
        <f t="array" ref="CO42">IFERROR(_xlfn.IFS($CN$40="Sales",CL42,$CN$40="Profit",CL48),"")</f>
        <v>1</v>
      </c>
    </row>
    <row r="43" spans="2:93" ht="15.75" thickBot="1" x14ac:dyDescent="0.3">
      <c r="B43" s="357" t="s">
        <v>3070</v>
      </c>
      <c r="C43" s="354">
        <v>1589.65</v>
      </c>
      <c r="D43" s="146">
        <v>1493.36</v>
      </c>
      <c r="E43" s="146">
        <v>1957.71</v>
      </c>
      <c r="F43" s="146">
        <v>3560.59</v>
      </c>
      <c r="G43" s="146">
        <v>1094.8399999999999</v>
      </c>
      <c r="H43" s="146">
        <v>476.99</v>
      </c>
      <c r="I43" s="146">
        <v>334.03</v>
      </c>
      <c r="J43" s="146">
        <v>93.03</v>
      </c>
      <c r="K43" s="146">
        <v>1942.03</v>
      </c>
      <c r="L43" s="146">
        <v>1903.64</v>
      </c>
      <c r="M43" s="146">
        <v>1777.19</v>
      </c>
      <c r="N43" s="146">
        <v>498.16</v>
      </c>
      <c r="O43" s="146">
        <v>46.54</v>
      </c>
      <c r="P43" s="146">
        <v>163.95</v>
      </c>
      <c r="Q43" s="146">
        <v>2349.54</v>
      </c>
      <c r="R43" s="146">
        <v>4397.51</v>
      </c>
      <c r="S43" s="147">
        <v>1069.67</v>
      </c>
      <c r="T43" s="55"/>
      <c r="U43" s="225" t="s">
        <v>584</v>
      </c>
      <c r="V43" s="366">
        <v>10027.83</v>
      </c>
      <c r="W43" s="359">
        <v>4236.1898000000019</v>
      </c>
      <c r="X43" s="359">
        <v>137.12</v>
      </c>
      <c r="Y43" s="361">
        <v>5073.0013999999992</v>
      </c>
      <c r="Z43" s="78"/>
      <c r="AA43" s="160" t="str">
        <f t="shared" si="18"/>
        <v>Rhode Island</v>
      </c>
      <c r="AB43" s="171">
        <v>10027.83</v>
      </c>
      <c r="AC43" s="144">
        <f t="shared" si="16"/>
        <v>1</v>
      </c>
      <c r="AD43" s="67"/>
      <c r="AE43" s="68"/>
      <c r="AF43" s="68"/>
      <c r="AG43" s="68"/>
      <c r="AH43" s="68"/>
      <c r="AI43" s="68"/>
      <c r="AJ43" s="68"/>
      <c r="AL43" s="225"/>
      <c r="AM43" s="398">
        <v>42041</v>
      </c>
      <c r="AN43" s="354">
        <v>9149.27</v>
      </c>
      <c r="AO43" s="146">
        <v>-1083.0096832000004</v>
      </c>
      <c r="AP43" s="147">
        <v>167</v>
      </c>
      <c r="AQ43" s="59">
        <v>42041</v>
      </c>
      <c r="AR43" s="183">
        <v>9149.27</v>
      </c>
      <c r="AS43" s="61">
        <f t="shared" si="11"/>
        <v>1</v>
      </c>
      <c r="AT43" s="188">
        <f t="shared" si="12"/>
        <v>6</v>
      </c>
      <c r="AU43" s="412" t="s">
        <v>135</v>
      </c>
      <c r="AV43" s="407">
        <v>198764.49</v>
      </c>
      <c r="AW43" s="408">
        <v>40790.514240000011</v>
      </c>
      <c r="AX43" s="409">
        <v>2358</v>
      </c>
      <c r="AY43" s="198">
        <v>198764.49</v>
      </c>
      <c r="AZ43" s="68"/>
      <c r="BE43" s="55"/>
      <c r="BF43" s="55"/>
      <c r="BG43" s="55"/>
      <c r="BH43" s="55"/>
      <c r="BI43" s="55"/>
      <c r="BJ43" s="55"/>
      <c r="BT43" s="277"/>
      <c r="BU43" s="277"/>
      <c r="BV43" s="277"/>
      <c r="BW43" s="277"/>
      <c r="BX43" s="277"/>
      <c r="BY43" s="277"/>
      <c r="CI43" s="103"/>
      <c r="CJ43" s="289" t="s">
        <v>1385</v>
      </c>
      <c r="CK43" s="315">
        <v>6.97</v>
      </c>
      <c r="CL43" s="277">
        <v>2</v>
      </c>
      <c r="CM43" s="294" t="str" cm="1">
        <f t="array" ref="CM43">IFERROR(_xlfn.IFS($CN$40="Sales",CJ43,$CN$40="Profit",CJ49),"")</f>
        <v>Laguna Hills</v>
      </c>
      <c r="CN43" s="276" cm="1">
        <f t="array" ref="CN43">IFERROR(_xlfn.IFS($CN$40="Sales",CK43,$CN$40="Profit",CK49),"")</f>
        <v>-8.2799999999999994</v>
      </c>
      <c r="CO43" s="293" cm="1">
        <f t="array" ref="CO43">IFERROR(_xlfn.IFS($CN$40="Sales",CL43,$CN$40="Profit",CL49),"")</f>
        <v>2</v>
      </c>
    </row>
    <row r="44" spans="2:93" ht="15.75" thickBot="1" x14ac:dyDescent="0.3">
      <c r="B44" s="358" t="s">
        <v>3067</v>
      </c>
      <c r="C44" s="355">
        <v>63575.30750000001</v>
      </c>
      <c r="D44" s="149">
        <v>118736.65956999996</v>
      </c>
      <c r="E44" s="149">
        <v>102232.04860000002</v>
      </c>
      <c r="F44" s="149">
        <v>185578.72030000004</v>
      </c>
      <c r="G44" s="149">
        <v>88063.341020000007</v>
      </c>
      <c r="H44" s="149">
        <v>69426.371020000006</v>
      </c>
      <c r="I44" s="149">
        <v>10839.390200000003</v>
      </c>
      <c r="J44" s="149">
        <v>-2449.6509999999998</v>
      </c>
      <c r="K44" s="149">
        <v>73874.870899999951</v>
      </c>
      <c r="L44" s="149">
        <v>291591.74163600011</v>
      </c>
      <c r="M44" s="149">
        <v>43520.094930000014</v>
      </c>
      <c r="N44" s="149">
        <v>24464.237400000024</v>
      </c>
      <c r="O44" s="149">
        <v>3203.0036631999988</v>
      </c>
      <c r="P44" s="149">
        <v>7592.6965000000009</v>
      </c>
      <c r="Q44" s="149">
        <v>158498.95500000005</v>
      </c>
      <c r="R44" s="149">
        <v>165993.28786364995</v>
      </c>
      <c r="S44" s="150">
        <v>145892.37596</v>
      </c>
      <c r="T44" s="55"/>
      <c r="U44" s="225" t="s">
        <v>271</v>
      </c>
      <c r="V44" s="366">
        <v>16544.63</v>
      </c>
      <c r="W44" s="359">
        <v>13558.719863200004</v>
      </c>
      <c r="X44" s="359">
        <v>333.17</v>
      </c>
      <c r="Y44" s="361">
        <v>1695.7832368000002</v>
      </c>
      <c r="Z44" s="78"/>
      <c r="AA44" s="160" t="str">
        <f t="shared" si="18"/>
        <v>South Carolina</v>
      </c>
      <c r="AB44" s="171">
        <v>16544.63</v>
      </c>
      <c r="AC44" s="144">
        <f t="shared" si="16"/>
        <v>1</v>
      </c>
      <c r="AD44" s="67"/>
      <c r="AE44" s="68"/>
      <c r="AF44" s="68"/>
      <c r="AG44" s="68"/>
      <c r="AH44" s="68"/>
      <c r="AI44" s="68"/>
      <c r="AJ44" s="68"/>
      <c r="AL44" s="225"/>
      <c r="AM44" s="398">
        <v>42042</v>
      </c>
      <c r="AN44" s="354">
        <v>4720.29</v>
      </c>
      <c r="AO44" s="146">
        <v>715.13743999999997</v>
      </c>
      <c r="AP44" s="147">
        <v>226</v>
      </c>
      <c r="AQ44" s="59">
        <v>42042</v>
      </c>
      <c r="AR44" s="183">
        <v>4720.29</v>
      </c>
      <c r="AS44" s="61">
        <f t="shared" si="11"/>
        <v>1</v>
      </c>
      <c r="AT44" s="188">
        <f t="shared" si="12"/>
        <v>6</v>
      </c>
      <c r="AU44" s="68"/>
      <c r="AV44" s="68"/>
      <c r="AW44" s="68"/>
      <c r="AX44" s="68"/>
      <c r="AY44" s="68"/>
      <c r="AZ44" s="68"/>
      <c r="BE44" s="55"/>
      <c r="BF44" s="55"/>
      <c r="BG44" s="55"/>
      <c r="BH44" s="55"/>
      <c r="BI44" s="55"/>
      <c r="BJ44" s="55"/>
      <c r="BT44" s="277"/>
      <c r="BU44" s="277"/>
      <c r="BV44" s="277"/>
      <c r="BW44" s="277"/>
      <c r="BX44" s="277"/>
      <c r="BY44" s="277"/>
      <c r="CI44" s="103"/>
      <c r="CJ44" s="295" t="s">
        <v>2607</v>
      </c>
      <c r="CK44" s="316">
        <v>5.9</v>
      </c>
      <c r="CL44" s="417">
        <v>1</v>
      </c>
      <c r="CM44" s="294" t="str" cm="1">
        <f t="array" ref="CM44">IFERROR(_xlfn.IFS($CN$40="Sales",CJ44,$CN$40="Profit",CJ50),"")</f>
        <v>Janesville</v>
      </c>
      <c r="CN44" s="276" cm="1">
        <f t="array" ref="CN44">IFERROR(_xlfn.IFS($CN$40="Sales",CK44,$CN$40="Profit",CK50),"")</f>
        <v>-5.54</v>
      </c>
      <c r="CO44" s="293" cm="1">
        <f t="array" ref="CO44">IFERROR(_xlfn.IFS($CN$40="Sales",CL44,$CN$40="Profit",CL50),"")</f>
        <v>1</v>
      </c>
    </row>
    <row r="45" spans="2:93" x14ac:dyDescent="0.25">
      <c r="B45" s="157"/>
      <c r="C45" s="140"/>
      <c r="D45" s="142"/>
      <c r="E45" s="68"/>
      <c r="F45" s="68"/>
      <c r="G45" s="68"/>
      <c r="H45" s="60"/>
      <c r="I45" s="68"/>
      <c r="J45" s="68"/>
      <c r="K45" s="68"/>
      <c r="L45" s="68"/>
      <c r="M45" s="68"/>
      <c r="N45" s="68"/>
      <c r="O45" s="68"/>
      <c r="P45" s="68"/>
      <c r="Q45" s="68"/>
      <c r="R45" s="68"/>
      <c r="S45" s="68"/>
      <c r="T45" s="55"/>
      <c r="U45" s="225" t="s">
        <v>1071</v>
      </c>
      <c r="V45" s="366">
        <v>1550.49</v>
      </c>
      <c r="W45" s="359">
        <v>1003.3662</v>
      </c>
      <c r="X45" s="359">
        <v>89.87</v>
      </c>
      <c r="Y45" s="361">
        <v>431.18619999999999</v>
      </c>
      <c r="Z45" s="78"/>
      <c r="AA45" s="160" t="str">
        <f t="shared" si="18"/>
        <v>South Dakota</v>
      </c>
      <c r="AB45" s="171">
        <v>1550.49</v>
      </c>
      <c r="AC45" s="144">
        <f t="shared" si="16"/>
        <v>1</v>
      </c>
      <c r="AD45" s="67"/>
      <c r="AE45" s="68"/>
      <c r="AF45" s="68"/>
      <c r="AG45" s="68"/>
      <c r="AH45" s="68"/>
      <c r="AI45" s="68"/>
      <c r="AJ45" s="68"/>
      <c r="AL45" s="225"/>
      <c r="AM45" s="398">
        <v>42043</v>
      </c>
      <c r="AN45" s="354">
        <v>1404.04</v>
      </c>
      <c r="AO45" s="146">
        <v>-646.52010000000007</v>
      </c>
      <c r="AP45" s="147">
        <v>10</v>
      </c>
      <c r="AQ45" s="59">
        <v>42043</v>
      </c>
      <c r="AR45" s="183">
        <v>1404.04</v>
      </c>
      <c r="AS45" s="61">
        <f t="shared" si="11"/>
        <v>1</v>
      </c>
      <c r="AT45" s="188">
        <f t="shared" si="12"/>
        <v>7</v>
      </c>
      <c r="AU45" s="68"/>
      <c r="AV45" s="68"/>
      <c r="AW45" s="68"/>
      <c r="AX45" s="68"/>
      <c r="AY45" s="68"/>
      <c r="AZ45" s="68"/>
      <c r="BE45" s="55"/>
      <c r="BF45" s="55"/>
      <c r="BG45" s="55"/>
      <c r="BH45" s="55"/>
      <c r="BI45" s="55"/>
      <c r="BJ45" s="55"/>
      <c r="BT45" s="277"/>
      <c r="BU45" s="277"/>
      <c r="BV45" s="277"/>
      <c r="BW45" s="277"/>
      <c r="BX45" s="277"/>
      <c r="BY45" s="277"/>
      <c r="CJ45" s="294"/>
      <c r="CM45" s="294"/>
      <c r="CO45" s="293"/>
    </row>
    <row r="46" spans="2:93" ht="15.75" thickBot="1" x14ac:dyDescent="0.3">
      <c r="B46" s="143" t="s">
        <v>3066</v>
      </c>
      <c r="C46" s="68" t="s">
        <v>95</v>
      </c>
      <c r="D46" s="144"/>
      <c r="E46" s="68"/>
      <c r="F46" s="68"/>
      <c r="G46" s="68"/>
      <c r="H46" s="60"/>
      <c r="I46" s="68"/>
      <c r="J46" s="68"/>
      <c r="K46" s="68"/>
      <c r="L46" s="68"/>
      <c r="M46" s="68"/>
      <c r="N46" s="68"/>
      <c r="O46" s="68"/>
      <c r="P46" s="68"/>
      <c r="Q46" s="68"/>
      <c r="R46" s="68"/>
      <c r="S46" s="68"/>
      <c r="T46" s="55"/>
      <c r="U46" s="225" t="s">
        <v>400</v>
      </c>
      <c r="V46" s="366">
        <v>33209.760000000002</v>
      </c>
      <c r="W46" s="359">
        <v>32290.383500000004</v>
      </c>
      <c r="X46" s="359">
        <v>632.63</v>
      </c>
      <c r="Y46" s="361">
        <v>-1603.4634000000008</v>
      </c>
      <c r="Z46" s="78"/>
      <c r="AA46" s="160" t="str">
        <f t="shared" si="18"/>
        <v>Tennessee</v>
      </c>
      <c r="AB46" s="171">
        <v>33209.760000000002</v>
      </c>
      <c r="AC46" s="144">
        <f t="shared" si="16"/>
        <v>1</v>
      </c>
      <c r="AD46" s="67"/>
      <c r="AE46" s="68"/>
      <c r="AF46" s="68"/>
      <c r="AG46" s="68"/>
      <c r="AH46" s="68"/>
      <c r="AI46" s="68"/>
      <c r="AJ46" s="68"/>
      <c r="AL46" s="225"/>
      <c r="AM46" s="398">
        <v>42044</v>
      </c>
      <c r="AN46" s="354">
        <v>570.14</v>
      </c>
      <c r="AO46" s="146">
        <v>-40.449619999999996</v>
      </c>
      <c r="AP46" s="147">
        <v>37</v>
      </c>
      <c r="AQ46" s="59">
        <v>42044</v>
      </c>
      <c r="AR46" s="183">
        <v>570.14</v>
      </c>
      <c r="AS46" s="61">
        <f t="shared" si="11"/>
        <v>1</v>
      </c>
      <c r="AT46" s="188">
        <f t="shared" si="12"/>
        <v>7</v>
      </c>
      <c r="AU46" s="68"/>
      <c r="AV46" s="68"/>
      <c r="AW46" s="68"/>
      <c r="AX46" s="68"/>
      <c r="AY46" s="68"/>
      <c r="AZ46" s="68"/>
      <c r="BE46" s="55"/>
      <c r="BF46" s="55"/>
      <c r="BG46" s="55"/>
      <c r="BH46" s="55"/>
      <c r="BI46" s="55"/>
      <c r="BJ46" s="55"/>
      <c r="BT46" s="277"/>
      <c r="BU46" s="277"/>
      <c r="BV46" s="277"/>
      <c r="BW46" s="277"/>
      <c r="BX46" s="277"/>
      <c r="BY46" s="277"/>
      <c r="CI46" s="103"/>
      <c r="CJ46" s="289" t="s">
        <v>3103</v>
      </c>
      <c r="CK46" s="287"/>
      <c r="CL46" s="277"/>
      <c r="CM46" s="294"/>
      <c r="CO46" s="293"/>
    </row>
    <row r="47" spans="2:93" s="153" customFormat="1" ht="15.75" thickBot="1" x14ac:dyDescent="0.3">
      <c r="B47" s="272" t="s">
        <v>135</v>
      </c>
      <c r="C47" s="273"/>
      <c r="D47" s="274"/>
      <c r="E47" s="154"/>
      <c r="F47" s="218">
        <v>12</v>
      </c>
      <c r="G47" s="154"/>
      <c r="H47" s="155"/>
      <c r="I47" s="154"/>
      <c r="J47" s="154"/>
      <c r="K47" s="154"/>
      <c r="L47" s="154"/>
      <c r="M47" s="154"/>
      <c r="N47" s="154"/>
      <c r="O47" s="154"/>
      <c r="P47" s="154"/>
      <c r="Q47" s="154"/>
      <c r="R47" s="154"/>
      <c r="S47" s="154"/>
      <c r="U47" s="369" t="s">
        <v>187</v>
      </c>
      <c r="V47" s="367">
        <v>91937.13</v>
      </c>
      <c r="W47" s="360">
        <v>58783.030040000012</v>
      </c>
      <c r="X47" s="360">
        <v>1408.72</v>
      </c>
      <c r="Y47" s="362">
        <v>27288.386660000004</v>
      </c>
      <c r="Z47" s="156"/>
      <c r="AA47" s="172" t="str">
        <f t="shared" si="18"/>
        <v>Texas</v>
      </c>
      <c r="AB47" s="173">
        <v>91937.13</v>
      </c>
      <c r="AC47" s="174">
        <f t="shared" si="16"/>
        <v>1</v>
      </c>
      <c r="AD47" s="154"/>
      <c r="AE47" s="154"/>
      <c r="AF47" s="154"/>
      <c r="AG47" s="154"/>
      <c r="AH47" s="154"/>
      <c r="AI47" s="154"/>
      <c r="AJ47" s="154"/>
      <c r="AL47" s="225"/>
      <c r="AM47" s="398">
        <v>42045</v>
      </c>
      <c r="AN47" s="416">
        <v>13160.58</v>
      </c>
      <c r="AO47" s="413">
        <v>1029.4508600000001</v>
      </c>
      <c r="AP47" s="414">
        <v>341</v>
      </c>
      <c r="AQ47" s="190">
        <v>42045</v>
      </c>
      <c r="AR47" s="191">
        <v>13160.58</v>
      </c>
      <c r="AS47" s="192">
        <f t="shared" si="11"/>
        <v>1</v>
      </c>
      <c r="AT47" s="193">
        <f t="shared" si="12"/>
        <v>7</v>
      </c>
      <c r="AU47" s="154"/>
      <c r="AV47" s="154"/>
      <c r="AW47" s="154"/>
      <c r="AX47" s="154"/>
      <c r="AY47" s="154"/>
      <c r="AZ47" s="154"/>
      <c r="BT47" s="277"/>
      <c r="BU47" s="277"/>
      <c r="BV47" s="277"/>
      <c r="BW47" s="277"/>
      <c r="BX47" s="277"/>
      <c r="BY47" s="277"/>
      <c r="CI47" s="103"/>
      <c r="CJ47" s="317" t="s">
        <v>3104</v>
      </c>
      <c r="CK47" s="318" t="s">
        <v>20</v>
      </c>
      <c r="CL47" s="319" t="s">
        <v>3016</v>
      </c>
      <c r="CM47" s="294"/>
      <c r="CN47" s="56"/>
      <c r="CO47" s="293"/>
    </row>
    <row r="48" spans="2:93" x14ac:dyDescent="0.25">
      <c r="B48" s="151" t="str">
        <f>B41</f>
        <v>Σ Discount</v>
      </c>
      <c r="C48" s="203" cm="1">
        <f t="array" ref="C48:C51">INDEX($C$41:$S$44,,_xlfn.XMATCH(B47,C40:S40))</f>
        <v>11011.929799999998</v>
      </c>
      <c r="D48" s="152">
        <f>C48/$C$53</f>
        <v>5.5401896988742795E-2</v>
      </c>
      <c r="E48" s="68"/>
      <c r="F48" s="218" t="s">
        <v>3090</v>
      </c>
      <c r="G48" s="68"/>
      <c r="H48" s="60"/>
      <c r="I48" s="68"/>
      <c r="J48" s="68"/>
      <c r="K48" s="68"/>
      <c r="L48" s="68"/>
      <c r="M48" s="68"/>
      <c r="N48" s="68"/>
      <c r="O48" s="68"/>
      <c r="P48" s="68"/>
      <c r="Q48" s="68"/>
      <c r="R48" s="68"/>
      <c r="S48" s="68"/>
      <c r="T48" s="55"/>
      <c r="U48" s="225" t="s">
        <v>146</v>
      </c>
      <c r="V48" s="366">
        <v>26981.67</v>
      </c>
      <c r="W48" s="359">
        <v>20730.453920000004</v>
      </c>
      <c r="X48" s="359">
        <v>568.74</v>
      </c>
      <c r="Y48" s="361">
        <v>3931.8369799999996</v>
      </c>
      <c r="Z48" s="78"/>
      <c r="AA48" s="160" t="str">
        <f t="shared" si="18"/>
        <v>Utah</v>
      </c>
      <c r="AB48" s="171">
        <v>26981.67</v>
      </c>
      <c r="AC48" s="144">
        <f t="shared" si="16"/>
        <v>1</v>
      </c>
      <c r="AD48" s="67"/>
      <c r="AE48" s="68"/>
      <c r="AF48" s="68"/>
      <c r="AG48" s="68"/>
      <c r="AH48" s="68"/>
      <c r="AI48" s="68"/>
      <c r="AJ48" s="68"/>
      <c r="AL48" s="225"/>
      <c r="AM48" s="398">
        <v>42046</v>
      </c>
      <c r="AN48" s="354">
        <v>23856.93</v>
      </c>
      <c r="AO48" s="146">
        <v>-2239.0020999999992</v>
      </c>
      <c r="AP48" s="147">
        <v>122</v>
      </c>
      <c r="AQ48" s="59">
        <v>42046</v>
      </c>
      <c r="AR48" s="183">
        <v>23856.93</v>
      </c>
      <c r="AS48" s="61">
        <f t="shared" si="11"/>
        <v>1</v>
      </c>
      <c r="AT48" s="188">
        <f t="shared" si="12"/>
        <v>7</v>
      </c>
      <c r="AU48" s="68"/>
      <c r="AV48" s="68"/>
      <c r="AW48" s="68"/>
      <c r="AX48" s="68"/>
      <c r="AY48" s="68"/>
      <c r="AZ48" s="68"/>
      <c r="BE48" s="55"/>
      <c r="BF48" s="55"/>
      <c r="BG48" s="55"/>
      <c r="BH48" s="55"/>
      <c r="BI48" s="55"/>
      <c r="BJ48" s="55"/>
      <c r="BT48" s="277"/>
      <c r="BU48" s="277"/>
      <c r="BV48" s="277"/>
      <c r="BW48" s="277"/>
      <c r="BX48" s="277"/>
      <c r="BY48" s="277"/>
      <c r="CI48" s="103"/>
      <c r="CJ48" s="304" t="s">
        <v>2607</v>
      </c>
      <c r="CK48" s="314">
        <v>-2.87</v>
      </c>
      <c r="CL48" s="300">
        <v>1</v>
      </c>
      <c r="CM48" s="294"/>
      <c r="CO48" s="293"/>
    </row>
    <row r="49" spans="2:93" x14ac:dyDescent="0.25">
      <c r="B49" s="151" t="str">
        <f>IF(C49&lt;0,"Σ Loss",B42)</f>
        <v>Σ Profit</v>
      </c>
      <c r="C49" s="203">
        <v>40790.514240000011</v>
      </c>
      <c r="D49" s="152">
        <f>C49/$C$53</f>
        <v>0.20522033004989979</v>
      </c>
      <c r="E49" s="68"/>
      <c r="F49" s="218" t="s">
        <v>3090</v>
      </c>
      <c r="G49" s="68"/>
      <c r="H49" s="60"/>
      <c r="I49" s="68"/>
      <c r="J49" s="68"/>
      <c r="K49" s="68"/>
      <c r="L49" s="68"/>
      <c r="M49" s="68"/>
      <c r="N49" s="68"/>
      <c r="O49" s="68"/>
      <c r="P49" s="68"/>
      <c r="Q49" s="68"/>
      <c r="R49" s="68"/>
      <c r="S49" s="68"/>
      <c r="T49" s="55"/>
      <c r="U49" s="225" t="s">
        <v>633</v>
      </c>
      <c r="V49" s="366">
        <v>13491</v>
      </c>
      <c r="W49" s="359">
        <v>12072.956819999999</v>
      </c>
      <c r="X49" s="359">
        <v>236.06</v>
      </c>
      <c r="Y49" s="361">
        <v>530.14978000000019</v>
      </c>
      <c r="Z49" s="78"/>
      <c r="AA49" s="160" t="str">
        <f t="shared" si="18"/>
        <v>Vermont</v>
      </c>
      <c r="AB49" s="171">
        <v>13491</v>
      </c>
      <c r="AC49" s="144">
        <f t="shared" si="16"/>
        <v>1</v>
      </c>
      <c r="AD49" s="67"/>
      <c r="AE49" s="68"/>
      <c r="AF49" s="68"/>
      <c r="AG49" s="68"/>
      <c r="AH49" s="68"/>
      <c r="AI49" s="68"/>
      <c r="AJ49" s="68"/>
      <c r="AL49" s="225"/>
      <c r="AM49" s="398">
        <v>42047</v>
      </c>
      <c r="AN49" s="354">
        <v>3233.9</v>
      </c>
      <c r="AO49" s="146">
        <v>1262.82962</v>
      </c>
      <c r="AP49" s="147">
        <v>56</v>
      </c>
      <c r="AQ49" s="59">
        <v>42047</v>
      </c>
      <c r="AR49" s="183">
        <v>3233.9</v>
      </c>
      <c r="AS49" s="61">
        <f t="shared" si="11"/>
        <v>1</v>
      </c>
      <c r="AT49" s="188">
        <f t="shared" si="12"/>
        <v>7</v>
      </c>
      <c r="AU49" s="68"/>
      <c r="AV49" s="68"/>
      <c r="AW49" s="68"/>
      <c r="AX49" s="68"/>
      <c r="AY49" s="68"/>
      <c r="AZ49" s="68"/>
      <c r="BE49" s="55"/>
      <c r="BF49" s="55"/>
      <c r="BG49" s="55"/>
      <c r="BH49" s="55"/>
      <c r="BI49" s="55"/>
      <c r="BJ49" s="55"/>
      <c r="BT49" s="277"/>
      <c r="BU49" s="277"/>
      <c r="BV49" s="277"/>
      <c r="BW49" s="277"/>
      <c r="BX49" s="277"/>
      <c r="BY49" s="277"/>
      <c r="CI49" s="103"/>
      <c r="CJ49" s="289" t="s">
        <v>1385</v>
      </c>
      <c r="CK49" s="315">
        <v>-8.2799999999999994</v>
      </c>
      <c r="CL49" s="277">
        <v>2</v>
      </c>
      <c r="CM49" s="294"/>
      <c r="CO49" s="293"/>
    </row>
    <row r="50" spans="2:93" ht="15.75" thickBot="1" x14ac:dyDescent="0.3">
      <c r="B50" s="151" t="str">
        <f>B43</f>
        <v>Σ Shipping</v>
      </c>
      <c r="C50" s="203">
        <v>1069.67</v>
      </c>
      <c r="D50" s="152">
        <f>C50/$C$53</f>
        <v>5.3815950726409933E-3</v>
      </c>
      <c r="E50" s="68"/>
      <c r="F50" s="218" t="s">
        <v>3090</v>
      </c>
      <c r="G50" s="68"/>
      <c r="H50" s="60"/>
      <c r="I50" s="68"/>
      <c r="J50" s="68"/>
      <c r="K50" s="68"/>
      <c r="L50" s="68"/>
      <c r="M50" s="68"/>
      <c r="N50" s="68"/>
      <c r="O50" s="68"/>
      <c r="P50" s="68"/>
      <c r="Q50" s="68"/>
      <c r="R50" s="68"/>
      <c r="S50" s="68"/>
      <c r="T50" s="55"/>
      <c r="U50" s="225" t="s">
        <v>242</v>
      </c>
      <c r="V50" s="366">
        <v>45282.87</v>
      </c>
      <c r="W50" s="359">
        <v>44165.229599999999</v>
      </c>
      <c r="X50" s="359">
        <v>810.01</v>
      </c>
      <c r="Y50" s="361">
        <v>-1748.5516999999995</v>
      </c>
      <c r="Z50" s="78"/>
      <c r="AA50" s="160" t="str">
        <f t="shared" si="18"/>
        <v>Virginia</v>
      </c>
      <c r="AB50" s="171">
        <v>45282.87</v>
      </c>
      <c r="AC50" s="144">
        <f t="shared" si="16"/>
        <v>1</v>
      </c>
      <c r="AD50" s="67"/>
      <c r="AE50" s="68"/>
      <c r="AF50" s="68"/>
      <c r="AG50" s="68"/>
      <c r="AH50" s="68"/>
      <c r="AI50" s="68"/>
      <c r="AJ50" s="68"/>
      <c r="AL50" s="225"/>
      <c r="AM50" s="398">
        <v>42048</v>
      </c>
      <c r="AN50" s="354">
        <v>14090.4</v>
      </c>
      <c r="AO50" s="146">
        <v>3811.8667</v>
      </c>
      <c r="AP50" s="147">
        <v>101</v>
      </c>
      <c r="AQ50" s="59">
        <v>42048</v>
      </c>
      <c r="AR50" s="183">
        <v>14090.4</v>
      </c>
      <c r="AS50" s="61">
        <f t="shared" si="11"/>
        <v>1</v>
      </c>
      <c r="AT50" s="188">
        <f t="shared" si="12"/>
        <v>7</v>
      </c>
      <c r="AU50" s="68"/>
      <c r="AV50" s="68"/>
      <c r="AW50" s="68"/>
      <c r="AX50" s="68"/>
      <c r="AY50" s="68"/>
      <c r="AZ50" s="68"/>
      <c r="BE50" s="55"/>
      <c r="BF50" s="55"/>
      <c r="BG50" s="55"/>
      <c r="BH50" s="55"/>
      <c r="BI50" s="55"/>
      <c r="BJ50" s="55"/>
      <c r="BT50" s="277"/>
      <c r="BU50" s="277"/>
      <c r="BV50" s="277"/>
      <c r="BW50" s="277"/>
      <c r="BX50" s="277"/>
      <c r="BY50" s="277"/>
      <c r="CI50" s="103"/>
      <c r="CJ50" s="295" t="s">
        <v>2645</v>
      </c>
      <c r="CK50" s="316">
        <v>-5.54</v>
      </c>
      <c r="CL50" s="417">
        <v>1</v>
      </c>
      <c r="CM50" s="307"/>
      <c r="CN50" s="297"/>
      <c r="CO50" s="298"/>
    </row>
    <row r="51" spans="2:93" x14ac:dyDescent="0.25">
      <c r="B51" s="151" t="str">
        <f>B44</f>
        <v>Σ Costs</v>
      </c>
      <c r="C51" s="203">
        <v>145892.37596</v>
      </c>
      <c r="D51" s="152">
        <f>C51/$C$53</f>
        <v>0.73399617788871641</v>
      </c>
      <c r="E51" s="68"/>
      <c r="F51" s="218" t="s">
        <v>3090</v>
      </c>
      <c r="G51" s="68"/>
      <c r="H51" s="60"/>
      <c r="I51" s="68"/>
      <c r="J51" s="68"/>
      <c r="K51" s="68"/>
      <c r="L51" s="68"/>
      <c r="M51" s="68"/>
      <c r="N51" s="68"/>
      <c r="O51" s="68"/>
      <c r="P51" s="68"/>
      <c r="Q51" s="68"/>
      <c r="R51" s="68"/>
      <c r="S51" s="68"/>
      <c r="T51" s="55"/>
      <c r="U51" s="225" t="s">
        <v>67</v>
      </c>
      <c r="V51" s="366">
        <v>78048.649999999994</v>
      </c>
      <c r="W51" s="359">
        <v>73868.766250000001</v>
      </c>
      <c r="X51" s="359">
        <v>601.91</v>
      </c>
      <c r="Y51" s="361">
        <v>116.21885000000084</v>
      </c>
      <c r="Z51" s="78"/>
      <c r="AA51" s="160" t="str">
        <f t="shared" si="18"/>
        <v>Washington</v>
      </c>
      <c r="AB51" s="171">
        <v>78048.649999999994</v>
      </c>
      <c r="AC51" s="144">
        <f t="shared" si="16"/>
        <v>1</v>
      </c>
      <c r="AD51" s="67"/>
      <c r="AE51" s="68"/>
      <c r="AF51" s="68"/>
      <c r="AG51" s="68"/>
      <c r="AH51" s="68"/>
      <c r="AI51" s="68"/>
      <c r="AJ51" s="68"/>
      <c r="AL51" s="225"/>
      <c r="AM51" s="398">
        <v>42049</v>
      </c>
      <c r="AN51" s="354">
        <v>22401.48</v>
      </c>
      <c r="AO51" s="146">
        <v>3537.2705800000003</v>
      </c>
      <c r="AP51" s="147">
        <v>353</v>
      </c>
      <c r="AQ51" s="59">
        <v>42049</v>
      </c>
      <c r="AR51" s="183">
        <v>22401.48</v>
      </c>
      <c r="AS51" s="61">
        <f t="shared" si="11"/>
        <v>1</v>
      </c>
      <c r="AT51" s="188">
        <f t="shared" si="12"/>
        <v>7</v>
      </c>
      <c r="AU51" s="68"/>
      <c r="AV51" s="68"/>
      <c r="AW51" s="68"/>
      <c r="AX51" s="68"/>
      <c r="AY51" s="68"/>
      <c r="AZ51" s="68"/>
      <c r="BE51" s="55"/>
      <c r="BF51" s="55"/>
      <c r="BG51" s="55"/>
      <c r="BH51" s="55"/>
      <c r="BI51" s="55"/>
      <c r="BJ51" s="55"/>
      <c r="BT51" s="277"/>
      <c r="BU51" s="277"/>
      <c r="BV51" s="277"/>
      <c r="BW51" s="277"/>
      <c r="BX51" s="277"/>
      <c r="BY51" s="277"/>
      <c r="CI51" s="103"/>
      <c r="CJ51" s="277"/>
      <c r="CK51" s="277"/>
      <c r="CL51" s="277"/>
    </row>
    <row r="52" spans="2:93" x14ac:dyDescent="0.25">
      <c r="B52" s="159"/>
      <c r="C52" s="160"/>
      <c r="D52" s="161"/>
      <c r="E52" s="158"/>
      <c r="F52" s="68"/>
      <c r="G52" s="68"/>
      <c r="H52" s="60"/>
      <c r="I52" s="68"/>
      <c r="J52" s="68"/>
      <c r="K52" s="68"/>
      <c r="L52" s="68"/>
      <c r="M52" s="68"/>
      <c r="N52" s="68"/>
      <c r="O52" s="68"/>
      <c r="P52" s="68"/>
      <c r="Q52" s="68"/>
      <c r="R52" s="68"/>
      <c r="S52" s="68"/>
      <c r="T52" s="55"/>
      <c r="U52" s="225" t="s">
        <v>903</v>
      </c>
      <c r="V52" s="366">
        <v>10681.55</v>
      </c>
      <c r="W52" s="359">
        <v>5578.1517749999985</v>
      </c>
      <c r="X52" s="359">
        <v>132.79</v>
      </c>
      <c r="Y52" s="361">
        <v>4771.4638249999989</v>
      </c>
      <c r="Z52" s="78"/>
      <c r="AA52" s="160" t="str">
        <f t="shared" si="18"/>
        <v>West Virginia</v>
      </c>
      <c r="AB52" s="171">
        <v>10681.55</v>
      </c>
      <c r="AC52" s="144">
        <f t="shared" si="16"/>
        <v>1</v>
      </c>
      <c r="AD52" s="67"/>
      <c r="AE52" s="68"/>
      <c r="AF52" s="68"/>
      <c r="AG52" s="68"/>
      <c r="AH52" s="68"/>
      <c r="AI52" s="68"/>
      <c r="AJ52" s="68"/>
      <c r="AL52" s="225"/>
      <c r="AM52" s="398">
        <v>42050</v>
      </c>
      <c r="AN52" s="354">
        <v>16533.18</v>
      </c>
      <c r="AO52" s="146">
        <v>2709.6407160000008</v>
      </c>
      <c r="AP52" s="147">
        <v>189</v>
      </c>
      <c r="AQ52" s="59">
        <v>42050</v>
      </c>
      <c r="AR52" s="183">
        <v>16533.18</v>
      </c>
      <c r="AS52" s="61">
        <f t="shared" si="11"/>
        <v>1</v>
      </c>
      <c r="AT52" s="188">
        <f t="shared" si="12"/>
        <v>8</v>
      </c>
      <c r="AU52" s="68"/>
      <c r="AV52" s="68"/>
      <c r="AW52" s="68"/>
      <c r="AX52" s="68"/>
      <c r="AY52" s="68"/>
      <c r="AZ52" s="68"/>
      <c r="BE52" s="55"/>
      <c r="BF52" s="55"/>
      <c r="BG52" s="55"/>
      <c r="BH52" s="55"/>
      <c r="BI52" s="55"/>
      <c r="BJ52" s="55"/>
      <c r="BT52" s="277"/>
      <c r="BU52" s="277"/>
      <c r="BV52" s="277"/>
      <c r="BW52" s="277"/>
      <c r="BX52" s="277"/>
      <c r="BY52" s="277"/>
    </row>
    <row r="53" spans="2:93" ht="15.75" thickBot="1" x14ac:dyDescent="0.3">
      <c r="B53" s="162"/>
      <c r="C53" s="163">
        <f>SUM(_xlfn.ANCHORARRAY(C48))</f>
        <v>198764.49000000002</v>
      </c>
      <c r="D53" s="164">
        <f>SUM(D48:D51)</f>
        <v>1</v>
      </c>
      <c r="E53" s="68"/>
      <c r="F53" s="68"/>
      <c r="G53" s="68"/>
      <c r="H53" s="60"/>
      <c r="I53" s="68"/>
      <c r="J53" s="68"/>
      <c r="K53" s="68"/>
      <c r="L53" s="68"/>
      <c r="M53" s="68"/>
      <c r="N53" s="68"/>
      <c r="O53" s="68"/>
      <c r="P53" s="68"/>
      <c r="Q53" s="68"/>
      <c r="R53" s="68"/>
      <c r="S53" s="68"/>
      <c r="T53" s="55"/>
      <c r="U53" s="225" t="s">
        <v>357</v>
      </c>
      <c r="V53" s="366">
        <v>22770.35</v>
      </c>
      <c r="W53" s="359">
        <v>17155.860839999994</v>
      </c>
      <c r="X53" s="359">
        <v>404.98</v>
      </c>
      <c r="Y53" s="361">
        <v>3986.4100599999974</v>
      </c>
      <c r="Z53" s="78"/>
      <c r="AA53" s="160" t="str">
        <f t="shared" si="18"/>
        <v>Wisconsin</v>
      </c>
      <c r="AB53" s="171">
        <v>22770.35</v>
      </c>
      <c r="AC53" s="144">
        <f t="shared" si="16"/>
        <v>1</v>
      </c>
      <c r="AD53" s="67"/>
      <c r="AE53" s="68"/>
      <c r="AF53" s="68"/>
      <c r="AG53" s="68"/>
      <c r="AH53" s="68"/>
      <c r="AI53" s="68"/>
      <c r="AJ53" s="68"/>
      <c r="AL53" s="225"/>
      <c r="AM53" s="398">
        <v>42051</v>
      </c>
      <c r="AN53" s="354">
        <v>16120.57</v>
      </c>
      <c r="AO53" s="146">
        <v>170.10927092000014</v>
      </c>
      <c r="AP53" s="147">
        <v>199</v>
      </c>
      <c r="AQ53" s="59">
        <v>42051</v>
      </c>
      <c r="AR53" s="183">
        <v>16120.57</v>
      </c>
      <c r="AS53" s="61">
        <f t="shared" si="11"/>
        <v>1</v>
      </c>
      <c r="AT53" s="188">
        <f t="shared" si="12"/>
        <v>8</v>
      </c>
      <c r="AU53" s="68"/>
      <c r="AV53" s="68"/>
      <c r="AW53" s="68"/>
      <c r="AX53" s="68"/>
      <c r="AY53" s="68"/>
      <c r="AZ53" s="68"/>
      <c r="BE53" s="55"/>
      <c r="BF53" s="55"/>
      <c r="BG53" s="55"/>
      <c r="BH53" s="55"/>
      <c r="BI53" s="55"/>
      <c r="BJ53" s="55"/>
      <c r="BT53" s="277"/>
      <c r="BU53" s="277"/>
      <c r="BV53" s="277"/>
      <c r="BW53" s="277"/>
      <c r="BX53" s="277"/>
      <c r="BY53" s="277"/>
    </row>
    <row r="54" spans="2:93" ht="15.75" thickBot="1" x14ac:dyDescent="0.3">
      <c r="B54" s="97"/>
      <c r="C54" s="97"/>
      <c r="D54" s="98"/>
      <c r="E54" s="98"/>
      <c r="F54" s="98"/>
      <c r="G54" s="98"/>
      <c r="H54" s="99"/>
      <c r="I54" s="98"/>
      <c r="J54" s="98"/>
      <c r="K54" s="98"/>
      <c r="L54" s="98"/>
      <c r="M54" s="98"/>
      <c r="N54" s="98"/>
      <c r="O54" s="98"/>
      <c r="P54" s="98"/>
      <c r="Q54" s="98"/>
      <c r="R54" s="98"/>
      <c r="S54" s="98"/>
      <c r="T54" s="55"/>
      <c r="U54" s="226" t="s">
        <v>1060</v>
      </c>
      <c r="V54" s="368">
        <v>1183.54</v>
      </c>
      <c r="W54" s="363">
        <v>372.01139999999998</v>
      </c>
      <c r="X54" s="363">
        <v>22.8</v>
      </c>
      <c r="Y54" s="364">
        <v>735.22500000000002</v>
      </c>
      <c r="Z54" s="100"/>
      <c r="AA54" s="101" t="str">
        <f>U54</f>
        <v>Wyoming</v>
      </c>
      <c r="AB54" s="102">
        <v>1183.54</v>
      </c>
      <c r="AC54" s="175">
        <f t="shared" si="16"/>
        <v>1</v>
      </c>
      <c r="AD54" s="67"/>
      <c r="AE54" s="68"/>
      <c r="AF54" s="68"/>
      <c r="AG54" s="68"/>
      <c r="AH54" s="68"/>
      <c r="AI54" s="68"/>
      <c r="AJ54" s="68"/>
      <c r="AL54" s="225"/>
      <c r="AM54" s="398">
        <v>42052</v>
      </c>
      <c r="AN54" s="354">
        <v>1076.3900000000001</v>
      </c>
      <c r="AO54" s="146">
        <v>516.97569999999996</v>
      </c>
      <c r="AP54" s="147">
        <v>25</v>
      </c>
      <c r="AQ54" s="59">
        <v>42052</v>
      </c>
      <c r="AR54" s="183">
        <v>1076.3900000000001</v>
      </c>
      <c r="AS54" s="61">
        <f t="shared" si="11"/>
        <v>1</v>
      </c>
      <c r="AT54" s="188">
        <f t="shared" si="12"/>
        <v>8</v>
      </c>
      <c r="AU54" s="68"/>
      <c r="AV54" s="68"/>
      <c r="AW54" s="68"/>
      <c r="AX54" s="68"/>
      <c r="AY54" s="68"/>
      <c r="AZ54" s="68"/>
      <c r="BE54" s="55"/>
      <c r="BF54" s="55"/>
      <c r="BG54" s="55"/>
      <c r="BH54" s="55"/>
      <c r="BI54" s="55"/>
      <c r="BJ54" s="55"/>
      <c r="BT54" s="277"/>
      <c r="BU54" s="277"/>
      <c r="BV54" s="277"/>
      <c r="BW54" s="277"/>
      <c r="BX54" s="277"/>
      <c r="BY54" s="277"/>
    </row>
    <row r="55" spans="2:93" x14ac:dyDescent="0.25">
      <c r="B55" s="97"/>
      <c r="C55" s="97"/>
      <c r="D55" s="98"/>
      <c r="E55" s="98"/>
      <c r="F55" s="98"/>
      <c r="G55" s="98"/>
      <c r="H55" s="98"/>
      <c r="I55" s="98"/>
      <c r="J55" s="98"/>
      <c r="K55" s="98"/>
      <c r="L55" s="98"/>
      <c r="M55" s="98"/>
      <c r="N55" s="98"/>
      <c r="O55" s="98"/>
      <c r="P55" s="98"/>
      <c r="Q55" s="98"/>
      <c r="R55" s="98"/>
      <c r="S55" s="98"/>
      <c r="T55" s="55"/>
      <c r="U55" s="143"/>
      <c r="V55" s="68"/>
      <c r="W55" s="68"/>
      <c r="X55" s="68"/>
      <c r="Y55" s="68"/>
      <c r="Z55" s="68"/>
      <c r="AA55" s="160" t="s">
        <v>3051</v>
      </c>
      <c r="AB55" s="171">
        <f>SUM(_xlfn.ANCHORARRAY(AB6))</f>
        <v>1881524.7700000003</v>
      </c>
      <c r="AC55" s="144">
        <f>SUM(AC6:AC54)</f>
        <v>49</v>
      </c>
      <c r="AD55" s="67"/>
      <c r="AE55" s="68"/>
      <c r="AF55" s="68"/>
      <c r="AG55" s="68"/>
      <c r="AH55" s="68"/>
      <c r="AI55" s="68"/>
      <c r="AJ55" s="68"/>
      <c r="AL55" s="225"/>
      <c r="AM55" s="398">
        <v>42053</v>
      </c>
      <c r="AN55" s="354">
        <v>28264.33</v>
      </c>
      <c r="AO55" s="146">
        <v>3792.8698599999998</v>
      </c>
      <c r="AP55" s="147">
        <v>131</v>
      </c>
      <c r="AQ55" s="59">
        <v>42053</v>
      </c>
      <c r="AR55" s="183">
        <v>28264.33</v>
      </c>
      <c r="AS55" s="61">
        <f t="shared" si="11"/>
        <v>1</v>
      </c>
      <c r="AT55" s="188">
        <f t="shared" si="12"/>
        <v>8</v>
      </c>
      <c r="AU55" s="68"/>
      <c r="AV55" s="68"/>
      <c r="AW55" s="68"/>
      <c r="AX55" s="68"/>
      <c r="AY55" s="68"/>
      <c r="AZ55" s="68"/>
      <c r="BE55" s="55"/>
      <c r="BF55" s="55"/>
      <c r="BG55" s="55"/>
      <c r="BH55" s="55"/>
      <c r="BI55" s="55"/>
      <c r="BJ55" s="55"/>
      <c r="BT55" s="277"/>
      <c r="BU55" s="277"/>
      <c r="BV55" s="277"/>
      <c r="BW55" s="277"/>
      <c r="BX55" s="277"/>
      <c r="BY55" s="277"/>
    </row>
    <row r="56" spans="2:93" ht="15.75" thickBot="1" x14ac:dyDescent="0.3">
      <c r="B56" s="97"/>
      <c r="C56" s="97"/>
      <c r="D56" s="98"/>
      <c r="E56" s="98"/>
      <c r="F56" s="98"/>
      <c r="G56" s="98"/>
      <c r="H56" s="98"/>
      <c r="I56" s="98"/>
      <c r="J56" s="98"/>
      <c r="K56" s="98"/>
      <c r="L56" s="98"/>
      <c r="M56" s="98"/>
      <c r="N56" s="98"/>
      <c r="O56" s="98"/>
      <c r="P56" s="98"/>
      <c r="Q56" s="98"/>
      <c r="R56" s="98"/>
      <c r="S56" s="98"/>
      <c r="T56" s="55"/>
      <c r="U56" s="176"/>
      <c r="V56" s="177"/>
      <c r="W56" s="177"/>
      <c r="X56" s="177"/>
      <c r="Y56" s="177"/>
      <c r="Z56" s="178"/>
      <c r="AA56" s="179" t="s">
        <v>3042</v>
      </c>
      <c r="AB56" s="180">
        <f>SUM(AB6:AB54)/AC55</f>
        <v>38398.464693877555</v>
      </c>
      <c r="AC56" s="181"/>
      <c r="AD56" s="67"/>
      <c r="AE56" s="68"/>
      <c r="AF56" s="68"/>
      <c r="AG56" s="68"/>
      <c r="AH56" s="68"/>
      <c r="AI56" s="68"/>
      <c r="AJ56" s="68"/>
      <c r="AL56" s="225"/>
      <c r="AM56" s="398">
        <v>42054</v>
      </c>
      <c r="AN56" s="354">
        <v>2676.23</v>
      </c>
      <c r="AO56" s="146">
        <v>1117.3809200000001</v>
      </c>
      <c r="AP56" s="147">
        <v>100</v>
      </c>
      <c r="AQ56" s="59">
        <v>42054</v>
      </c>
      <c r="AR56" s="183">
        <v>2676.23</v>
      </c>
      <c r="AS56" s="61">
        <f t="shared" si="11"/>
        <v>1</v>
      </c>
      <c r="AT56" s="188">
        <f t="shared" si="12"/>
        <v>8</v>
      </c>
      <c r="AU56" s="68"/>
      <c r="AV56" s="68"/>
      <c r="AW56" s="68"/>
      <c r="AX56" s="68"/>
      <c r="AY56" s="68"/>
      <c r="AZ56" s="68"/>
      <c r="BE56" s="55"/>
      <c r="BF56" s="55"/>
      <c r="BG56" s="55"/>
      <c r="BH56" s="55"/>
      <c r="BI56" s="55"/>
      <c r="BJ56" s="55"/>
      <c r="BT56" s="277"/>
      <c r="BU56" s="277"/>
      <c r="BV56" s="277"/>
      <c r="BW56" s="277"/>
      <c r="BX56" s="277"/>
      <c r="BY56" s="277"/>
    </row>
    <row r="57" spans="2:93" x14ac:dyDescent="0.25">
      <c r="B57" s="97"/>
      <c r="C57" s="97"/>
      <c r="D57" s="98"/>
      <c r="E57" s="98"/>
      <c r="F57" s="98"/>
      <c r="G57" s="98"/>
      <c r="H57" s="98"/>
      <c r="I57" s="98"/>
      <c r="J57" s="98"/>
      <c r="K57" s="98"/>
      <c r="L57" s="98"/>
      <c r="M57" s="98"/>
      <c r="N57" s="98"/>
      <c r="O57" s="98"/>
      <c r="P57" s="98"/>
      <c r="Q57" s="98"/>
      <c r="R57" s="98"/>
      <c r="S57" s="98"/>
      <c r="T57" s="55"/>
      <c r="U57" s="103"/>
      <c r="V57" s="104"/>
      <c r="W57" s="104"/>
      <c r="X57" s="104"/>
      <c r="Y57" s="104"/>
      <c r="AB57" s="105"/>
      <c r="AL57" s="225"/>
      <c r="AM57" s="398">
        <v>42055</v>
      </c>
      <c r="AN57" s="354">
        <v>5978.24</v>
      </c>
      <c r="AO57" s="146">
        <v>-1926.2887799999996</v>
      </c>
      <c r="AP57" s="147">
        <v>209</v>
      </c>
      <c r="AQ57" s="59">
        <v>42055</v>
      </c>
      <c r="AR57" s="183">
        <v>5978.24</v>
      </c>
      <c r="AS57" s="61">
        <f t="shared" si="11"/>
        <v>1</v>
      </c>
      <c r="AT57" s="188">
        <f t="shared" si="12"/>
        <v>8</v>
      </c>
      <c r="AU57" s="68"/>
      <c r="AV57" s="68"/>
      <c r="AW57" s="68"/>
      <c r="AX57" s="68"/>
      <c r="AY57" s="68"/>
      <c r="AZ57" s="68"/>
      <c r="BE57" s="55"/>
      <c r="BF57" s="55"/>
      <c r="BG57" s="55"/>
      <c r="BH57" s="55"/>
      <c r="BI57" s="55"/>
      <c r="BJ57" s="55"/>
      <c r="BT57" s="277"/>
      <c r="BU57" s="277"/>
      <c r="BV57" s="277"/>
      <c r="BW57" s="277"/>
      <c r="BX57" s="277"/>
      <c r="BY57" s="277"/>
    </row>
    <row r="58" spans="2:93" x14ac:dyDescent="0.25">
      <c r="B58" s="97"/>
      <c r="C58" s="97"/>
      <c r="D58" s="98"/>
      <c r="E58" s="98"/>
      <c r="F58" s="98"/>
      <c r="G58" s="98"/>
      <c r="H58" s="106"/>
      <c r="I58" s="106"/>
      <c r="J58" s="98"/>
      <c r="K58" s="98"/>
      <c r="L58" s="98"/>
      <c r="M58" s="98"/>
      <c r="N58" s="98"/>
      <c r="O58" s="98"/>
      <c r="P58" s="98"/>
      <c r="Q58" s="98"/>
      <c r="R58" s="107"/>
      <c r="S58" s="107"/>
      <c r="AL58" s="225"/>
      <c r="AM58" s="398">
        <v>42056</v>
      </c>
      <c r="AN58" s="354">
        <v>56764.54</v>
      </c>
      <c r="AO58" s="146">
        <v>11176.579539999999</v>
      </c>
      <c r="AP58" s="147">
        <v>101</v>
      </c>
      <c r="AQ58" s="59">
        <v>42056</v>
      </c>
      <c r="AR58" s="183">
        <v>56764.54</v>
      </c>
      <c r="AS58" s="61">
        <f t="shared" si="11"/>
        <v>1</v>
      </c>
      <c r="AT58" s="188">
        <f t="shared" si="12"/>
        <v>8</v>
      </c>
      <c r="AU58" s="68"/>
      <c r="AV58" s="68"/>
      <c r="AW58" s="68"/>
      <c r="AX58" s="68"/>
      <c r="AY58" s="68"/>
      <c r="AZ58" s="68"/>
      <c r="BE58" s="55"/>
      <c r="BF58" s="55"/>
      <c r="BG58" s="55"/>
      <c r="BH58" s="55"/>
      <c r="BI58" s="55"/>
      <c r="BJ58" s="55"/>
      <c r="BT58" s="277"/>
      <c r="BU58" s="277"/>
      <c r="BV58" s="277"/>
      <c r="BW58" s="277"/>
      <c r="BX58" s="277"/>
      <c r="BY58" s="277"/>
      <c r="CI58" s="103"/>
      <c r="CJ58" s="277"/>
      <c r="CK58" s="277"/>
      <c r="CL58" s="277"/>
    </row>
    <row r="59" spans="2:93" x14ac:dyDescent="0.25">
      <c r="B59" s="97"/>
      <c r="C59" s="97"/>
      <c r="D59" s="98"/>
      <c r="E59" s="98"/>
      <c r="F59" s="98"/>
      <c r="G59" s="98"/>
      <c r="H59" s="106"/>
      <c r="I59" s="106"/>
      <c r="J59" s="98"/>
      <c r="K59" s="98"/>
      <c r="L59" s="98"/>
      <c r="M59" s="98"/>
      <c r="N59" s="98"/>
      <c r="O59" s="98"/>
      <c r="P59" s="98"/>
      <c r="Q59" s="98"/>
      <c r="R59" s="107"/>
      <c r="S59" s="107"/>
      <c r="AL59" s="225"/>
      <c r="AM59" s="398">
        <v>42057</v>
      </c>
      <c r="AN59" s="354">
        <v>11464.77</v>
      </c>
      <c r="AO59" s="146">
        <v>3269.5944</v>
      </c>
      <c r="AP59" s="147">
        <v>103</v>
      </c>
      <c r="AQ59" s="59">
        <v>42057</v>
      </c>
      <c r="AR59" s="183">
        <v>11464.77</v>
      </c>
      <c r="AS59" s="61">
        <f t="shared" si="11"/>
        <v>1</v>
      </c>
      <c r="AT59" s="188">
        <f t="shared" si="12"/>
        <v>9</v>
      </c>
      <c r="AU59" s="68"/>
      <c r="AV59" s="68"/>
      <c r="AW59" s="68"/>
      <c r="AX59" s="68"/>
      <c r="AY59" s="68"/>
      <c r="AZ59" s="68"/>
      <c r="BE59" s="55"/>
      <c r="BF59" s="55"/>
      <c r="BG59" s="55"/>
      <c r="BH59" s="55"/>
      <c r="BI59" s="55"/>
      <c r="BJ59" s="55"/>
      <c r="BT59" s="277"/>
      <c r="BU59" s="277"/>
      <c r="BV59" s="277"/>
      <c r="BW59" s="277"/>
      <c r="BX59" s="277"/>
      <c r="BY59" s="277"/>
    </row>
    <row r="60" spans="2:93" x14ac:dyDescent="0.25">
      <c r="B60" s="97"/>
      <c r="C60" s="97"/>
      <c r="D60" s="98"/>
      <c r="E60" s="98"/>
      <c r="F60" s="98"/>
      <c r="G60" s="98"/>
      <c r="H60" s="106"/>
      <c r="I60" s="106"/>
      <c r="J60" s="98"/>
      <c r="K60" s="98"/>
      <c r="L60" s="98"/>
      <c r="M60" s="98"/>
      <c r="N60" s="98"/>
      <c r="O60" s="98"/>
      <c r="P60" s="98"/>
      <c r="Q60" s="98"/>
      <c r="R60" s="107"/>
      <c r="S60" s="107"/>
      <c r="AL60" s="225"/>
      <c r="AM60" s="398">
        <v>42058</v>
      </c>
      <c r="AN60" s="354">
        <v>6812.64</v>
      </c>
      <c r="AO60" s="146">
        <v>-1711.4147204000001</v>
      </c>
      <c r="AP60" s="147">
        <v>93</v>
      </c>
      <c r="AQ60" s="59">
        <v>42058</v>
      </c>
      <c r="AR60" s="183">
        <v>6812.64</v>
      </c>
      <c r="AS60" s="61">
        <f t="shared" si="11"/>
        <v>1</v>
      </c>
      <c r="AT60" s="188">
        <f t="shared" si="12"/>
        <v>9</v>
      </c>
      <c r="AU60" s="68"/>
      <c r="AV60" s="68"/>
      <c r="AW60" s="68"/>
      <c r="AX60" s="68"/>
      <c r="AY60" s="68"/>
      <c r="AZ60" s="68"/>
      <c r="BE60" s="55"/>
      <c r="BF60" s="55"/>
      <c r="BG60" s="55"/>
      <c r="BH60" s="55"/>
      <c r="BI60" s="55"/>
      <c r="BJ60" s="55"/>
      <c r="BT60" s="277"/>
      <c r="BU60" s="277"/>
      <c r="BV60" s="277"/>
      <c r="BW60" s="277"/>
      <c r="BX60" s="277"/>
      <c r="BY60" s="277"/>
    </row>
    <row r="61" spans="2:93" x14ac:dyDescent="0.25">
      <c r="B61" s="97"/>
      <c r="C61" s="97"/>
      <c r="D61" s="98"/>
      <c r="E61" s="98"/>
      <c r="F61" s="98"/>
      <c r="G61" s="98"/>
      <c r="H61" s="106"/>
      <c r="I61" s="106"/>
      <c r="J61" s="98"/>
      <c r="K61" s="98"/>
      <c r="L61" s="98"/>
      <c r="M61" s="98"/>
      <c r="N61" s="98"/>
      <c r="O61" s="98"/>
      <c r="P61" s="98"/>
      <c r="Q61" s="98"/>
      <c r="R61" s="107"/>
      <c r="S61" s="107"/>
      <c r="AL61" s="225"/>
      <c r="AM61" s="398">
        <v>42059</v>
      </c>
      <c r="AN61" s="354">
        <v>5160.96</v>
      </c>
      <c r="AO61" s="146">
        <v>2713.4770999999996</v>
      </c>
      <c r="AP61" s="147">
        <v>50</v>
      </c>
      <c r="AQ61" s="59">
        <v>42059</v>
      </c>
      <c r="AR61" s="183">
        <v>5160.96</v>
      </c>
      <c r="AS61" s="61">
        <f t="shared" si="11"/>
        <v>1</v>
      </c>
      <c r="AT61" s="188">
        <f t="shared" si="12"/>
        <v>9</v>
      </c>
      <c r="AU61" s="68"/>
      <c r="AV61" s="68"/>
      <c r="AW61" s="68"/>
      <c r="AX61" s="68"/>
      <c r="AY61" s="68"/>
      <c r="AZ61" s="68"/>
      <c r="BE61" s="55"/>
      <c r="BF61" s="55"/>
      <c r="BG61" s="55"/>
      <c r="BH61" s="55"/>
      <c r="BI61" s="55"/>
      <c r="BJ61" s="55"/>
      <c r="BT61" s="277"/>
      <c r="BU61" s="277"/>
      <c r="BV61" s="277"/>
      <c r="BW61" s="277"/>
      <c r="BX61" s="277"/>
      <c r="BY61" s="277"/>
    </row>
    <row r="62" spans="2:93" x14ac:dyDescent="0.25">
      <c r="B62" s="97"/>
      <c r="C62" s="97"/>
      <c r="D62" s="98"/>
      <c r="E62" s="98"/>
      <c r="F62" s="98"/>
      <c r="G62" s="98"/>
      <c r="H62" s="106"/>
      <c r="I62" s="106"/>
      <c r="J62" s="98"/>
      <c r="K62" s="98"/>
      <c r="L62" s="98"/>
      <c r="M62" s="98"/>
      <c r="N62" s="98"/>
      <c r="O62" s="98"/>
      <c r="P62" s="98"/>
      <c r="Q62" s="98"/>
      <c r="R62" s="107"/>
      <c r="S62" s="107"/>
      <c r="AL62" s="225"/>
      <c r="AM62" s="398">
        <v>42060</v>
      </c>
      <c r="AN62" s="354">
        <v>10752.13</v>
      </c>
      <c r="AO62" s="146">
        <v>1202.8011000000006</v>
      </c>
      <c r="AP62" s="147">
        <v>246</v>
      </c>
      <c r="AQ62" s="59">
        <v>42060</v>
      </c>
      <c r="AR62" s="183">
        <v>10752.13</v>
      </c>
      <c r="AS62" s="61">
        <f t="shared" si="11"/>
        <v>1</v>
      </c>
      <c r="AT62" s="188">
        <f t="shared" si="12"/>
        <v>9</v>
      </c>
      <c r="AU62" s="68"/>
      <c r="AV62" s="68"/>
      <c r="AW62" s="68"/>
      <c r="AX62" s="68"/>
      <c r="AY62" s="68"/>
      <c r="AZ62" s="68"/>
      <c r="BE62" s="55"/>
      <c r="BF62" s="55"/>
      <c r="BG62" s="55"/>
      <c r="BH62" s="55"/>
      <c r="BI62" s="55"/>
      <c r="BJ62" s="55"/>
      <c r="BT62" s="277"/>
      <c r="BU62" s="277"/>
      <c r="BV62" s="277"/>
      <c r="BW62" s="277"/>
      <c r="BX62" s="277"/>
      <c r="BY62" s="277"/>
    </row>
    <row r="63" spans="2:93" x14ac:dyDescent="0.25">
      <c r="B63" s="97"/>
      <c r="C63" s="97"/>
      <c r="D63" s="98"/>
      <c r="E63" s="98"/>
      <c r="F63" s="98"/>
      <c r="G63" s="98"/>
      <c r="H63" s="106"/>
      <c r="I63" s="106"/>
      <c r="J63" s="98"/>
      <c r="K63" s="98"/>
      <c r="L63" s="98"/>
      <c r="M63" s="98"/>
      <c r="N63" s="98"/>
      <c r="O63" s="98"/>
      <c r="P63" s="98"/>
      <c r="Q63" s="98"/>
      <c r="R63" s="107"/>
      <c r="S63" s="107"/>
      <c r="AL63" s="225"/>
      <c r="AM63" s="398">
        <v>42061</v>
      </c>
      <c r="AN63" s="354">
        <v>5425.5</v>
      </c>
      <c r="AO63" s="146">
        <v>2364.9735999999998</v>
      </c>
      <c r="AP63" s="147">
        <v>79</v>
      </c>
      <c r="AQ63" s="59">
        <v>42061</v>
      </c>
      <c r="AR63" s="183">
        <v>5425.5</v>
      </c>
      <c r="AS63" s="61">
        <f t="shared" si="11"/>
        <v>1</v>
      </c>
      <c r="AT63" s="188">
        <f t="shared" si="12"/>
        <v>9</v>
      </c>
      <c r="AU63" s="68"/>
      <c r="AV63" s="68"/>
      <c r="AW63" s="68"/>
      <c r="AX63" s="68"/>
      <c r="AY63" s="68"/>
      <c r="AZ63" s="68"/>
      <c r="BE63" s="55"/>
      <c r="BF63" s="55"/>
      <c r="BG63" s="55"/>
      <c r="BH63" s="55"/>
      <c r="BI63" s="55"/>
      <c r="BJ63" s="55"/>
      <c r="BT63" s="277"/>
      <c r="BU63" s="277"/>
      <c r="BV63" s="277"/>
      <c r="BW63" s="277"/>
      <c r="BX63" s="277"/>
      <c r="BY63" s="277"/>
    </row>
    <row r="64" spans="2:93" x14ac:dyDescent="0.25">
      <c r="B64" s="97"/>
      <c r="C64" s="97"/>
      <c r="D64" s="98"/>
      <c r="E64" s="98"/>
      <c r="F64" s="98"/>
      <c r="G64" s="98"/>
      <c r="H64" s="106"/>
      <c r="I64" s="106"/>
      <c r="J64" s="98"/>
      <c r="K64" s="98"/>
      <c r="L64" s="98"/>
      <c r="M64" s="98"/>
      <c r="N64" s="98"/>
      <c r="O64" s="98"/>
      <c r="P64" s="98"/>
      <c r="Q64" s="98"/>
      <c r="R64" s="107"/>
      <c r="S64" s="107"/>
      <c r="AL64" s="225"/>
      <c r="AM64" s="398">
        <v>42062</v>
      </c>
      <c r="AN64" s="354">
        <v>3537.5</v>
      </c>
      <c r="AO64" s="146">
        <v>328.58538000000016</v>
      </c>
      <c r="AP64" s="147">
        <v>195</v>
      </c>
      <c r="AQ64" s="59">
        <v>42062</v>
      </c>
      <c r="AR64" s="183">
        <v>3537.5</v>
      </c>
      <c r="AS64" s="61">
        <f t="shared" si="11"/>
        <v>1</v>
      </c>
      <c r="AT64" s="188">
        <f t="shared" si="12"/>
        <v>9</v>
      </c>
      <c r="AU64" s="68"/>
      <c r="AV64" s="68"/>
      <c r="AW64" s="68"/>
      <c r="AX64" s="68"/>
      <c r="AY64" s="68"/>
      <c r="AZ64" s="68"/>
      <c r="BE64" s="55"/>
      <c r="BF64" s="55"/>
      <c r="BG64" s="55"/>
      <c r="BH64" s="55"/>
      <c r="BI64" s="55"/>
      <c r="BJ64" s="55"/>
      <c r="BT64" s="277"/>
      <c r="BU64" s="277"/>
      <c r="BV64" s="277"/>
      <c r="BW64" s="277"/>
      <c r="BX64" s="277"/>
      <c r="BY64" s="277"/>
    </row>
    <row r="65" spans="2:77" ht="15.75" thickBot="1" x14ac:dyDescent="0.3">
      <c r="B65" s="97"/>
      <c r="C65" s="97"/>
      <c r="D65" s="98"/>
      <c r="E65" s="98"/>
      <c r="F65" s="98"/>
      <c r="G65" s="98"/>
      <c r="H65" s="106"/>
      <c r="I65" s="106"/>
      <c r="J65" s="98"/>
      <c r="K65" s="98"/>
      <c r="L65" s="98"/>
      <c r="M65" s="98"/>
      <c r="N65" s="98"/>
      <c r="O65" s="98"/>
      <c r="P65" s="98"/>
      <c r="Q65" s="98"/>
      <c r="R65" s="107"/>
      <c r="S65" s="107"/>
      <c r="AL65" s="225"/>
      <c r="AM65" s="399">
        <v>42063</v>
      </c>
      <c r="AN65" s="354">
        <v>3842.61</v>
      </c>
      <c r="AO65" s="146">
        <v>246.47766000000004</v>
      </c>
      <c r="AP65" s="147">
        <v>152</v>
      </c>
      <c r="AQ65" s="59">
        <v>42063</v>
      </c>
      <c r="AR65" s="183">
        <v>3842.61</v>
      </c>
      <c r="AS65" s="61">
        <f t="shared" si="11"/>
        <v>1</v>
      </c>
      <c r="AT65" s="188">
        <f t="shared" si="12"/>
        <v>9</v>
      </c>
      <c r="AU65" s="68"/>
      <c r="AV65" s="68"/>
      <c r="AW65" s="68"/>
      <c r="AX65" s="68"/>
      <c r="AY65" s="68"/>
      <c r="AZ65" s="68"/>
      <c r="BE65" s="55"/>
      <c r="BF65" s="55"/>
      <c r="BG65" s="55"/>
      <c r="BH65" s="55"/>
      <c r="BI65" s="55"/>
      <c r="BJ65" s="55"/>
      <c r="BT65" s="277"/>
      <c r="BU65" s="277"/>
      <c r="BV65" s="277"/>
      <c r="BW65" s="277"/>
      <c r="BX65" s="277"/>
      <c r="BY65" s="277"/>
    </row>
    <row r="66" spans="2:77" x14ac:dyDescent="0.25">
      <c r="B66" s="62"/>
      <c r="C66" s="62"/>
      <c r="AL66" s="228" t="s">
        <v>3045</v>
      </c>
      <c r="AM66" s="397">
        <v>42064</v>
      </c>
      <c r="AN66" s="415">
        <v>14138.97</v>
      </c>
      <c r="AO66" s="371">
        <v>3159.7701999999995</v>
      </c>
      <c r="AP66" s="373">
        <v>131</v>
      </c>
      <c r="AQ66" s="59">
        <v>42064</v>
      </c>
      <c r="AR66" s="183">
        <v>14138.97</v>
      </c>
      <c r="AS66" s="61">
        <f t="shared" si="11"/>
        <v>1</v>
      </c>
      <c r="AT66" s="188">
        <f t="shared" si="12"/>
        <v>10</v>
      </c>
      <c r="AU66" s="68"/>
      <c r="AV66" s="68"/>
      <c r="AW66" s="68"/>
      <c r="AX66" s="68"/>
      <c r="AY66" s="68"/>
      <c r="AZ66" s="68"/>
      <c r="BE66" s="55"/>
      <c r="BF66" s="55"/>
      <c r="BG66" s="55"/>
      <c r="BH66" s="55"/>
      <c r="BI66" s="55"/>
      <c r="BJ66" s="55"/>
    </row>
    <row r="67" spans="2:77" x14ac:dyDescent="0.25">
      <c r="B67" s="62"/>
      <c r="C67" s="62"/>
      <c r="AL67" s="225"/>
      <c r="AM67" s="398">
        <v>42065</v>
      </c>
      <c r="AN67" s="354">
        <v>6407.95</v>
      </c>
      <c r="AO67" s="146">
        <v>1761.5608000000002</v>
      </c>
      <c r="AP67" s="147">
        <v>79</v>
      </c>
      <c r="AQ67" s="59">
        <v>42065</v>
      </c>
      <c r="AR67" s="183">
        <v>6407.95</v>
      </c>
      <c r="AS67" s="61">
        <f t="shared" si="11"/>
        <v>1</v>
      </c>
      <c r="AT67" s="188">
        <f t="shared" si="12"/>
        <v>10</v>
      </c>
      <c r="AU67" s="68"/>
      <c r="AV67" s="68"/>
      <c r="AW67" s="68"/>
      <c r="AX67" s="68"/>
      <c r="AY67" s="68"/>
      <c r="AZ67" s="68"/>
      <c r="BE67" s="55"/>
      <c r="BF67" s="55"/>
      <c r="BG67" s="55"/>
      <c r="BH67" s="55"/>
      <c r="BI67" s="55"/>
      <c r="BJ67" s="55"/>
    </row>
    <row r="68" spans="2:77" x14ac:dyDescent="0.25">
      <c r="AL68" s="225"/>
      <c r="AM68" s="398">
        <v>42066</v>
      </c>
      <c r="AN68" s="354">
        <v>262.77999999999997</v>
      </c>
      <c r="AO68" s="146">
        <v>-38.389999999999986</v>
      </c>
      <c r="AP68" s="147">
        <v>31</v>
      </c>
      <c r="AQ68" s="59">
        <v>42066</v>
      </c>
      <c r="AR68" s="183">
        <v>262.77999999999997</v>
      </c>
      <c r="AS68" s="61">
        <f t="shared" si="11"/>
        <v>1</v>
      </c>
      <c r="AT68" s="188">
        <f t="shared" si="12"/>
        <v>10</v>
      </c>
      <c r="AU68" s="68"/>
      <c r="AV68" s="68"/>
      <c r="AW68" s="68"/>
      <c r="AX68" s="68"/>
      <c r="AY68" s="68"/>
      <c r="AZ68" s="68"/>
      <c r="BE68" s="55"/>
      <c r="BF68" s="55"/>
      <c r="BG68" s="55"/>
      <c r="BH68" s="55"/>
      <c r="BI68" s="55"/>
      <c r="BJ68" s="55"/>
    </row>
    <row r="69" spans="2:77" x14ac:dyDescent="0.25">
      <c r="AL69" s="225"/>
      <c r="AM69" s="398">
        <v>42067</v>
      </c>
      <c r="AN69" s="354">
        <v>14738.71</v>
      </c>
      <c r="AO69" s="146">
        <v>8819.4933000000001</v>
      </c>
      <c r="AP69" s="147">
        <v>93</v>
      </c>
      <c r="AQ69" s="59">
        <v>42067</v>
      </c>
      <c r="AR69" s="183">
        <v>14738.71</v>
      </c>
      <c r="AS69" s="61">
        <f t="shared" si="11"/>
        <v>1</v>
      </c>
      <c r="AT69" s="188">
        <f t="shared" si="12"/>
        <v>10</v>
      </c>
      <c r="AU69" s="68"/>
      <c r="AV69" s="68"/>
      <c r="AW69" s="68"/>
      <c r="AX69" s="68"/>
      <c r="AY69" s="68"/>
      <c r="AZ69" s="68"/>
      <c r="BE69" s="55"/>
      <c r="BF69" s="55"/>
      <c r="BG69" s="55"/>
      <c r="BH69" s="55"/>
      <c r="BI69" s="55"/>
      <c r="BJ69" s="55"/>
    </row>
    <row r="70" spans="2:77" x14ac:dyDescent="0.25">
      <c r="AL70" s="225"/>
      <c r="AM70" s="398">
        <v>42068</v>
      </c>
      <c r="AN70" s="354">
        <v>6541.13</v>
      </c>
      <c r="AO70" s="146">
        <v>738.11099999999976</v>
      </c>
      <c r="AP70" s="147">
        <v>129</v>
      </c>
      <c r="AQ70" s="59">
        <v>42068</v>
      </c>
      <c r="AR70" s="183">
        <v>6541.13</v>
      </c>
      <c r="AS70" s="61">
        <f t="shared" si="11"/>
        <v>1</v>
      </c>
      <c r="AT70" s="188">
        <f t="shared" si="12"/>
        <v>10</v>
      </c>
      <c r="AU70" s="68"/>
      <c r="AV70" s="68"/>
      <c r="AW70" s="68"/>
      <c r="AX70" s="68"/>
      <c r="AY70" s="68"/>
      <c r="AZ70" s="68"/>
      <c r="BE70" s="55"/>
      <c r="BF70" s="55"/>
      <c r="BG70" s="55"/>
      <c r="BH70" s="55"/>
      <c r="BI70" s="55"/>
      <c r="BJ70" s="55"/>
    </row>
    <row r="71" spans="2:77" x14ac:dyDescent="0.25">
      <c r="AL71" s="225"/>
      <c r="AM71" s="398">
        <v>42069</v>
      </c>
      <c r="AN71" s="354">
        <v>2218.25</v>
      </c>
      <c r="AO71" s="146">
        <v>-761.69</v>
      </c>
      <c r="AP71" s="147">
        <v>74</v>
      </c>
      <c r="AQ71" s="59">
        <v>42069</v>
      </c>
      <c r="AR71" s="183">
        <v>2218.25</v>
      </c>
      <c r="AS71" s="61">
        <f t="shared" si="11"/>
        <v>1</v>
      </c>
      <c r="AT71" s="188">
        <f t="shared" si="12"/>
        <v>10</v>
      </c>
      <c r="AU71" s="68"/>
      <c r="AV71" s="68"/>
      <c r="AW71" s="68"/>
      <c r="AX71" s="68"/>
      <c r="AY71" s="68"/>
      <c r="AZ71" s="68"/>
      <c r="BE71" s="55"/>
      <c r="BF71" s="55"/>
      <c r="BG71" s="55"/>
      <c r="BH71" s="55"/>
      <c r="BI71" s="55"/>
      <c r="BJ71" s="55"/>
    </row>
    <row r="72" spans="2:77" x14ac:dyDescent="0.25">
      <c r="AL72" s="225"/>
      <c r="AM72" s="398">
        <v>42070</v>
      </c>
      <c r="AN72" s="354">
        <v>2711.04</v>
      </c>
      <c r="AO72" s="146">
        <v>819.88600000000008</v>
      </c>
      <c r="AP72" s="147">
        <v>46</v>
      </c>
      <c r="AQ72" s="59">
        <v>42070</v>
      </c>
      <c r="AR72" s="183">
        <v>2711.04</v>
      </c>
      <c r="AS72" s="61">
        <f>IF(AR72=0,0,1)</f>
        <v>1</v>
      </c>
      <c r="AT72" s="188">
        <f t="shared" ref="AT72:AT135" si="19">WEEKNUM(AQ72)</f>
        <v>10</v>
      </c>
      <c r="AU72" s="68"/>
      <c r="AV72" s="68"/>
      <c r="AW72" s="68"/>
      <c r="AX72" s="68"/>
      <c r="AY72" s="68"/>
      <c r="AZ72" s="68"/>
      <c r="BE72" s="55"/>
      <c r="BF72" s="55"/>
      <c r="BG72" s="55"/>
      <c r="BH72" s="55"/>
      <c r="BI72" s="55"/>
      <c r="BJ72" s="55"/>
    </row>
    <row r="73" spans="2:77" x14ac:dyDescent="0.25">
      <c r="AL73" s="225"/>
      <c r="AM73" s="398">
        <v>42071</v>
      </c>
      <c r="AN73" s="354">
        <v>5373.52</v>
      </c>
      <c r="AO73" s="146">
        <v>2831.3710000000001</v>
      </c>
      <c r="AP73" s="147">
        <v>70</v>
      </c>
      <c r="AQ73" s="59">
        <v>42071</v>
      </c>
      <c r="AR73" s="183">
        <v>5373.52</v>
      </c>
      <c r="AS73" s="61">
        <f t="shared" si="11"/>
        <v>1</v>
      </c>
      <c r="AT73" s="188">
        <f t="shared" si="19"/>
        <v>11</v>
      </c>
      <c r="AU73" s="68"/>
      <c r="AV73" s="68"/>
      <c r="AW73" s="68"/>
      <c r="AX73" s="68"/>
      <c r="AY73" s="68"/>
      <c r="AZ73" s="68"/>
      <c r="BE73" s="55"/>
      <c r="BF73" s="55"/>
      <c r="BG73" s="55"/>
      <c r="BH73" s="55"/>
      <c r="BI73" s="55"/>
      <c r="BJ73" s="55"/>
    </row>
    <row r="74" spans="2:77" x14ac:dyDescent="0.25">
      <c r="AL74" s="225"/>
      <c r="AM74" s="398">
        <v>42072</v>
      </c>
      <c r="AN74" s="354">
        <v>3255.53</v>
      </c>
      <c r="AO74" s="146">
        <v>-1479.0494000000001</v>
      </c>
      <c r="AP74" s="147">
        <v>28</v>
      </c>
      <c r="AQ74" s="59">
        <v>42072</v>
      </c>
      <c r="AR74" s="183">
        <v>3255.53</v>
      </c>
      <c r="AS74" s="61">
        <f t="shared" ref="AS74:AS137" si="20">IF(AR74=0,0,1)</f>
        <v>1</v>
      </c>
      <c r="AT74" s="188">
        <f t="shared" si="19"/>
        <v>11</v>
      </c>
      <c r="AU74" s="68"/>
      <c r="AV74" s="68"/>
      <c r="AW74" s="68"/>
      <c r="AX74" s="68"/>
      <c r="AY74" s="68"/>
      <c r="AZ74" s="68"/>
      <c r="BE74" s="55"/>
      <c r="BF74" s="55"/>
      <c r="BG74" s="55"/>
      <c r="BH74" s="55"/>
      <c r="BI74" s="55"/>
      <c r="BJ74" s="55"/>
    </row>
    <row r="75" spans="2:77" x14ac:dyDescent="0.25">
      <c r="AL75" s="225"/>
      <c r="AM75" s="398">
        <v>42073</v>
      </c>
      <c r="AN75" s="354">
        <v>7421.79</v>
      </c>
      <c r="AO75" s="146">
        <v>-14020.799600000002</v>
      </c>
      <c r="AP75" s="147">
        <v>41</v>
      </c>
      <c r="AQ75" s="59">
        <v>42073</v>
      </c>
      <c r="AR75" s="183">
        <v>7421.79</v>
      </c>
      <c r="AS75" s="61">
        <f t="shared" si="20"/>
        <v>1</v>
      </c>
      <c r="AT75" s="188">
        <f t="shared" si="19"/>
        <v>11</v>
      </c>
      <c r="AU75" s="68"/>
      <c r="AV75" s="68"/>
      <c r="AW75" s="68"/>
      <c r="AX75" s="68"/>
      <c r="AY75" s="68"/>
      <c r="AZ75" s="68"/>
      <c r="BE75" s="55"/>
      <c r="BF75" s="55"/>
      <c r="BG75" s="55"/>
      <c r="BH75" s="55"/>
      <c r="BI75" s="55"/>
      <c r="BJ75" s="55"/>
    </row>
    <row r="76" spans="2:77" x14ac:dyDescent="0.25">
      <c r="AL76" s="225"/>
      <c r="AM76" s="398">
        <v>42074</v>
      </c>
      <c r="AN76" s="354">
        <v>2619.37</v>
      </c>
      <c r="AO76" s="146">
        <v>-608.8664</v>
      </c>
      <c r="AP76" s="147">
        <v>160</v>
      </c>
      <c r="AQ76" s="59">
        <v>42074</v>
      </c>
      <c r="AR76" s="183">
        <v>2619.37</v>
      </c>
      <c r="AS76" s="61">
        <f t="shared" si="20"/>
        <v>1</v>
      </c>
      <c r="AT76" s="188">
        <f t="shared" si="19"/>
        <v>11</v>
      </c>
      <c r="AU76" s="68"/>
      <c r="AV76" s="68"/>
      <c r="AW76" s="68"/>
      <c r="AX76" s="68"/>
      <c r="AY76" s="68"/>
      <c r="AZ76" s="68"/>
      <c r="BE76" s="55"/>
      <c r="BF76" s="55"/>
      <c r="BG76" s="55"/>
      <c r="BH76" s="55"/>
      <c r="BI76" s="55"/>
      <c r="BJ76" s="55"/>
    </row>
    <row r="77" spans="2:77" x14ac:dyDescent="0.25">
      <c r="AL77" s="225"/>
      <c r="AM77" s="398">
        <v>42075</v>
      </c>
      <c r="AN77" s="354">
        <v>6679.66</v>
      </c>
      <c r="AO77" s="146">
        <v>3976.8537999999999</v>
      </c>
      <c r="AP77" s="147">
        <v>99</v>
      </c>
      <c r="AQ77" s="59">
        <v>42075</v>
      </c>
      <c r="AR77" s="183">
        <v>6679.66</v>
      </c>
      <c r="AS77" s="61">
        <f t="shared" si="20"/>
        <v>1</v>
      </c>
      <c r="AT77" s="188">
        <f t="shared" si="19"/>
        <v>11</v>
      </c>
      <c r="AU77" s="68"/>
      <c r="AV77" s="68"/>
      <c r="AW77" s="68"/>
      <c r="AX77" s="68"/>
      <c r="AY77" s="68"/>
      <c r="AZ77" s="68"/>
      <c r="BE77" s="55"/>
      <c r="BF77" s="55"/>
      <c r="BG77" s="55"/>
      <c r="BH77" s="55"/>
      <c r="BI77" s="55"/>
      <c r="BJ77" s="55"/>
    </row>
    <row r="78" spans="2:77" x14ac:dyDescent="0.25">
      <c r="AL78" s="225"/>
      <c r="AM78" s="398">
        <v>42076</v>
      </c>
      <c r="AN78" s="354">
        <v>6648.49</v>
      </c>
      <c r="AO78" s="146">
        <v>2137.4774999999995</v>
      </c>
      <c r="AP78" s="147">
        <v>93</v>
      </c>
      <c r="AQ78" s="59">
        <v>42076</v>
      </c>
      <c r="AR78" s="183">
        <v>6648.49</v>
      </c>
      <c r="AS78" s="61">
        <f t="shared" si="20"/>
        <v>1</v>
      </c>
      <c r="AT78" s="188">
        <f t="shared" si="19"/>
        <v>11</v>
      </c>
      <c r="AU78" s="68"/>
      <c r="AV78" s="68"/>
      <c r="AW78" s="68"/>
      <c r="AX78" s="68"/>
      <c r="AY78" s="68"/>
      <c r="AZ78" s="68"/>
      <c r="BE78" s="55"/>
      <c r="BF78" s="55"/>
      <c r="BG78" s="55"/>
      <c r="BH78" s="55"/>
      <c r="BI78" s="55"/>
      <c r="BJ78" s="55"/>
    </row>
    <row r="79" spans="2:77" x14ac:dyDescent="0.25">
      <c r="AL79" s="225"/>
      <c r="AM79" s="398">
        <v>42077</v>
      </c>
      <c r="AN79" s="354">
        <v>25783.09</v>
      </c>
      <c r="AO79" s="146">
        <v>-5722.5105659999999</v>
      </c>
      <c r="AP79" s="147">
        <v>265</v>
      </c>
      <c r="AQ79" s="59">
        <v>42077</v>
      </c>
      <c r="AR79" s="183">
        <v>25783.09</v>
      </c>
      <c r="AS79" s="61">
        <f t="shared" si="20"/>
        <v>1</v>
      </c>
      <c r="AT79" s="188">
        <f t="shared" si="19"/>
        <v>11</v>
      </c>
      <c r="AU79" s="68"/>
      <c r="AV79" s="68"/>
      <c r="AW79" s="68"/>
      <c r="AX79" s="68"/>
      <c r="AY79" s="68"/>
      <c r="AZ79" s="68"/>
      <c r="BE79" s="55"/>
      <c r="BF79" s="55"/>
      <c r="BG79" s="55"/>
      <c r="BH79" s="55"/>
      <c r="BI79" s="55"/>
      <c r="BJ79" s="55"/>
    </row>
    <row r="80" spans="2:77" x14ac:dyDescent="0.25">
      <c r="AL80" s="225"/>
      <c r="AM80" s="398">
        <v>42078</v>
      </c>
      <c r="AN80" s="354">
        <v>2943.82</v>
      </c>
      <c r="AO80" s="146">
        <v>-1092.919506</v>
      </c>
      <c r="AP80" s="147">
        <v>68</v>
      </c>
      <c r="AQ80" s="59">
        <v>42078</v>
      </c>
      <c r="AR80" s="183">
        <v>2943.82</v>
      </c>
      <c r="AS80" s="61">
        <f t="shared" si="20"/>
        <v>1</v>
      </c>
      <c r="AT80" s="188">
        <f t="shared" si="19"/>
        <v>12</v>
      </c>
      <c r="AU80" s="68"/>
      <c r="AV80" s="68"/>
      <c r="AW80" s="68"/>
      <c r="AX80" s="68"/>
      <c r="AY80" s="68"/>
      <c r="AZ80" s="68"/>
      <c r="BE80" s="55"/>
      <c r="BF80" s="55"/>
      <c r="BG80" s="55"/>
      <c r="BH80" s="55"/>
      <c r="BI80" s="55"/>
      <c r="BJ80" s="55"/>
    </row>
    <row r="81" spans="38:62" x14ac:dyDescent="0.25">
      <c r="AL81" s="225"/>
      <c r="AM81" s="398">
        <v>42079</v>
      </c>
      <c r="AN81" s="354">
        <v>16728.53</v>
      </c>
      <c r="AO81" s="146">
        <v>1146.3709000000003</v>
      </c>
      <c r="AP81" s="147">
        <v>85</v>
      </c>
      <c r="AQ81" s="59">
        <v>42079</v>
      </c>
      <c r="AR81" s="183">
        <v>16728.53</v>
      </c>
      <c r="AS81" s="61">
        <f t="shared" si="20"/>
        <v>1</v>
      </c>
      <c r="AT81" s="188">
        <f t="shared" si="19"/>
        <v>12</v>
      </c>
      <c r="AU81" s="68"/>
      <c r="AV81" s="68"/>
      <c r="AW81" s="68"/>
      <c r="AX81" s="68"/>
      <c r="AY81" s="68"/>
      <c r="AZ81" s="68"/>
      <c r="BE81" s="55"/>
      <c r="BF81" s="55"/>
      <c r="BG81" s="55"/>
      <c r="BH81" s="55"/>
      <c r="BI81" s="55"/>
      <c r="BJ81" s="55"/>
    </row>
    <row r="82" spans="38:62" x14ac:dyDescent="0.25">
      <c r="AL82" s="225"/>
      <c r="AM82" s="398">
        <v>42080</v>
      </c>
      <c r="AN82" s="354">
        <v>5244.52</v>
      </c>
      <c r="AO82" s="146">
        <v>2574.719399999999</v>
      </c>
      <c r="AP82" s="147">
        <v>102</v>
      </c>
      <c r="AQ82" s="59">
        <v>42080</v>
      </c>
      <c r="AR82" s="183">
        <v>5244.52</v>
      </c>
      <c r="AS82" s="61">
        <f t="shared" si="20"/>
        <v>1</v>
      </c>
      <c r="AT82" s="188">
        <f t="shared" si="19"/>
        <v>12</v>
      </c>
      <c r="AU82" s="68"/>
      <c r="AV82" s="68"/>
      <c r="AW82" s="68"/>
      <c r="AX82" s="68"/>
      <c r="AY82" s="68"/>
      <c r="AZ82" s="68"/>
      <c r="BE82" s="55"/>
      <c r="BF82" s="55"/>
      <c r="BG82" s="55"/>
      <c r="BH82" s="55"/>
      <c r="BI82" s="55"/>
      <c r="BJ82" s="55"/>
    </row>
    <row r="83" spans="38:62" x14ac:dyDescent="0.25">
      <c r="AL83" s="225"/>
      <c r="AM83" s="398">
        <v>42081</v>
      </c>
      <c r="AN83" s="354">
        <v>16840.650000000001</v>
      </c>
      <c r="AO83" s="146">
        <v>4184.2209999999995</v>
      </c>
      <c r="AP83" s="147">
        <v>121</v>
      </c>
      <c r="AQ83" s="59">
        <v>42081</v>
      </c>
      <c r="AR83" s="183">
        <v>16840.650000000001</v>
      </c>
      <c r="AS83" s="61">
        <f t="shared" si="20"/>
        <v>1</v>
      </c>
      <c r="AT83" s="188">
        <f t="shared" si="19"/>
        <v>12</v>
      </c>
      <c r="AU83" s="68"/>
      <c r="AV83" s="68"/>
      <c r="AW83" s="68"/>
      <c r="AX83" s="68"/>
      <c r="AY83" s="68"/>
      <c r="AZ83" s="68"/>
      <c r="BE83" s="55"/>
      <c r="BF83" s="55"/>
      <c r="BG83" s="55"/>
      <c r="BH83" s="55"/>
      <c r="BI83" s="55"/>
      <c r="BJ83" s="55"/>
    </row>
    <row r="84" spans="38:62" x14ac:dyDescent="0.25">
      <c r="AL84" s="225"/>
      <c r="AM84" s="398">
        <v>42082</v>
      </c>
      <c r="AN84" s="354">
        <v>5402.48</v>
      </c>
      <c r="AO84" s="146">
        <v>-1589.3171400000001</v>
      </c>
      <c r="AP84" s="147">
        <v>168</v>
      </c>
      <c r="AQ84" s="59">
        <v>42082</v>
      </c>
      <c r="AR84" s="183">
        <v>5402.48</v>
      </c>
      <c r="AS84" s="61">
        <f t="shared" si="20"/>
        <v>1</v>
      </c>
      <c r="AT84" s="188">
        <f t="shared" si="19"/>
        <v>12</v>
      </c>
      <c r="AU84" s="68"/>
      <c r="AV84" s="68"/>
      <c r="AW84" s="68"/>
      <c r="AX84" s="68"/>
      <c r="AY84" s="68"/>
      <c r="AZ84" s="68"/>
      <c r="BE84" s="55"/>
      <c r="BF84" s="55"/>
      <c r="BG84" s="55"/>
      <c r="BH84" s="55"/>
      <c r="BI84" s="55"/>
      <c r="BJ84" s="55"/>
    </row>
    <row r="85" spans="38:62" x14ac:dyDescent="0.25">
      <c r="AL85" s="225"/>
      <c r="AM85" s="398">
        <v>42083</v>
      </c>
      <c r="AN85" s="354">
        <v>16675.580000000002</v>
      </c>
      <c r="AO85" s="146">
        <v>-1875.1018000000004</v>
      </c>
      <c r="AP85" s="147">
        <v>319</v>
      </c>
      <c r="AQ85" s="59">
        <v>42083</v>
      </c>
      <c r="AR85" s="183">
        <v>16675.580000000002</v>
      </c>
      <c r="AS85" s="61">
        <f t="shared" si="20"/>
        <v>1</v>
      </c>
      <c r="AT85" s="188">
        <f t="shared" si="19"/>
        <v>12</v>
      </c>
      <c r="AU85" s="68"/>
      <c r="AV85" s="68"/>
      <c r="AW85" s="68"/>
      <c r="AX85" s="68"/>
      <c r="AY85" s="68"/>
      <c r="AZ85" s="68"/>
      <c r="BE85" s="55"/>
      <c r="BF85" s="55"/>
      <c r="BG85" s="55"/>
      <c r="BH85" s="55"/>
      <c r="BI85" s="55"/>
      <c r="BJ85" s="55"/>
    </row>
    <row r="86" spans="38:62" x14ac:dyDescent="0.25">
      <c r="AL86" s="225"/>
      <c r="AM86" s="398">
        <v>42084</v>
      </c>
      <c r="AN86" s="354">
        <v>25857.3</v>
      </c>
      <c r="AO86" s="146">
        <v>3199.0791000000004</v>
      </c>
      <c r="AP86" s="147">
        <v>58</v>
      </c>
      <c r="AQ86" s="59">
        <v>42084</v>
      </c>
      <c r="AR86" s="183">
        <v>25857.3</v>
      </c>
      <c r="AS86" s="61">
        <f t="shared" si="20"/>
        <v>1</v>
      </c>
      <c r="AT86" s="188">
        <f t="shared" si="19"/>
        <v>12</v>
      </c>
      <c r="AU86" s="68"/>
      <c r="AV86" s="68"/>
      <c r="AW86" s="68"/>
      <c r="AX86" s="68"/>
      <c r="AY86" s="68"/>
      <c r="AZ86" s="68"/>
      <c r="BE86" s="55"/>
      <c r="BF86" s="55"/>
      <c r="BG86" s="55"/>
      <c r="BH86" s="55"/>
      <c r="BI86" s="55"/>
      <c r="BJ86" s="55"/>
    </row>
    <row r="87" spans="38:62" x14ac:dyDescent="0.25">
      <c r="AL87" s="225"/>
      <c r="AM87" s="398">
        <v>42085</v>
      </c>
      <c r="AN87" s="354">
        <v>9403.56</v>
      </c>
      <c r="AO87" s="146">
        <v>-109.37839999999991</v>
      </c>
      <c r="AP87" s="147">
        <v>80</v>
      </c>
      <c r="AQ87" s="59">
        <v>42085</v>
      </c>
      <c r="AR87" s="183">
        <v>9403.56</v>
      </c>
      <c r="AS87" s="61">
        <f t="shared" si="20"/>
        <v>1</v>
      </c>
      <c r="AT87" s="188">
        <f t="shared" si="19"/>
        <v>13</v>
      </c>
      <c r="AU87" s="68"/>
      <c r="AV87" s="68"/>
      <c r="AW87" s="68"/>
      <c r="AX87" s="68"/>
      <c r="AY87" s="68"/>
      <c r="AZ87" s="68"/>
      <c r="BE87" s="55"/>
      <c r="BF87" s="55"/>
      <c r="BG87" s="55"/>
      <c r="BH87" s="55"/>
      <c r="BI87" s="55"/>
      <c r="BJ87" s="55"/>
    </row>
    <row r="88" spans="38:62" x14ac:dyDescent="0.25">
      <c r="AL88" s="225"/>
      <c r="AM88" s="398">
        <v>42086</v>
      </c>
      <c r="AN88" s="354">
        <v>3850.97</v>
      </c>
      <c r="AO88" s="146">
        <v>1368.4157</v>
      </c>
      <c r="AP88" s="147">
        <v>185</v>
      </c>
      <c r="AQ88" s="59">
        <v>42086</v>
      </c>
      <c r="AR88" s="183">
        <v>3850.97</v>
      </c>
      <c r="AS88" s="61">
        <f t="shared" si="20"/>
        <v>1</v>
      </c>
      <c r="AT88" s="188">
        <f t="shared" si="19"/>
        <v>13</v>
      </c>
      <c r="AU88" s="68"/>
      <c r="AV88" s="68"/>
      <c r="AW88" s="68"/>
      <c r="AX88" s="68"/>
      <c r="AY88" s="68"/>
      <c r="AZ88" s="68"/>
      <c r="BE88" s="55"/>
      <c r="BF88" s="55"/>
      <c r="BG88" s="55"/>
      <c r="BH88" s="55"/>
      <c r="BI88" s="55"/>
      <c r="BJ88" s="55"/>
    </row>
    <row r="89" spans="38:62" x14ac:dyDescent="0.25">
      <c r="AL89" s="225"/>
      <c r="AM89" s="398">
        <v>42087</v>
      </c>
      <c r="AN89" s="354">
        <v>7449.45</v>
      </c>
      <c r="AO89" s="146">
        <v>-1726.25170125</v>
      </c>
      <c r="AP89" s="147">
        <v>104</v>
      </c>
      <c r="AQ89" s="59">
        <v>42087</v>
      </c>
      <c r="AR89" s="183">
        <v>7449.45</v>
      </c>
      <c r="AS89" s="61">
        <f t="shared" si="20"/>
        <v>1</v>
      </c>
      <c r="AT89" s="188">
        <f t="shared" si="19"/>
        <v>13</v>
      </c>
      <c r="AU89" s="68"/>
      <c r="AV89" s="68"/>
      <c r="AW89" s="68"/>
      <c r="AX89" s="68"/>
      <c r="AY89" s="68"/>
      <c r="AZ89" s="68"/>
      <c r="BE89" s="55"/>
      <c r="BF89" s="55"/>
      <c r="BG89" s="55"/>
      <c r="BH89" s="55"/>
      <c r="BI89" s="55"/>
      <c r="BJ89" s="55"/>
    </row>
    <row r="90" spans="38:62" x14ac:dyDescent="0.25">
      <c r="AL90" s="225"/>
      <c r="AM90" s="398">
        <v>42088</v>
      </c>
      <c r="AN90" s="354">
        <v>9686.07</v>
      </c>
      <c r="AO90" s="146">
        <v>2354.2009999999996</v>
      </c>
      <c r="AP90" s="147">
        <v>168</v>
      </c>
      <c r="AQ90" s="59">
        <v>42088</v>
      </c>
      <c r="AR90" s="183">
        <v>9686.07</v>
      </c>
      <c r="AS90" s="61">
        <f t="shared" si="20"/>
        <v>1</v>
      </c>
      <c r="AT90" s="188">
        <f t="shared" si="19"/>
        <v>13</v>
      </c>
      <c r="AU90" s="68"/>
      <c r="AV90" s="68"/>
      <c r="AW90" s="68"/>
      <c r="AX90" s="68"/>
      <c r="AY90" s="68"/>
      <c r="AZ90" s="68"/>
      <c r="BE90" s="55"/>
      <c r="BF90" s="55"/>
      <c r="BG90" s="55"/>
      <c r="BH90" s="55"/>
      <c r="BI90" s="55"/>
      <c r="BJ90" s="55"/>
    </row>
    <row r="91" spans="38:62" x14ac:dyDescent="0.25">
      <c r="AL91" s="225"/>
      <c r="AM91" s="398">
        <v>42089</v>
      </c>
      <c r="AN91" s="354">
        <v>5237.6000000000004</v>
      </c>
      <c r="AO91" s="146">
        <v>-233.75349999999997</v>
      </c>
      <c r="AP91" s="147">
        <v>80</v>
      </c>
      <c r="AQ91" s="59">
        <v>42089</v>
      </c>
      <c r="AR91" s="183">
        <v>5237.6000000000004</v>
      </c>
      <c r="AS91" s="61">
        <f t="shared" si="20"/>
        <v>1</v>
      </c>
      <c r="AT91" s="188">
        <f t="shared" si="19"/>
        <v>13</v>
      </c>
      <c r="AU91" s="68"/>
      <c r="AV91" s="68"/>
      <c r="AW91" s="68"/>
      <c r="AX91" s="68"/>
      <c r="AY91" s="68"/>
      <c r="AZ91" s="68"/>
      <c r="BE91" s="55"/>
      <c r="BF91" s="55"/>
      <c r="BG91" s="55"/>
      <c r="BH91" s="55"/>
      <c r="BI91" s="55"/>
      <c r="BJ91" s="55"/>
    </row>
    <row r="92" spans="38:62" x14ac:dyDescent="0.25">
      <c r="AL92" s="225"/>
      <c r="AM92" s="398">
        <v>42090</v>
      </c>
      <c r="AN92" s="354">
        <v>15468.49</v>
      </c>
      <c r="AO92" s="146">
        <v>3420.5684999999999</v>
      </c>
      <c r="AP92" s="147">
        <v>297</v>
      </c>
      <c r="AQ92" s="59">
        <v>42090</v>
      </c>
      <c r="AR92" s="183">
        <v>15468.49</v>
      </c>
      <c r="AS92" s="61">
        <f t="shared" si="20"/>
        <v>1</v>
      </c>
      <c r="AT92" s="188">
        <f t="shared" si="19"/>
        <v>13</v>
      </c>
      <c r="AU92" s="68"/>
      <c r="AV92" s="68"/>
      <c r="AW92" s="68"/>
      <c r="AX92" s="68"/>
      <c r="AY92" s="68"/>
      <c r="AZ92" s="68"/>
      <c r="BE92" s="55"/>
      <c r="BF92" s="55"/>
      <c r="BG92" s="55"/>
      <c r="BH92" s="55"/>
      <c r="BI92" s="55"/>
      <c r="BJ92" s="55"/>
    </row>
    <row r="93" spans="38:62" x14ac:dyDescent="0.25">
      <c r="AL93" s="225"/>
      <c r="AM93" s="398">
        <v>42091</v>
      </c>
      <c r="AN93" s="354">
        <v>2783.93</v>
      </c>
      <c r="AO93" s="146">
        <v>-16596.205899999997</v>
      </c>
      <c r="AP93" s="147">
        <v>76</v>
      </c>
      <c r="AQ93" s="59">
        <v>42091</v>
      </c>
      <c r="AR93" s="183">
        <v>2783.93</v>
      </c>
      <c r="AS93" s="61">
        <f t="shared" si="20"/>
        <v>1</v>
      </c>
      <c r="AT93" s="188">
        <f t="shared" si="19"/>
        <v>13</v>
      </c>
      <c r="AU93" s="68"/>
      <c r="AV93" s="68"/>
      <c r="AW93" s="68"/>
      <c r="AX93" s="68"/>
      <c r="AY93" s="68"/>
      <c r="AZ93" s="68"/>
      <c r="BE93" s="55"/>
      <c r="BF93" s="55"/>
      <c r="BG93" s="55"/>
      <c r="BH93" s="55"/>
      <c r="BI93" s="55"/>
      <c r="BJ93" s="55"/>
    </row>
    <row r="94" spans="38:62" x14ac:dyDescent="0.25">
      <c r="AL94" s="225"/>
      <c r="AM94" s="398">
        <v>42092</v>
      </c>
      <c r="AN94" s="354">
        <v>1516.49</v>
      </c>
      <c r="AO94" s="146">
        <v>-536.11419999999998</v>
      </c>
      <c r="AP94" s="147">
        <v>85</v>
      </c>
      <c r="AQ94" s="59">
        <v>42092</v>
      </c>
      <c r="AR94" s="183">
        <v>1516.49</v>
      </c>
      <c r="AS94" s="61">
        <f t="shared" si="20"/>
        <v>1</v>
      </c>
      <c r="AT94" s="188">
        <f t="shared" si="19"/>
        <v>14</v>
      </c>
      <c r="AU94" s="68"/>
      <c r="AV94" s="68"/>
      <c r="AW94" s="68"/>
      <c r="AX94" s="68"/>
      <c r="AY94" s="68"/>
      <c r="AZ94" s="68"/>
      <c r="BE94" s="55"/>
      <c r="BF94" s="55"/>
      <c r="BG94" s="55"/>
      <c r="BH94" s="55"/>
      <c r="BI94" s="55"/>
      <c r="BJ94" s="55"/>
    </row>
    <row r="95" spans="38:62" x14ac:dyDescent="0.25">
      <c r="AL95" s="225"/>
      <c r="AM95" s="398">
        <v>42093</v>
      </c>
      <c r="AN95" s="354">
        <v>15175.7</v>
      </c>
      <c r="AO95" s="146">
        <v>7059.8765000000021</v>
      </c>
      <c r="AP95" s="147">
        <v>227</v>
      </c>
      <c r="AQ95" s="59">
        <v>42093</v>
      </c>
      <c r="AR95" s="183">
        <v>15175.7</v>
      </c>
      <c r="AS95" s="61">
        <f t="shared" si="20"/>
        <v>1</v>
      </c>
      <c r="AT95" s="188">
        <f t="shared" si="19"/>
        <v>14</v>
      </c>
      <c r="AU95" s="68"/>
      <c r="AV95" s="68"/>
      <c r="AW95" s="68"/>
      <c r="AX95" s="68"/>
      <c r="AY95" s="68"/>
      <c r="AZ95" s="68"/>
      <c r="BE95" s="55"/>
      <c r="BF95" s="55"/>
      <c r="BG95" s="55"/>
      <c r="BH95" s="55"/>
      <c r="BI95" s="55"/>
      <c r="BJ95" s="55"/>
    </row>
    <row r="96" spans="38:62" ht="15.75" thickBot="1" x14ac:dyDescent="0.3">
      <c r="AL96" s="225"/>
      <c r="AM96" s="399">
        <v>42094</v>
      </c>
      <c r="AN96" s="354">
        <v>101.71</v>
      </c>
      <c r="AO96" s="146">
        <v>-1279.797</v>
      </c>
      <c r="AP96" s="147">
        <v>8</v>
      </c>
      <c r="AQ96" s="59">
        <v>42094</v>
      </c>
      <c r="AR96" s="183">
        <v>101.71</v>
      </c>
      <c r="AS96" s="61">
        <f t="shared" si="20"/>
        <v>1</v>
      </c>
      <c r="AT96" s="188">
        <f t="shared" si="19"/>
        <v>14</v>
      </c>
      <c r="AU96" s="68"/>
      <c r="AV96" s="68"/>
      <c r="AW96" s="68"/>
      <c r="AX96" s="68"/>
      <c r="AY96" s="68"/>
      <c r="AZ96" s="68"/>
      <c r="BE96" s="55"/>
      <c r="BF96" s="55"/>
      <c r="BG96" s="55"/>
      <c r="BH96" s="55"/>
      <c r="BI96" s="55"/>
      <c r="BJ96" s="55"/>
    </row>
    <row r="97" spans="38:62" x14ac:dyDescent="0.25">
      <c r="AL97" s="228" t="s">
        <v>3046</v>
      </c>
      <c r="AM97" s="397">
        <v>42095</v>
      </c>
      <c r="AN97" s="415">
        <v>5203.5200000000004</v>
      </c>
      <c r="AO97" s="371">
        <v>-1327.6013399999999</v>
      </c>
      <c r="AP97" s="373">
        <v>79</v>
      </c>
      <c r="AQ97" s="59">
        <v>42095</v>
      </c>
      <c r="AR97" s="183">
        <v>5203.5200000000004</v>
      </c>
      <c r="AS97" s="61">
        <f t="shared" si="20"/>
        <v>1</v>
      </c>
      <c r="AT97" s="188">
        <f t="shared" si="19"/>
        <v>14</v>
      </c>
      <c r="AU97" s="68"/>
      <c r="AV97" s="68"/>
      <c r="AW97" s="68"/>
      <c r="AX97" s="68"/>
      <c r="AY97" s="68"/>
      <c r="AZ97" s="68"/>
      <c r="BE97" s="55"/>
      <c r="BF97" s="55"/>
      <c r="BG97" s="55"/>
      <c r="BH97" s="55"/>
      <c r="BI97" s="55"/>
      <c r="BJ97" s="55"/>
    </row>
    <row r="98" spans="38:62" x14ac:dyDescent="0.25">
      <c r="AL98" s="225"/>
      <c r="AM98" s="398">
        <v>42096</v>
      </c>
      <c r="AN98" s="354">
        <v>25267.5</v>
      </c>
      <c r="AO98" s="146">
        <v>-1485.3228920000008</v>
      </c>
      <c r="AP98" s="147">
        <v>140</v>
      </c>
      <c r="AQ98" s="59">
        <v>42096</v>
      </c>
      <c r="AR98" s="183">
        <v>25267.5</v>
      </c>
      <c r="AS98" s="61">
        <f t="shared" si="20"/>
        <v>1</v>
      </c>
      <c r="AT98" s="188">
        <f t="shared" si="19"/>
        <v>14</v>
      </c>
      <c r="AU98" s="68"/>
      <c r="AV98" s="68"/>
      <c r="AW98" s="68"/>
      <c r="AX98" s="68"/>
      <c r="AY98" s="68"/>
      <c r="AZ98" s="68"/>
      <c r="BE98" s="55"/>
      <c r="BF98" s="55"/>
      <c r="BG98" s="55"/>
      <c r="BH98" s="55"/>
      <c r="BI98" s="55"/>
      <c r="BJ98" s="55"/>
    </row>
    <row r="99" spans="38:62" x14ac:dyDescent="0.25">
      <c r="AL99" s="225"/>
      <c r="AM99" s="398">
        <v>42098</v>
      </c>
      <c r="AN99" s="354">
        <v>67267.77</v>
      </c>
      <c r="AO99" s="146">
        <v>18782.274940000003</v>
      </c>
      <c r="AP99" s="147">
        <v>347</v>
      </c>
      <c r="AQ99" s="59">
        <v>42098</v>
      </c>
      <c r="AR99" s="183">
        <v>67267.77</v>
      </c>
      <c r="AS99" s="61">
        <f t="shared" si="20"/>
        <v>1</v>
      </c>
      <c r="AT99" s="188">
        <f t="shared" si="19"/>
        <v>14</v>
      </c>
      <c r="AU99" s="68"/>
      <c r="AV99" s="68"/>
      <c r="AW99" s="68"/>
      <c r="AX99" s="68"/>
      <c r="AY99" s="68"/>
      <c r="AZ99" s="68"/>
      <c r="BE99" s="55"/>
      <c r="BF99" s="55"/>
      <c r="BG99" s="55"/>
      <c r="BH99" s="55"/>
      <c r="BI99" s="55"/>
      <c r="BJ99" s="55"/>
    </row>
    <row r="100" spans="38:62" x14ac:dyDescent="0.25">
      <c r="AL100" s="225"/>
      <c r="AM100" s="398">
        <v>42099</v>
      </c>
      <c r="AN100" s="354">
        <v>10775.67</v>
      </c>
      <c r="AO100" s="146">
        <v>1891.0971439999998</v>
      </c>
      <c r="AP100" s="147">
        <v>121</v>
      </c>
      <c r="AQ100" s="59">
        <v>42099</v>
      </c>
      <c r="AR100" s="183">
        <v>10775.67</v>
      </c>
      <c r="AS100" s="61">
        <f t="shared" si="20"/>
        <v>1</v>
      </c>
      <c r="AT100" s="188">
        <f t="shared" si="19"/>
        <v>15</v>
      </c>
      <c r="AU100" s="68"/>
      <c r="AV100" s="68"/>
      <c r="AW100" s="68"/>
      <c r="AX100" s="68"/>
      <c r="AY100" s="68"/>
      <c r="AZ100" s="68"/>
      <c r="BE100" s="55"/>
      <c r="BF100" s="55"/>
      <c r="BG100" s="55"/>
      <c r="BH100" s="55"/>
      <c r="BI100" s="55"/>
      <c r="BJ100" s="55"/>
    </row>
    <row r="101" spans="38:62" x14ac:dyDescent="0.25">
      <c r="AL101" s="225"/>
      <c r="AM101" s="398">
        <v>42100</v>
      </c>
      <c r="AN101" s="354">
        <v>16890.22</v>
      </c>
      <c r="AO101" s="146">
        <v>4243.2277000000004</v>
      </c>
      <c r="AP101" s="147">
        <v>163</v>
      </c>
      <c r="AQ101" s="59">
        <v>42100</v>
      </c>
      <c r="AR101" s="183">
        <v>16890.22</v>
      </c>
      <c r="AS101" s="61">
        <f t="shared" si="20"/>
        <v>1</v>
      </c>
      <c r="AT101" s="188">
        <f t="shared" si="19"/>
        <v>15</v>
      </c>
      <c r="AU101" s="68"/>
      <c r="AV101" s="68"/>
      <c r="AW101" s="68"/>
      <c r="AX101" s="68"/>
      <c r="AY101" s="68"/>
      <c r="AZ101" s="68"/>
      <c r="BE101" s="55"/>
      <c r="BF101" s="55"/>
      <c r="BG101" s="55"/>
      <c r="BH101" s="55"/>
      <c r="BI101" s="55"/>
      <c r="BJ101" s="55"/>
    </row>
    <row r="102" spans="38:62" x14ac:dyDescent="0.25">
      <c r="AL102" s="225"/>
      <c r="AM102" s="398">
        <v>42101</v>
      </c>
      <c r="AN102" s="354">
        <v>13355.85</v>
      </c>
      <c r="AO102" s="146">
        <v>1396.6820999999998</v>
      </c>
      <c r="AP102" s="147">
        <v>196</v>
      </c>
      <c r="AQ102" s="59">
        <v>42101</v>
      </c>
      <c r="AR102" s="183">
        <v>13355.85</v>
      </c>
      <c r="AS102" s="61">
        <f t="shared" si="20"/>
        <v>1</v>
      </c>
      <c r="AT102" s="188">
        <f t="shared" si="19"/>
        <v>15</v>
      </c>
      <c r="AU102" s="68"/>
      <c r="AV102" s="68"/>
      <c r="AW102" s="68"/>
      <c r="AX102" s="68"/>
      <c r="AY102" s="68"/>
      <c r="AZ102" s="68"/>
      <c r="BE102" s="55"/>
      <c r="BF102" s="55"/>
      <c r="BG102" s="55"/>
      <c r="BH102" s="55"/>
      <c r="BI102" s="55"/>
      <c r="BJ102" s="55"/>
    </row>
    <row r="103" spans="38:62" x14ac:dyDescent="0.25">
      <c r="AL103" s="225"/>
      <c r="AM103" s="398">
        <v>42102</v>
      </c>
      <c r="AN103" s="354">
        <v>3637.02</v>
      </c>
      <c r="AO103" s="146">
        <v>823.54313999999999</v>
      </c>
      <c r="AP103" s="147">
        <v>120</v>
      </c>
      <c r="AQ103" s="59">
        <v>42102</v>
      </c>
      <c r="AR103" s="183">
        <v>3637.02</v>
      </c>
      <c r="AS103" s="61">
        <f t="shared" si="20"/>
        <v>1</v>
      </c>
      <c r="AT103" s="188">
        <f t="shared" si="19"/>
        <v>15</v>
      </c>
      <c r="AU103" s="68"/>
      <c r="AV103" s="68"/>
      <c r="AW103" s="68"/>
      <c r="AX103" s="68"/>
      <c r="AY103" s="68"/>
      <c r="AZ103" s="68"/>
      <c r="BE103" s="55"/>
      <c r="BF103" s="55"/>
      <c r="BG103" s="55"/>
      <c r="BH103" s="55"/>
      <c r="BI103" s="55"/>
      <c r="BJ103" s="55"/>
    </row>
    <row r="104" spans="38:62" x14ac:dyDescent="0.25">
      <c r="AL104" s="225"/>
      <c r="AM104" s="398">
        <v>42103</v>
      </c>
      <c r="AN104" s="354">
        <v>19709.509999999998</v>
      </c>
      <c r="AO104" s="146">
        <v>3935.9314599999998</v>
      </c>
      <c r="AP104" s="147">
        <v>361</v>
      </c>
      <c r="AQ104" s="59">
        <v>42103</v>
      </c>
      <c r="AR104" s="183">
        <v>19709.509999999998</v>
      </c>
      <c r="AS104" s="61">
        <f t="shared" si="20"/>
        <v>1</v>
      </c>
      <c r="AT104" s="188">
        <f t="shared" si="19"/>
        <v>15</v>
      </c>
      <c r="AU104" s="68"/>
      <c r="AV104" s="68"/>
      <c r="AW104" s="68"/>
      <c r="AX104" s="68"/>
      <c r="AY104" s="68"/>
      <c r="AZ104" s="68"/>
      <c r="BE104" s="55"/>
      <c r="BF104" s="55"/>
      <c r="BG104" s="55"/>
      <c r="BH104" s="55"/>
      <c r="BI104" s="55"/>
      <c r="BJ104" s="55"/>
    </row>
    <row r="105" spans="38:62" x14ac:dyDescent="0.25">
      <c r="AL105" s="225"/>
      <c r="AM105" s="398">
        <v>42104</v>
      </c>
      <c r="AN105" s="354">
        <v>13636.13</v>
      </c>
      <c r="AO105" s="146">
        <v>1562.5688999999998</v>
      </c>
      <c r="AP105" s="147">
        <v>107</v>
      </c>
      <c r="AQ105" s="59">
        <v>42104</v>
      </c>
      <c r="AR105" s="183">
        <v>13636.13</v>
      </c>
      <c r="AS105" s="61">
        <f t="shared" si="20"/>
        <v>1</v>
      </c>
      <c r="AT105" s="188">
        <f t="shared" si="19"/>
        <v>15</v>
      </c>
      <c r="AU105" s="68"/>
      <c r="AV105" s="68"/>
      <c r="AW105" s="68"/>
      <c r="AX105" s="68"/>
      <c r="AY105" s="68"/>
      <c r="AZ105" s="68"/>
      <c r="BE105" s="55"/>
      <c r="BF105" s="55"/>
      <c r="BG105" s="55"/>
      <c r="BH105" s="55"/>
      <c r="BI105" s="55"/>
      <c r="BJ105" s="55"/>
    </row>
    <row r="106" spans="38:62" x14ac:dyDescent="0.25">
      <c r="AL106" s="225"/>
      <c r="AM106" s="398">
        <v>42105</v>
      </c>
      <c r="AN106" s="354">
        <v>954.94</v>
      </c>
      <c r="AO106" s="146">
        <v>166.29429999999996</v>
      </c>
      <c r="AP106" s="147">
        <v>66</v>
      </c>
      <c r="AQ106" s="59">
        <v>42105</v>
      </c>
      <c r="AR106" s="183">
        <v>954.94</v>
      </c>
      <c r="AS106" s="61">
        <f t="shared" si="20"/>
        <v>1</v>
      </c>
      <c r="AT106" s="188">
        <f t="shared" si="19"/>
        <v>15</v>
      </c>
      <c r="AU106" s="68"/>
      <c r="AV106" s="68"/>
      <c r="AW106" s="68"/>
      <c r="AX106" s="68"/>
      <c r="AY106" s="68"/>
      <c r="AZ106" s="68"/>
      <c r="BE106" s="55"/>
      <c r="BF106" s="55"/>
      <c r="BG106" s="55"/>
      <c r="BH106" s="55"/>
      <c r="BI106" s="55"/>
      <c r="BJ106" s="55"/>
    </row>
    <row r="107" spans="38:62" x14ac:dyDescent="0.25">
      <c r="AL107" s="225"/>
      <c r="AM107" s="398">
        <v>42106</v>
      </c>
      <c r="AN107" s="354">
        <v>490</v>
      </c>
      <c r="AO107" s="146">
        <v>-945.48928799999999</v>
      </c>
      <c r="AP107" s="147">
        <v>26</v>
      </c>
      <c r="AQ107" s="59">
        <v>42106</v>
      </c>
      <c r="AR107" s="183">
        <v>490</v>
      </c>
      <c r="AS107" s="61">
        <f t="shared" si="20"/>
        <v>1</v>
      </c>
      <c r="AT107" s="188">
        <f t="shared" si="19"/>
        <v>16</v>
      </c>
      <c r="AU107" s="68"/>
      <c r="AV107" s="68"/>
      <c r="AW107" s="68"/>
      <c r="AX107" s="68"/>
      <c r="AY107" s="68"/>
      <c r="AZ107" s="68"/>
      <c r="BE107" s="55"/>
      <c r="BF107" s="55"/>
      <c r="BG107" s="55"/>
      <c r="BH107" s="55"/>
      <c r="BI107" s="55"/>
      <c r="BJ107" s="55"/>
    </row>
    <row r="108" spans="38:62" x14ac:dyDescent="0.25">
      <c r="AL108" s="225"/>
      <c r="AM108" s="398">
        <v>42107</v>
      </c>
      <c r="AN108" s="354">
        <v>3318.93</v>
      </c>
      <c r="AO108" s="146">
        <v>1204.0263599999998</v>
      </c>
      <c r="AP108" s="147">
        <v>76</v>
      </c>
      <c r="AQ108" s="59">
        <v>42107</v>
      </c>
      <c r="AR108" s="183">
        <v>3318.93</v>
      </c>
      <c r="AS108" s="61">
        <f t="shared" si="20"/>
        <v>1</v>
      </c>
      <c r="AT108" s="188">
        <f t="shared" si="19"/>
        <v>16</v>
      </c>
      <c r="AU108" s="68"/>
      <c r="AV108" s="68"/>
      <c r="AW108" s="68"/>
      <c r="AX108" s="68"/>
      <c r="AY108" s="68"/>
      <c r="AZ108" s="68"/>
      <c r="BE108" s="55"/>
      <c r="BF108" s="55"/>
      <c r="BG108" s="55"/>
      <c r="BH108" s="55"/>
      <c r="BI108" s="55"/>
      <c r="BJ108" s="55"/>
    </row>
    <row r="109" spans="38:62" x14ac:dyDescent="0.25">
      <c r="AL109" s="225"/>
      <c r="AM109" s="398">
        <v>42108</v>
      </c>
      <c r="AN109" s="354">
        <v>1809.72</v>
      </c>
      <c r="AO109" s="146">
        <v>-932.17820600000005</v>
      </c>
      <c r="AP109" s="147">
        <v>17</v>
      </c>
      <c r="AQ109" s="59">
        <v>42108</v>
      </c>
      <c r="AR109" s="183">
        <v>1809.72</v>
      </c>
      <c r="AS109" s="61">
        <f t="shared" si="20"/>
        <v>1</v>
      </c>
      <c r="AT109" s="188">
        <f t="shared" si="19"/>
        <v>16</v>
      </c>
      <c r="AU109" s="68"/>
      <c r="AV109" s="68"/>
      <c r="AW109" s="68"/>
      <c r="AX109" s="68"/>
      <c r="AY109" s="68"/>
      <c r="AZ109" s="68"/>
      <c r="BE109" s="55"/>
      <c r="BF109" s="55"/>
      <c r="BG109" s="55"/>
      <c r="BH109" s="55"/>
      <c r="BI109" s="55"/>
      <c r="BJ109" s="55"/>
    </row>
    <row r="110" spans="38:62" x14ac:dyDescent="0.25">
      <c r="AL110" s="225"/>
      <c r="AM110" s="398">
        <v>42109</v>
      </c>
      <c r="AN110" s="354">
        <v>6553.25</v>
      </c>
      <c r="AO110" s="146">
        <v>-1574.1900479999997</v>
      </c>
      <c r="AP110" s="147">
        <v>249</v>
      </c>
      <c r="AQ110" s="59">
        <v>42109</v>
      </c>
      <c r="AR110" s="183">
        <v>6553.25</v>
      </c>
      <c r="AS110" s="61">
        <f t="shared" si="20"/>
        <v>1</v>
      </c>
      <c r="AT110" s="188">
        <f t="shared" si="19"/>
        <v>16</v>
      </c>
      <c r="AU110" s="68"/>
      <c r="AV110" s="68"/>
      <c r="AW110" s="68"/>
      <c r="AX110" s="68"/>
      <c r="AY110" s="68"/>
      <c r="AZ110" s="68"/>
      <c r="BE110" s="55"/>
      <c r="BF110" s="55"/>
      <c r="BG110" s="55"/>
      <c r="BH110" s="55"/>
      <c r="BI110" s="55"/>
      <c r="BJ110" s="55"/>
    </row>
    <row r="111" spans="38:62" x14ac:dyDescent="0.25">
      <c r="AL111" s="225"/>
      <c r="AM111" s="398">
        <v>42110</v>
      </c>
      <c r="AN111" s="354">
        <v>5886.63</v>
      </c>
      <c r="AO111" s="146">
        <v>-3995.8900000000003</v>
      </c>
      <c r="AP111" s="147">
        <v>20</v>
      </c>
      <c r="AQ111" s="59">
        <v>42110</v>
      </c>
      <c r="AR111" s="183">
        <v>5886.63</v>
      </c>
      <c r="AS111" s="61">
        <f t="shared" si="20"/>
        <v>1</v>
      </c>
      <c r="AT111" s="188">
        <f t="shared" si="19"/>
        <v>16</v>
      </c>
      <c r="AU111" s="68"/>
      <c r="AV111" s="68"/>
      <c r="AW111" s="68"/>
      <c r="AX111" s="68"/>
      <c r="AY111" s="68"/>
      <c r="AZ111" s="68"/>
      <c r="BE111" s="55"/>
      <c r="BF111" s="55"/>
      <c r="BG111" s="55"/>
      <c r="BH111" s="55"/>
      <c r="BI111" s="55"/>
      <c r="BJ111" s="55"/>
    </row>
    <row r="112" spans="38:62" x14ac:dyDescent="0.25">
      <c r="AL112" s="225"/>
      <c r="AM112" s="398">
        <v>42111</v>
      </c>
      <c r="AN112" s="354">
        <v>13273.29</v>
      </c>
      <c r="AO112" s="146">
        <v>-15762.591588000001</v>
      </c>
      <c r="AP112" s="147">
        <v>76</v>
      </c>
      <c r="AQ112" s="59">
        <v>42111</v>
      </c>
      <c r="AR112" s="183">
        <v>13273.29</v>
      </c>
      <c r="AS112" s="61">
        <f t="shared" si="20"/>
        <v>1</v>
      </c>
      <c r="AT112" s="188">
        <f t="shared" si="19"/>
        <v>16</v>
      </c>
      <c r="AU112" s="68"/>
      <c r="AV112" s="68"/>
      <c r="AW112" s="68"/>
      <c r="AX112" s="68"/>
      <c r="AY112" s="68"/>
      <c r="AZ112" s="68"/>
      <c r="BE112" s="55"/>
      <c r="BF112" s="55"/>
      <c r="BG112" s="55"/>
      <c r="BH112" s="55"/>
      <c r="BI112" s="55"/>
      <c r="BJ112" s="55"/>
    </row>
    <row r="113" spans="38:62" x14ac:dyDescent="0.25">
      <c r="AL113" s="225"/>
      <c r="AM113" s="398">
        <v>42112</v>
      </c>
      <c r="AN113" s="354">
        <v>10317.049999999999</v>
      </c>
      <c r="AO113" s="146">
        <v>1003.6260999999998</v>
      </c>
      <c r="AP113" s="147">
        <v>209</v>
      </c>
      <c r="AQ113" s="59">
        <v>42112</v>
      </c>
      <c r="AR113" s="183">
        <v>10317.049999999999</v>
      </c>
      <c r="AS113" s="61">
        <f t="shared" si="20"/>
        <v>1</v>
      </c>
      <c r="AT113" s="188">
        <f t="shared" si="19"/>
        <v>16</v>
      </c>
      <c r="AU113" s="68"/>
      <c r="AV113" s="68"/>
      <c r="AW113" s="68"/>
      <c r="AX113" s="68"/>
      <c r="AY113" s="68"/>
      <c r="AZ113" s="68"/>
      <c r="BE113" s="55"/>
      <c r="BF113" s="55"/>
      <c r="BG113" s="55"/>
      <c r="BH113" s="55"/>
      <c r="BI113" s="55"/>
      <c r="BJ113" s="55"/>
    </row>
    <row r="114" spans="38:62" x14ac:dyDescent="0.25">
      <c r="AL114" s="225"/>
      <c r="AM114" s="398">
        <v>42113</v>
      </c>
      <c r="AN114" s="354">
        <v>7818.3</v>
      </c>
      <c r="AO114" s="146">
        <v>-1162.37878</v>
      </c>
      <c r="AP114" s="147">
        <v>81</v>
      </c>
      <c r="AQ114" s="59">
        <v>42113</v>
      </c>
      <c r="AR114" s="183">
        <v>7818.3</v>
      </c>
      <c r="AS114" s="61">
        <f t="shared" si="20"/>
        <v>1</v>
      </c>
      <c r="AT114" s="188">
        <f t="shared" si="19"/>
        <v>17</v>
      </c>
      <c r="AU114" s="68"/>
      <c r="AV114" s="68"/>
      <c r="AW114" s="68"/>
      <c r="AX114" s="68"/>
      <c r="AY114" s="68"/>
      <c r="AZ114" s="68"/>
      <c r="BE114" s="55"/>
      <c r="BF114" s="55"/>
      <c r="BG114" s="55"/>
      <c r="BH114" s="55"/>
      <c r="BI114" s="55"/>
      <c r="BJ114" s="55"/>
    </row>
    <row r="115" spans="38:62" x14ac:dyDescent="0.25">
      <c r="AL115" s="225"/>
      <c r="AM115" s="398">
        <v>42114</v>
      </c>
      <c r="AN115" s="354">
        <v>19795.490000000002</v>
      </c>
      <c r="AO115" s="146">
        <v>4078.8972800000006</v>
      </c>
      <c r="AP115" s="147">
        <v>151</v>
      </c>
      <c r="AQ115" s="59">
        <v>42114</v>
      </c>
      <c r="AR115" s="183">
        <v>19795.490000000002</v>
      </c>
      <c r="AS115" s="61">
        <f t="shared" si="20"/>
        <v>1</v>
      </c>
      <c r="AT115" s="188">
        <f t="shared" si="19"/>
        <v>17</v>
      </c>
      <c r="AU115" s="68"/>
      <c r="AV115" s="68"/>
      <c r="AW115" s="68"/>
      <c r="AX115" s="68"/>
      <c r="AY115" s="68"/>
      <c r="AZ115" s="68"/>
      <c r="BE115" s="55"/>
      <c r="BF115" s="55"/>
      <c r="BG115" s="55"/>
      <c r="BH115" s="55"/>
      <c r="BI115" s="55"/>
      <c r="BJ115" s="55"/>
    </row>
    <row r="116" spans="38:62" x14ac:dyDescent="0.25">
      <c r="AL116" s="225"/>
      <c r="AM116" s="398">
        <v>42115</v>
      </c>
      <c r="AN116" s="354">
        <v>23413.18</v>
      </c>
      <c r="AO116" s="146">
        <v>11619.664060000001</v>
      </c>
      <c r="AP116" s="147">
        <v>171</v>
      </c>
      <c r="AQ116" s="59">
        <v>42115</v>
      </c>
      <c r="AR116" s="183">
        <v>23413.18</v>
      </c>
      <c r="AS116" s="61">
        <f t="shared" si="20"/>
        <v>1</v>
      </c>
      <c r="AT116" s="188">
        <f t="shared" si="19"/>
        <v>17</v>
      </c>
      <c r="AU116" s="68"/>
      <c r="AV116" s="68"/>
      <c r="AW116" s="68"/>
      <c r="AX116" s="68"/>
      <c r="AY116" s="68"/>
      <c r="AZ116" s="68"/>
      <c r="BE116" s="55"/>
      <c r="BF116" s="55"/>
      <c r="BG116" s="55"/>
      <c r="BH116" s="55"/>
      <c r="BI116" s="55"/>
      <c r="BJ116" s="55"/>
    </row>
    <row r="117" spans="38:62" x14ac:dyDescent="0.25">
      <c r="AL117" s="225"/>
      <c r="AM117" s="398">
        <v>42116</v>
      </c>
      <c r="AN117" s="354">
        <v>2565.9</v>
      </c>
      <c r="AO117" s="146">
        <v>681.11920000000009</v>
      </c>
      <c r="AP117" s="147">
        <v>112</v>
      </c>
      <c r="AQ117" s="59">
        <v>42116</v>
      </c>
      <c r="AR117" s="183">
        <v>2565.9</v>
      </c>
      <c r="AS117" s="61">
        <f t="shared" si="20"/>
        <v>1</v>
      </c>
      <c r="AT117" s="188">
        <f t="shared" si="19"/>
        <v>17</v>
      </c>
      <c r="AU117" s="68"/>
      <c r="AV117" s="68"/>
      <c r="AW117" s="68"/>
      <c r="AX117" s="68"/>
      <c r="AY117" s="68"/>
      <c r="AZ117" s="68"/>
      <c r="BE117" s="55"/>
      <c r="BF117" s="55"/>
      <c r="BG117" s="55"/>
      <c r="BH117" s="55"/>
      <c r="BI117" s="55"/>
      <c r="BJ117" s="55"/>
    </row>
    <row r="118" spans="38:62" x14ac:dyDescent="0.25">
      <c r="AL118" s="225"/>
      <c r="AM118" s="398">
        <v>42117</v>
      </c>
      <c r="AN118" s="354">
        <v>10621.21</v>
      </c>
      <c r="AO118" s="146">
        <v>-594.80456000000004</v>
      </c>
      <c r="AP118" s="147">
        <v>56</v>
      </c>
      <c r="AQ118" s="59">
        <v>42117</v>
      </c>
      <c r="AR118" s="183">
        <v>10621.21</v>
      </c>
      <c r="AS118" s="61">
        <f t="shared" si="20"/>
        <v>1</v>
      </c>
      <c r="AT118" s="188">
        <f t="shared" si="19"/>
        <v>17</v>
      </c>
      <c r="AU118" s="68"/>
      <c r="AV118" s="68"/>
      <c r="AW118" s="68"/>
      <c r="AX118" s="68"/>
      <c r="AY118" s="68"/>
      <c r="AZ118" s="68"/>
      <c r="BE118" s="55"/>
      <c r="BF118" s="55"/>
      <c r="BG118" s="55"/>
      <c r="BH118" s="55"/>
      <c r="BI118" s="55"/>
      <c r="BJ118" s="55"/>
    </row>
    <row r="119" spans="38:62" x14ac:dyDescent="0.25">
      <c r="AL119" s="225"/>
      <c r="AM119" s="398">
        <v>42118</v>
      </c>
      <c r="AN119" s="354">
        <v>2152.5300000000002</v>
      </c>
      <c r="AO119" s="146">
        <v>1136.6990000000001</v>
      </c>
      <c r="AP119" s="147">
        <v>52</v>
      </c>
      <c r="AQ119" s="59">
        <v>42118</v>
      </c>
      <c r="AR119" s="183">
        <v>2152.5300000000002</v>
      </c>
      <c r="AS119" s="61">
        <f t="shared" si="20"/>
        <v>1</v>
      </c>
      <c r="AT119" s="188">
        <f t="shared" si="19"/>
        <v>17</v>
      </c>
      <c r="AU119" s="68"/>
      <c r="AV119" s="68"/>
      <c r="AW119" s="68"/>
      <c r="AX119" s="68"/>
      <c r="AY119" s="68"/>
      <c r="AZ119" s="68"/>
      <c r="BE119" s="55"/>
      <c r="BF119" s="55"/>
      <c r="BG119" s="55"/>
      <c r="BH119" s="55"/>
      <c r="BI119" s="55"/>
      <c r="BJ119" s="55"/>
    </row>
    <row r="120" spans="38:62" x14ac:dyDescent="0.25">
      <c r="AL120" s="225"/>
      <c r="AM120" s="398">
        <v>42119</v>
      </c>
      <c r="AN120" s="354">
        <v>37768.199999999997</v>
      </c>
      <c r="AO120" s="146">
        <v>10634.296399999999</v>
      </c>
      <c r="AP120" s="147">
        <v>159</v>
      </c>
      <c r="AQ120" s="59">
        <v>42119</v>
      </c>
      <c r="AR120" s="183">
        <v>37768.199999999997</v>
      </c>
      <c r="AS120" s="61">
        <f t="shared" si="20"/>
        <v>1</v>
      </c>
      <c r="AT120" s="188">
        <f t="shared" si="19"/>
        <v>17</v>
      </c>
      <c r="AU120" s="68"/>
      <c r="AV120" s="68"/>
      <c r="AW120" s="68"/>
      <c r="AX120" s="68"/>
      <c r="AY120" s="68"/>
      <c r="AZ120" s="68"/>
      <c r="BE120" s="55"/>
      <c r="BF120" s="55"/>
      <c r="BG120" s="55"/>
      <c r="BH120" s="55"/>
      <c r="BI120" s="55"/>
      <c r="BJ120" s="55"/>
    </row>
    <row r="121" spans="38:62" x14ac:dyDescent="0.25">
      <c r="AL121" s="225"/>
      <c r="AM121" s="398">
        <v>42120</v>
      </c>
      <c r="AN121" s="354">
        <v>12354.36</v>
      </c>
      <c r="AO121" s="146">
        <v>3162.2311</v>
      </c>
      <c r="AP121" s="147">
        <v>96</v>
      </c>
      <c r="AQ121" s="59">
        <v>42120</v>
      </c>
      <c r="AR121" s="183">
        <v>12354.36</v>
      </c>
      <c r="AS121" s="61">
        <f t="shared" si="20"/>
        <v>1</v>
      </c>
      <c r="AT121" s="188">
        <f t="shared" si="19"/>
        <v>18</v>
      </c>
      <c r="AU121" s="68"/>
      <c r="AV121" s="68"/>
      <c r="AW121" s="68"/>
      <c r="AX121" s="68"/>
      <c r="AY121" s="68"/>
      <c r="AZ121" s="68"/>
      <c r="BE121" s="55"/>
      <c r="BF121" s="55"/>
      <c r="BG121" s="55"/>
      <c r="BH121" s="55"/>
      <c r="BI121" s="55"/>
      <c r="BJ121" s="55"/>
    </row>
    <row r="122" spans="38:62" x14ac:dyDescent="0.25">
      <c r="AL122" s="225"/>
      <c r="AM122" s="398">
        <v>42121</v>
      </c>
      <c r="AN122" s="354">
        <v>5296.63</v>
      </c>
      <c r="AO122" s="146">
        <v>1465.7903600000002</v>
      </c>
      <c r="AP122" s="147">
        <v>68</v>
      </c>
      <c r="AQ122" s="59">
        <v>42121</v>
      </c>
      <c r="AR122" s="183">
        <v>5296.63</v>
      </c>
      <c r="AS122" s="61">
        <f t="shared" si="20"/>
        <v>1</v>
      </c>
      <c r="AT122" s="188">
        <f t="shared" si="19"/>
        <v>18</v>
      </c>
      <c r="AU122" s="68"/>
      <c r="AV122" s="68"/>
      <c r="AW122" s="68"/>
      <c r="AX122" s="68"/>
      <c r="AY122" s="68"/>
      <c r="AZ122" s="68"/>
      <c r="BE122" s="55"/>
      <c r="BF122" s="55"/>
      <c r="BG122" s="55"/>
      <c r="BH122" s="55"/>
      <c r="BI122" s="55"/>
      <c r="BJ122" s="55"/>
    </row>
    <row r="123" spans="38:62" x14ac:dyDescent="0.25">
      <c r="AL123" s="225"/>
      <c r="AM123" s="398">
        <v>42122</v>
      </c>
      <c r="AN123" s="354">
        <v>31319</v>
      </c>
      <c r="AO123" s="146">
        <v>4706.247220000002</v>
      </c>
      <c r="AP123" s="147">
        <v>318</v>
      </c>
      <c r="AQ123" s="59">
        <v>42122</v>
      </c>
      <c r="AR123" s="183">
        <v>31319</v>
      </c>
      <c r="AS123" s="61">
        <f t="shared" si="20"/>
        <v>1</v>
      </c>
      <c r="AT123" s="188">
        <f t="shared" si="19"/>
        <v>18</v>
      </c>
      <c r="AU123" s="68"/>
      <c r="AV123" s="68"/>
      <c r="AW123" s="68"/>
      <c r="AX123" s="68"/>
      <c r="AY123" s="68"/>
      <c r="AZ123" s="68"/>
      <c r="BE123" s="55"/>
      <c r="BF123" s="55"/>
      <c r="BG123" s="55"/>
      <c r="BH123" s="55"/>
      <c r="BI123" s="55"/>
      <c r="BJ123" s="55"/>
    </row>
    <row r="124" spans="38:62" x14ac:dyDescent="0.25">
      <c r="AL124" s="225"/>
      <c r="AM124" s="398">
        <v>42123</v>
      </c>
      <c r="AN124" s="354">
        <v>3561.59</v>
      </c>
      <c r="AO124" s="146">
        <v>667.25720000000001</v>
      </c>
      <c r="AP124" s="147">
        <v>105</v>
      </c>
      <c r="AQ124" s="59">
        <v>42123</v>
      </c>
      <c r="AR124" s="183">
        <v>3561.59</v>
      </c>
      <c r="AS124" s="61">
        <f t="shared" si="20"/>
        <v>1</v>
      </c>
      <c r="AT124" s="188">
        <f t="shared" si="19"/>
        <v>18</v>
      </c>
      <c r="AU124" s="68"/>
      <c r="AV124" s="68"/>
      <c r="AW124" s="68"/>
      <c r="AX124" s="68"/>
      <c r="AY124" s="68"/>
      <c r="AZ124" s="68"/>
      <c r="BE124" s="55"/>
      <c r="BF124" s="55"/>
      <c r="BG124" s="55"/>
      <c r="BH124" s="55"/>
      <c r="BI124" s="55"/>
      <c r="BJ124" s="55"/>
    </row>
    <row r="125" spans="38:62" ht="15.75" thickBot="1" x14ac:dyDescent="0.3">
      <c r="AL125" s="225"/>
      <c r="AM125" s="399">
        <v>42124</v>
      </c>
      <c r="AN125" s="354">
        <v>9015.7999999999993</v>
      </c>
      <c r="AO125" s="146">
        <v>4801.0758399999995</v>
      </c>
      <c r="AP125" s="147">
        <v>191</v>
      </c>
      <c r="AQ125" s="59">
        <v>42124</v>
      </c>
      <c r="AR125" s="183">
        <v>9015.7999999999993</v>
      </c>
      <c r="AS125" s="61">
        <f t="shared" si="20"/>
        <v>1</v>
      </c>
      <c r="AT125" s="188">
        <f t="shared" si="19"/>
        <v>18</v>
      </c>
      <c r="AU125" s="68"/>
      <c r="AV125" s="68"/>
      <c r="AW125" s="68"/>
      <c r="AX125" s="68"/>
      <c r="AY125" s="68"/>
      <c r="AZ125" s="68"/>
      <c r="BE125" s="55"/>
      <c r="BF125" s="55"/>
      <c r="BG125" s="55"/>
      <c r="BH125" s="55"/>
      <c r="BI125" s="55"/>
      <c r="BJ125" s="55"/>
    </row>
    <row r="126" spans="38:62" x14ac:dyDescent="0.25">
      <c r="AL126" s="228" t="s">
        <v>3047</v>
      </c>
      <c r="AM126" s="397">
        <v>42125</v>
      </c>
      <c r="AN126" s="415">
        <v>1701.6</v>
      </c>
      <c r="AO126" s="371">
        <v>-770.36460000000011</v>
      </c>
      <c r="AP126" s="373">
        <v>179</v>
      </c>
      <c r="AQ126" s="59">
        <v>42125</v>
      </c>
      <c r="AR126" s="183">
        <v>1701.6</v>
      </c>
      <c r="AS126" s="61">
        <f t="shared" si="20"/>
        <v>1</v>
      </c>
      <c r="AT126" s="188">
        <f t="shared" si="19"/>
        <v>18</v>
      </c>
      <c r="AU126" s="68"/>
      <c r="AV126" s="68"/>
      <c r="AW126" s="68"/>
      <c r="AX126" s="68"/>
      <c r="AY126" s="68"/>
      <c r="AZ126" s="68"/>
      <c r="BE126" s="55"/>
      <c r="BF126" s="55"/>
      <c r="BG126" s="55"/>
      <c r="BH126" s="55"/>
      <c r="BI126" s="55"/>
      <c r="BJ126" s="55"/>
    </row>
    <row r="127" spans="38:62" x14ac:dyDescent="0.25">
      <c r="AL127" s="225"/>
      <c r="AM127" s="398">
        <v>42126</v>
      </c>
      <c r="AN127" s="354">
        <v>12530.77</v>
      </c>
      <c r="AO127" s="146">
        <v>988.12239999999997</v>
      </c>
      <c r="AP127" s="147">
        <v>226</v>
      </c>
      <c r="AQ127" s="59">
        <v>42126</v>
      </c>
      <c r="AR127" s="183">
        <v>12530.77</v>
      </c>
      <c r="AS127" s="61">
        <f t="shared" si="20"/>
        <v>1</v>
      </c>
      <c r="AT127" s="188">
        <f t="shared" si="19"/>
        <v>18</v>
      </c>
      <c r="AU127" s="68"/>
      <c r="AV127" s="68"/>
      <c r="AW127" s="68"/>
      <c r="AX127" s="68"/>
      <c r="AY127" s="68"/>
      <c r="AZ127" s="68"/>
      <c r="BE127" s="55"/>
      <c r="BF127" s="55"/>
      <c r="BG127" s="55"/>
      <c r="BH127" s="55"/>
      <c r="BI127" s="55"/>
      <c r="BJ127" s="55"/>
    </row>
    <row r="128" spans="38:62" x14ac:dyDescent="0.25">
      <c r="AL128" s="225"/>
      <c r="AM128" s="398">
        <v>42127</v>
      </c>
      <c r="AN128" s="354">
        <v>21562.16</v>
      </c>
      <c r="AO128" s="146">
        <v>2647.8308999999995</v>
      </c>
      <c r="AP128" s="147">
        <v>374</v>
      </c>
      <c r="AQ128" s="59">
        <v>42127</v>
      </c>
      <c r="AR128" s="183">
        <v>21562.16</v>
      </c>
      <c r="AS128" s="61">
        <f t="shared" si="20"/>
        <v>1</v>
      </c>
      <c r="AT128" s="188">
        <f t="shared" si="19"/>
        <v>19</v>
      </c>
      <c r="AU128" s="68"/>
      <c r="AV128" s="68"/>
      <c r="AW128" s="68"/>
      <c r="AX128" s="68"/>
      <c r="AY128" s="68"/>
      <c r="AZ128" s="68"/>
      <c r="BE128" s="55"/>
      <c r="BF128" s="55"/>
      <c r="BG128" s="55"/>
      <c r="BH128" s="55"/>
      <c r="BI128" s="55"/>
      <c r="BJ128" s="55"/>
    </row>
    <row r="129" spans="38:62" x14ac:dyDescent="0.25">
      <c r="AL129" s="225"/>
      <c r="AM129" s="398">
        <v>42128</v>
      </c>
      <c r="AN129" s="354">
        <v>7375.22</v>
      </c>
      <c r="AO129" s="146">
        <v>3755.5654000000004</v>
      </c>
      <c r="AP129" s="147">
        <v>192</v>
      </c>
      <c r="AQ129" s="59">
        <v>42128</v>
      </c>
      <c r="AR129" s="183">
        <v>7375.22</v>
      </c>
      <c r="AS129" s="61">
        <f t="shared" si="20"/>
        <v>1</v>
      </c>
      <c r="AT129" s="188">
        <f t="shared" si="19"/>
        <v>19</v>
      </c>
      <c r="AU129" s="68"/>
      <c r="AV129" s="68"/>
      <c r="AW129" s="68"/>
      <c r="AX129" s="68"/>
      <c r="AY129" s="68"/>
      <c r="AZ129" s="68"/>
      <c r="BE129" s="55"/>
      <c r="BF129" s="55"/>
      <c r="BG129" s="55"/>
      <c r="BH129" s="55"/>
      <c r="BI129" s="55"/>
      <c r="BJ129" s="55"/>
    </row>
    <row r="130" spans="38:62" x14ac:dyDescent="0.25">
      <c r="AL130" s="225"/>
      <c r="AM130" s="398">
        <v>42129</v>
      </c>
      <c r="AN130" s="354">
        <v>25136.13</v>
      </c>
      <c r="AO130" s="146">
        <v>7753.8048999999992</v>
      </c>
      <c r="AP130" s="147">
        <v>236</v>
      </c>
      <c r="AQ130" s="59">
        <v>42129</v>
      </c>
      <c r="AR130" s="183">
        <v>25136.13</v>
      </c>
      <c r="AS130" s="61">
        <f t="shared" si="20"/>
        <v>1</v>
      </c>
      <c r="AT130" s="188">
        <f t="shared" si="19"/>
        <v>19</v>
      </c>
      <c r="AU130" s="68"/>
      <c r="AV130" s="68"/>
      <c r="AW130" s="68"/>
      <c r="AX130" s="68"/>
      <c r="AY130" s="68"/>
      <c r="AZ130" s="68"/>
      <c r="BE130" s="55"/>
      <c r="BF130" s="55"/>
      <c r="BG130" s="55"/>
      <c r="BH130" s="55"/>
      <c r="BI130" s="55"/>
      <c r="BJ130" s="55"/>
    </row>
    <row r="131" spans="38:62" x14ac:dyDescent="0.25">
      <c r="AL131" s="225"/>
      <c r="AM131" s="398">
        <v>42130</v>
      </c>
      <c r="AN131" s="354">
        <v>992.07</v>
      </c>
      <c r="AO131" s="146">
        <v>-640.10440000000006</v>
      </c>
      <c r="AP131" s="147">
        <v>39</v>
      </c>
      <c r="AQ131" s="59">
        <v>42130</v>
      </c>
      <c r="AR131" s="183">
        <v>992.07</v>
      </c>
      <c r="AS131" s="61">
        <f t="shared" si="20"/>
        <v>1</v>
      </c>
      <c r="AT131" s="188">
        <f t="shared" si="19"/>
        <v>19</v>
      </c>
      <c r="AU131" s="68"/>
      <c r="AV131" s="68"/>
      <c r="AW131" s="68"/>
      <c r="AX131" s="68"/>
      <c r="AY131" s="68"/>
      <c r="AZ131" s="68"/>
      <c r="BE131" s="55"/>
      <c r="BF131" s="55"/>
      <c r="BG131" s="55"/>
      <c r="BH131" s="55"/>
      <c r="BI131" s="55"/>
      <c r="BJ131" s="55"/>
    </row>
    <row r="132" spans="38:62" x14ac:dyDescent="0.25">
      <c r="AL132" s="225"/>
      <c r="AM132" s="398">
        <v>42131</v>
      </c>
      <c r="AN132" s="354">
        <v>3652.49</v>
      </c>
      <c r="AO132" s="146">
        <v>-934.82810000000006</v>
      </c>
      <c r="AP132" s="147">
        <v>102</v>
      </c>
      <c r="AQ132" s="59">
        <v>42131</v>
      </c>
      <c r="AR132" s="183">
        <v>3652.49</v>
      </c>
      <c r="AS132" s="61">
        <f t="shared" si="20"/>
        <v>1</v>
      </c>
      <c r="AT132" s="188">
        <f t="shared" si="19"/>
        <v>19</v>
      </c>
      <c r="AU132" s="68"/>
      <c r="AV132" s="68"/>
      <c r="AW132" s="68"/>
      <c r="AX132" s="68"/>
      <c r="AY132" s="68"/>
      <c r="AZ132" s="68"/>
      <c r="BE132" s="55"/>
      <c r="BF132" s="55"/>
      <c r="BG132" s="55"/>
      <c r="BH132" s="55"/>
      <c r="BI132" s="55"/>
      <c r="BJ132" s="55"/>
    </row>
    <row r="133" spans="38:62" x14ac:dyDescent="0.25">
      <c r="AL133" s="225"/>
      <c r="AM133" s="398">
        <v>42132</v>
      </c>
      <c r="AN133" s="354">
        <v>8591.7800000000007</v>
      </c>
      <c r="AO133" s="146">
        <v>1396.5057000000002</v>
      </c>
      <c r="AP133" s="147">
        <v>126</v>
      </c>
      <c r="AQ133" s="59">
        <v>42132</v>
      </c>
      <c r="AR133" s="183">
        <v>8591.7800000000007</v>
      </c>
      <c r="AS133" s="61">
        <f t="shared" si="20"/>
        <v>1</v>
      </c>
      <c r="AT133" s="188">
        <f t="shared" si="19"/>
        <v>19</v>
      </c>
      <c r="AU133" s="68"/>
      <c r="AV133" s="68"/>
      <c r="AW133" s="68"/>
      <c r="AX133" s="68"/>
      <c r="AY133" s="68"/>
      <c r="AZ133" s="68"/>
      <c r="BE133" s="55"/>
      <c r="BF133" s="55"/>
      <c r="BG133" s="55"/>
      <c r="BH133" s="55"/>
      <c r="BI133" s="55"/>
      <c r="BJ133" s="55"/>
    </row>
    <row r="134" spans="38:62" x14ac:dyDescent="0.25">
      <c r="AL134" s="225"/>
      <c r="AM134" s="398">
        <v>42133</v>
      </c>
      <c r="AN134" s="354">
        <v>909.09</v>
      </c>
      <c r="AO134" s="146">
        <v>-384.05230000000006</v>
      </c>
      <c r="AP134" s="147">
        <v>77</v>
      </c>
      <c r="AQ134" s="59">
        <v>42133</v>
      </c>
      <c r="AR134" s="183">
        <v>909.09</v>
      </c>
      <c r="AS134" s="61">
        <f t="shared" si="20"/>
        <v>1</v>
      </c>
      <c r="AT134" s="188">
        <f t="shared" si="19"/>
        <v>19</v>
      </c>
      <c r="AU134" s="68"/>
      <c r="AV134" s="68"/>
      <c r="AW134" s="68"/>
      <c r="AX134" s="68"/>
      <c r="AY134" s="68"/>
      <c r="AZ134" s="68"/>
      <c r="BE134" s="55"/>
      <c r="BF134" s="55"/>
      <c r="BG134" s="55"/>
      <c r="BH134" s="55"/>
      <c r="BI134" s="55"/>
      <c r="BJ134" s="55"/>
    </row>
    <row r="135" spans="38:62" x14ac:dyDescent="0.25">
      <c r="AL135" s="225"/>
      <c r="AM135" s="398">
        <v>42134</v>
      </c>
      <c r="AN135" s="354">
        <v>4957.99</v>
      </c>
      <c r="AO135" s="146">
        <v>680.46446000000014</v>
      </c>
      <c r="AP135" s="147">
        <v>121</v>
      </c>
      <c r="AQ135" s="59">
        <v>42134</v>
      </c>
      <c r="AR135" s="183">
        <v>4957.99</v>
      </c>
      <c r="AS135" s="61">
        <f t="shared" si="20"/>
        <v>1</v>
      </c>
      <c r="AT135" s="188">
        <f t="shared" si="19"/>
        <v>20</v>
      </c>
      <c r="AU135" s="68"/>
      <c r="AV135" s="68"/>
      <c r="AW135" s="68"/>
      <c r="AX135" s="68"/>
      <c r="AY135" s="68"/>
      <c r="AZ135" s="68"/>
      <c r="BE135" s="55"/>
      <c r="BF135" s="55"/>
      <c r="BG135" s="55"/>
      <c r="BH135" s="55"/>
      <c r="BI135" s="55"/>
      <c r="BJ135" s="55"/>
    </row>
    <row r="136" spans="38:62" x14ac:dyDescent="0.25">
      <c r="AL136" s="225"/>
      <c r="AM136" s="398">
        <v>42135</v>
      </c>
      <c r="AN136" s="354">
        <v>10693.7</v>
      </c>
      <c r="AO136" s="146">
        <v>4763.5048999999999</v>
      </c>
      <c r="AP136" s="147">
        <v>110</v>
      </c>
      <c r="AQ136" s="59">
        <v>42135</v>
      </c>
      <c r="AR136" s="183">
        <v>10693.7</v>
      </c>
      <c r="AS136" s="61">
        <f t="shared" si="20"/>
        <v>1</v>
      </c>
      <c r="AT136" s="188">
        <f t="shared" ref="AT136:AT185" si="21">WEEKNUM(AQ136)</f>
        <v>20</v>
      </c>
      <c r="AU136" s="68"/>
      <c r="AV136" s="68"/>
      <c r="AW136" s="68"/>
      <c r="AX136" s="68"/>
      <c r="AY136" s="68"/>
      <c r="AZ136" s="68"/>
      <c r="BE136" s="55"/>
      <c r="BF136" s="55"/>
      <c r="BG136" s="55"/>
      <c r="BH136" s="55"/>
      <c r="BI136" s="55"/>
      <c r="BJ136" s="55"/>
    </row>
    <row r="137" spans="38:62" x14ac:dyDescent="0.25">
      <c r="AL137" s="225"/>
      <c r="AM137" s="398">
        <v>42136</v>
      </c>
      <c r="AN137" s="354">
        <v>6177.17</v>
      </c>
      <c r="AO137" s="146">
        <v>-787.51750000000004</v>
      </c>
      <c r="AP137" s="147">
        <v>64</v>
      </c>
      <c r="AQ137" s="59">
        <v>42136</v>
      </c>
      <c r="AR137" s="183">
        <v>6177.17</v>
      </c>
      <c r="AS137" s="61">
        <f t="shared" si="20"/>
        <v>1</v>
      </c>
      <c r="AT137" s="188">
        <f t="shared" si="21"/>
        <v>20</v>
      </c>
      <c r="AU137" s="68"/>
      <c r="AV137" s="68"/>
      <c r="AW137" s="68"/>
      <c r="AX137" s="68"/>
      <c r="AY137" s="68"/>
      <c r="AZ137" s="68"/>
      <c r="BE137" s="55"/>
      <c r="BF137" s="55"/>
      <c r="BG137" s="55"/>
      <c r="BH137" s="55"/>
      <c r="BI137" s="55"/>
      <c r="BJ137" s="55"/>
    </row>
    <row r="138" spans="38:62" x14ac:dyDescent="0.25">
      <c r="AL138" s="225"/>
      <c r="AM138" s="398">
        <v>42137</v>
      </c>
      <c r="AN138" s="354">
        <v>2629.94</v>
      </c>
      <c r="AO138" s="146">
        <v>700.7734999999999</v>
      </c>
      <c r="AP138" s="147">
        <v>85</v>
      </c>
      <c r="AQ138" s="59">
        <v>42137</v>
      </c>
      <c r="AR138" s="183">
        <v>2629.94</v>
      </c>
      <c r="AS138" s="61">
        <f t="shared" ref="AS138:AS185" si="22">IF(AR138=0,0,1)</f>
        <v>1</v>
      </c>
      <c r="AT138" s="188">
        <f t="shared" si="21"/>
        <v>20</v>
      </c>
      <c r="AU138" s="68"/>
      <c r="AV138" s="68"/>
      <c r="AW138" s="68"/>
      <c r="AX138" s="68"/>
      <c r="AY138" s="68"/>
      <c r="AZ138" s="68"/>
      <c r="BE138" s="55"/>
      <c r="BF138" s="55"/>
      <c r="BG138" s="55"/>
      <c r="BH138" s="55"/>
      <c r="BI138" s="55"/>
      <c r="BJ138" s="55"/>
    </row>
    <row r="139" spans="38:62" x14ac:dyDescent="0.25">
      <c r="AL139" s="225"/>
      <c r="AM139" s="398">
        <v>42138</v>
      </c>
      <c r="AN139" s="354">
        <v>7935.95</v>
      </c>
      <c r="AO139" s="146">
        <v>744.44989999999984</v>
      </c>
      <c r="AP139" s="147">
        <v>172</v>
      </c>
      <c r="AQ139" s="59">
        <v>42138</v>
      </c>
      <c r="AR139" s="183">
        <v>7935.95</v>
      </c>
      <c r="AS139" s="61">
        <f t="shared" si="22"/>
        <v>1</v>
      </c>
      <c r="AT139" s="188">
        <f t="shared" si="21"/>
        <v>20</v>
      </c>
      <c r="AU139" s="68"/>
      <c r="AV139" s="68"/>
      <c r="AW139" s="68"/>
      <c r="AX139" s="68"/>
      <c r="AY139" s="68"/>
      <c r="AZ139" s="68"/>
      <c r="BE139" s="55"/>
      <c r="BF139" s="55"/>
      <c r="BG139" s="55"/>
      <c r="BH139" s="55"/>
      <c r="BI139" s="55"/>
      <c r="BJ139" s="55"/>
    </row>
    <row r="140" spans="38:62" x14ac:dyDescent="0.25">
      <c r="AL140" s="225"/>
      <c r="AM140" s="398">
        <v>42139</v>
      </c>
      <c r="AN140" s="354">
        <v>6688.99</v>
      </c>
      <c r="AO140" s="146">
        <v>2094.3651999999997</v>
      </c>
      <c r="AP140" s="147">
        <v>252</v>
      </c>
      <c r="AQ140" s="59">
        <v>42139</v>
      </c>
      <c r="AR140" s="183">
        <v>6688.99</v>
      </c>
      <c r="AS140" s="61">
        <f t="shared" si="22"/>
        <v>1</v>
      </c>
      <c r="AT140" s="188">
        <f t="shared" si="21"/>
        <v>20</v>
      </c>
      <c r="AU140" s="68"/>
      <c r="AV140" s="68"/>
      <c r="AW140" s="68"/>
      <c r="AX140" s="68"/>
      <c r="AY140" s="68"/>
      <c r="AZ140" s="68"/>
      <c r="BE140" s="55"/>
      <c r="BF140" s="55"/>
      <c r="BG140" s="55"/>
      <c r="BH140" s="55"/>
      <c r="BI140" s="55"/>
      <c r="BJ140" s="55"/>
    </row>
    <row r="141" spans="38:62" x14ac:dyDescent="0.25">
      <c r="AL141" s="225"/>
      <c r="AM141" s="398">
        <v>42140</v>
      </c>
      <c r="AN141" s="354">
        <v>10835.31</v>
      </c>
      <c r="AO141" s="146">
        <v>2517.1757000000002</v>
      </c>
      <c r="AP141" s="147">
        <v>354</v>
      </c>
      <c r="AQ141" s="59">
        <v>42140</v>
      </c>
      <c r="AR141" s="183">
        <v>10835.31</v>
      </c>
      <c r="AS141" s="61">
        <f t="shared" si="22"/>
        <v>1</v>
      </c>
      <c r="AT141" s="188">
        <f t="shared" si="21"/>
        <v>20</v>
      </c>
      <c r="AU141" s="68"/>
      <c r="AV141" s="68"/>
      <c r="AW141" s="68"/>
      <c r="AX141" s="68"/>
      <c r="AY141" s="68"/>
      <c r="AZ141" s="68"/>
      <c r="BE141" s="55"/>
      <c r="BF141" s="55"/>
      <c r="BG141" s="55"/>
      <c r="BH141" s="55"/>
      <c r="BI141" s="55"/>
      <c r="BJ141" s="55"/>
    </row>
    <row r="142" spans="38:62" x14ac:dyDescent="0.25">
      <c r="AL142" s="225"/>
      <c r="AM142" s="398">
        <v>42141</v>
      </c>
      <c r="AN142" s="354">
        <v>7930.9</v>
      </c>
      <c r="AO142" s="146">
        <v>4618.9149999999991</v>
      </c>
      <c r="AP142" s="147">
        <v>188</v>
      </c>
      <c r="AQ142" s="59">
        <v>42141</v>
      </c>
      <c r="AR142" s="183">
        <v>7930.9</v>
      </c>
      <c r="AS142" s="61">
        <f t="shared" si="22"/>
        <v>1</v>
      </c>
      <c r="AT142" s="188">
        <f t="shared" si="21"/>
        <v>21</v>
      </c>
      <c r="AU142" s="68"/>
      <c r="AV142" s="68"/>
      <c r="AW142" s="68"/>
      <c r="AX142" s="68"/>
      <c r="AY142" s="68"/>
      <c r="AZ142" s="68"/>
      <c r="BE142" s="55"/>
      <c r="BF142" s="55"/>
      <c r="BG142" s="55"/>
      <c r="BH142" s="55"/>
      <c r="BI142" s="55"/>
      <c r="BJ142" s="55"/>
    </row>
    <row r="143" spans="38:62" x14ac:dyDescent="0.25">
      <c r="AL143" s="225"/>
      <c r="AM143" s="398">
        <v>42142</v>
      </c>
      <c r="AN143" s="354">
        <v>1916.8</v>
      </c>
      <c r="AO143" s="146">
        <v>818.43549999999993</v>
      </c>
      <c r="AP143" s="147">
        <v>76</v>
      </c>
      <c r="AQ143" s="59">
        <v>42142</v>
      </c>
      <c r="AR143" s="183">
        <v>1916.8</v>
      </c>
      <c r="AS143" s="61">
        <f t="shared" si="22"/>
        <v>1</v>
      </c>
      <c r="AT143" s="188">
        <f t="shared" si="21"/>
        <v>21</v>
      </c>
      <c r="AU143" s="68"/>
      <c r="AV143" s="68"/>
      <c r="AW143" s="68"/>
      <c r="AX143" s="68"/>
      <c r="AY143" s="68"/>
      <c r="AZ143" s="68"/>
      <c r="BE143" s="55"/>
      <c r="BF143" s="55"/>
      <c r="BG143" s="55"/>
      <c r="BH143" s="55"/>
      <c r="BI143" s="55"/>
      <c r="BJ143" s="55"/>
    </row>
    <row r="144" spans="38:62" x14ac:dyDescent="0.25">
      <c r="AL144" s="225"/>
      <c r="AM144" s="398">
        <v>42143</v>
      </c>
      <c r="AN144" s="354">
        <v>7445.03</v>
      </c>
      <c r="AO144" s="146">
        <v>1442.5620000000001</v>
      </c>
      <c r="AP144" s="147">
        <v>64</v>
      </c>
      <c r="AQ144" s="59">
        <v>42143</v>
      </c>
      <c r="AR144" s="183">
        <v>7445.03</v>
      </c>
      <c r="AS144" s="61">
        <f t="shared" si="22"/>
        <v>1</v>
      </c>
      <c r="AT144" s="188">
        <f t="shared" si="21"/>
        <v>21</v>
      </c>
      <c r="AU144" s="68"/>
      <c r="AV144" s="68"/>
      <c r="AW144" s="68"/>
      <c r="AX144" s="68"/>
      <c r="AY144" s="68"/>
      <c r="AZ144" s="68"/>
      <c r="BE144" s="55"/>
      <c r="BF144" s="55"/>
      <c r="BG144" s="55"/>
      <c r="BH144" s="55"/>
      <c r="BI144" s="55"/>
      <c r="BJ144" s="55"/>
    </row>
    <row r="145" spans="38:62" x14ac:dyDescent="0.25">
      <c r="AL145" s="225"/>
      <c r="AM145" s="398">
        <v>42144</v>
      </c>
      <c r="AN145" s="354">
        <v>24061.33</v>
      </c>
      <c r="AO145" s="146">
        <v>4955.3722353999992</v>
      </c>
      <c r="AP145" s="147">
        <v>442</v>
      </c>
      <c r="AQ145" s="59">
        <v>42144</v>
      </c>
      <c r="AR145" s="183">
        <v>24061.33</v>
      </c>
      <c r="AS145" s="61">
        <f t="shared" si="22"/>
        <v>1</v>
      </c>
      <c r="AT145" s="188">
        <f t="shared" si="21"/>
        <v>21</v>
      </c>
      <c r="AU145" s="68"/>
      <c r="AV145" s="68"/>
      <c r="AW145" s="68"/>
      <c r="AX145" s="68"/>
      <c r="AY145" s="68"/>
      <c r="AZ145" s="68"/>
      <c r="BE145" s="55"/>
      <c r="BF145" s="55"/>
      <c r="BG145" s="55"/>
      <c r="BH145" s="55"/>
      <c r="BI145" s="55"/>
      <c r="BJ145" s="55"/>
    </row>
    <row r="146" spans="38:62" x14ac:dyDescent="0.25">
      <c r="AL146" s="225"/>
      <c r="AM146" s="398">
        <v>42145</v>
      </c>
      <c r="AN146" s="354">
        <v>6585.4</v>
      </c>
      <c r="AO146" s="146">
        <v>818.88679999999988</v>
      </c>
      <c r="AP146" s="147">
        <v>391</v>
      </c>
      <c r="AQ146" s="59">
        <v>42145</v>
      </c>
      <c r="AR146" s="183">
        <v>6585.4</v>
      </c>
      <c r="AS146" s="61">
        <f t="shared" si="22"/>
        <v>1</v>
      </c>
      <c r="AT146" s="188">
        <f t="shared" si="21"/>
        <v>21</v>
      </c>
      <c r="AU146" s="68"/>
      <c r="AV146" s="68"/>
      <c r="AW146" s="68"/>
      <c r="AX146" s="68"/>
      <c r="AY146" s="68"/>
      <c r="AZ146" s="68"/>
      <c r="BE146" s="55"/>
      <c r="BF146" s="55"/>
      <c r="BG146" s="55"/>
      <c r="BH146" s="55"/>
      <c r="BI146" s="55"/>
      <c r="BJ146" s="55"/>
    </row>
    <row r="147" spans="38:62" x14ac:dyDescent="0.25">
      <c r="AL147" s="225"/>
      <c r="AM147" s="398">
        <v>42146</v>
      </c>
      <c r="AN147" s="354">
        <v>13664.44</v>
      </c>
      <c r="AO147" s="146">
        <v>2413.3752999999997</v>
      </c>
      <c r="AP147" s="147">
        <v>312</v>
      </c>
      <c r="AQ147" s="59">
        <v>42146</v>
      </c>
      <c r="AR147" s="183">
        <v>13664.44</v>
      </c>
      <c r="AS147" s="61">
        <f t="shared" si="22"/>
        <v>1</v>
      </c>
      <c r="AT147" s="188">
        <f t="shared" si="21"/>
        <v>21</v>
      </c>
      <c r="AU147" s="68"/>
      <c r="AV147" s="68"/>
      <c r="AW147" s="68"/>
      <c r="AX147" s="68"/>
      <c r="AY147" s="68"/>
      <c r="AZ147" s="68"/>
      <c r="BE147" s="55"/>
      <c r="BF147" s="55"/>
      <c r="BG147" s="55"/>
      <c r="BH147" s="55"/>
      <c r="BI147" s="55"/>
      <c r="BJ147" s="55"/>
    </row>
    <row r="148" spans="38:62" x14ac:dyDescent="0.25">
      <c r="AL148" s="225"/>
      <c r="AM148" s="398">
        <v>42147</v>
      </c>
      <c r="AN148" s="354">
        <v>20716.77</v>
      </c>
      <c r="AO148" s="146">
        <v>7920.5575999999992</v>
      </c>
      <c r="AP148" s="147">
        <v>295</v>
      </c>
      <c r="AQ148" s="59">
        <v>42147</v>
      </c>
      <c r="AR148" s="183">
        <v>20716.77</v>
      </c>
      <c r="AS148" s="61">
        <f t="shared" si="22"/>
        <v>1</v>
      </c>
      <c r="AT148" s="188">
        <f t="shared" si="21"/>
        <v>21</v>
      </c>
      <c r="AU148" s="68"/>
      <c r="AV148" s="68"/>
      <c r="AW148" s="68"/>
      <c r="AX148" s="68"/>
      <c r="AY148" s="68"/>
      <c r="AZ148" s="68"/>
      <c r="BE148" s="55"/>
      <c r="BF148" s="55"/>
      <c r="BG148" s="55"/>
      <c r="BH148" s="55"/>
      <c r="BI148" s="55"/>
      <c r="BJ148" s="55"/>
    </row>
    <row r="149" spans="38:62" x14ac:dyDescent="0.25">
      <c r="AL149" s="225"/>
      <c r="AM149" s="398">
        <v>42148</v>
      </c>
      <c r="AN149" s="354">
        <v>11562.93</v>
      </c>
      <c r="AO149" s="146">
        <v>2504.8658629999991</v>
      </c>
      <c r="AP149" s="147">
        <v>166</v>
      </c>
      <c r="AQ149" s="59">
        <v>42148</v>
      </c>
      <c r="AR149" s="183">
        <v>11562.93</v>
      </c>
      <c r="AS149" s="61">
        <f t="shared" si="22"/>
        <v>1</v>
      </c>
      <c r="AT149" s="188">
        <f t="shared" si="21"/>
        <v>22</v>
      </c>
      <c r="AU149" s="68"/>
      <c r="AV149" s="68"/>
      <c r="AW149" s="68"/>
      <c r="AX149" s="68"/>
      <c r="AY149" s="68"/>
      <c r="AZ149" s="68"/>
      <c r="BE149" s="55"/>
      <c r="BF149" s="55"/>
      <c r="BG149" s="55"/>
      <c r="BH149" s="55"/>
      <c r="BI149" s="55"/>
      <c r="BJ149" s="55"/>
    </row>
    <row r="150" spans="38:62" x14ac:dyDescent="0.25">
      <c r="AL150" s="225"/>
      <c r="AM150" s="398">
        <v>42149</v>
      </c>
      <c r="AN150" s="354">
        <v>12568.22</v>
      </c>
      <c r="AO150" s="146">
        <v>5923.3522999999977</v>
      </c>
      <c r="AP150" s="147">
        <v>224</v>
      </c>
      <c r="AQ150" s="59">
        <v>42149</v>
      </c>
      <c r="AR150" s="183">
        <v>12568.22</v>
      </c>
      <c r="AS150" s="61">
        <f t="shared" si="22"/>
        <v>1</v>
      </c>
      <c r="AT150" s="188">
        <f t="shared" si="21"/>
        <v>22</v>
      </c>
      <c r="AU150" s="68"/>
      <c r="AV150" s="68"/>
      <c r="AW150" s="68"/>
      <c r="AX150" s="68"/>
      <c r="AY150" s="68"/>
      <c r="AZ150" s="68"/>
      <c r="BE150" s="55"/>
      <c r="BF150" s="55"/>
      <c r="BG150" s="55"/>
      <c r="BH150" s="55"/>
      <c r="BI150" s="55"/>
      <c r="BJ150" s="55"/>
    </row>
    <row r="151" spans="38:62" x14ac:dyDescent="0.25">
      <c r="AL151" s="225"/>
      <c r="AM151" s="398">
        <v>42150</v>
      </c>
      <c r="AN151" s="354">
        <v>3439.78</v>
      </c>
      <c r="AO151" s="146">
        <v>967.03590000000008</v>
      </c>
      <c r="AP151" s="147">
        <v>126</v>
      </c>
      <c r="AQ151" s="59">
        <v>42150</v>
      </c>
      <c r="AR151" s="183">
        <v>3439.78</v>
      </c>
      <c r="AS151" s="61">
        <f t="shared" si="22"/>
        <v>1</v>
      </c>
      <c r="AT151" s="188">
        <f t="shared" si="21"/>
        <v>22</v>
      </c>
      <c r="AU151" s="68"/>
      <c r="AV151" s="68"/>
      <c r="AW151" s="68"/>
      <c r="AX151" s="68"/>
      <c r="AY151" s="68"/>
      <c r="AZ151" s="68"/>
      <c r="BE151" s="55"/>
      <c r="BF151" s="55"/>
      <c r="BG151" s="55"/>
      <c r="BH151" s="55"/>
      <c r="BI151" s="55"/>
      <c r="BJ151" s="55"/>
    </row>
    <row r="152" spans="38:62" x14ac:dyDescent="0.25">
      <c r="AL152" s="225"/>
      <c r="AM152" s="398">
        <v>42151</v>
      </c>
      <c r="AN152" s="354">
        <v>1071.55</v>
      </c>
      <c r="AO152" s="146">
        <v>103.14739999999998</v>
      </c>
      <c r="AP152" s="147">
        <v>55</v>
      </c>
      <c r="AQ152" s="59">
        <v>42151</v>
      </c>
      <c r="AR152" s="183">
        <v>1071.55</v>
      </c>
      <c r="AS152" s="61">
        <f t="shared" si="22"/>
        <v>1</v>
      </c>
      <c r="AT152" s="188">
        <f t="shared" si="21"/>
        <v>22</v>
      </c>
      <c r="AU152" s="68"/>
      <c r="AV152" s="68"/>
      <c r="AW152" s="68"/>
      <c r="AX152" s="68"/>
      <c r="AY152" s="68"/>
      <c r="AZ152" s="68"/>
      <c r="BE152" s="55"/>
      <c r="BF152" s="55"/>
      <c r="BG152" s="55"/>
      <c r="BH152" s="55"/>
      <c r="BI152" s="55"/>
      <c r="BJ152" s="55"/>
    </row>
    <row r="153" spans="38:62" x14ac:dyDescent="0.25">
      <c r="AL153" s="225"/>
      <c r="AM153" s="398">
        <v>42152</v>
      </c>
      <c r="AN153" s="354">
        <v>5378.71</v>
      </c>
      <c r="AO153" s="146">
        <v>782.6089999999997</v>
      </c>
      <c r="AP153" s="147">
        <v>166</v>
      </c>
      <c r="AQ153" s="59">
        <v>42152</v>
      </c>
      <c r="AR153" s="183">
        <v>5378.71</v>
      </c>
      <c r="AS153" s="61">
        <f t="shared" si="22"/>
        <v>1</v>
      </c>
      <c r="AT153" s="188">
        <f t="shared" si="21"/>
        <v>22</v>
      </c>
      <c r="AU153" s="68"/>
      <c r="AV153" s="68"/>
      <c r="AW153" s="68"/>
      <c r="AX153" s="68"/>
      <c r="AY153" s="68"/>
      <c r="AZ153" s="68"/>
      <c r="BE153" s="55"/>
      <c r="BF153" s="55"/>
      <c r="BG153" s="55"/>
      <c r="BH153" s="55"/>
      <c r="BI153" s="55"/>
      <c r="BJ153" s="55"/>
    </row>
    <row r="154" spans="38:62" x14ac:dyDescent="0.25">
      <c r="AL154" s="225"/>
      <c r="AM154" s="398">
        <v>42153</v>
      </c>
      <c r="AN154" s="354">
        <v>36735.800000000003</v>
      </c>
      <c r="AO154" s="146">
        <v>764.35759999999982</v>
      </c>
      <c r="AP154" s="147">
        <v>403</v>
      </c>
      <c r="AQ154" s="59">
        <v>42153</v>
      </c>
      <c r="AR154" s="183">
        <v>36735.800000000003</v>
      </c>
      <c r="AS154" s="61">
        <f t="shared" si="22"/>
        <v>1</v>
      </c>
      <c r="AT154" s="188">
        <f t="shared" si="21"/>
        <v>22</v>
      </c>
      <c r="AU154" s="68"/>
      <c r="AV154" s="68"/>
      <c r="AW154" s="68"/>
      <c r="AX154" s="68"/>
      <c r="AY154" s="68"/>
      <c r="AZ154" s="68"/>
      <c r="BE154" s="55"/>
      <c r="BF154" s="55"/>
      <c r="BG154" s="55"/>
      <c r="BH154" s="55"/>
      <c r="BI154" s="55"/>
      <c r="BJ154" s="55"/>
    </row>
    <row r="155" spans="38:62" ht="15.75" thickBot="1" x14ac:dyDescent="0.3">
      <c r="AL155" s="225"/>
      <c r="AM155" s="399">
        <v>42154</v>
      </c>
      <c r="AN155" s="354">
        <v>4782.83</v>
      </c>
      <c r="AO155" s="146">
        <v>2467.7805999999996</v>
      </c>
      <c r="AP155" s="147">
        <v>138</v>
      </c>
      <c r="AQ155" s="59">
        <v>42154</v>
      </c>
      <c r="AR155" s="183">
        <v>4782.83</v>
      </c>
      <c r="AS155" s="61">
        <f t="shared" si="22"/>
        <v>1</v>
      </c>
      <c r="AT155" s="188">
        <f t="shared" si="21"/>
        <v>22</v>
      </c>
      <c r="AU155" s="68"/>
      <c r="AV155" s="68"/>
      <c r="AW155" s="68"/>
      <c r="AX155" s="68"/>
      <c r="AY155" s="68"/>
      <c r="AZ155" s="68"/>
      <c r="BE155" s="55"/>
      <c r="BF155" s="55"/>
      <c r="BG155" s="55"/>
      <c r="BH155" s="55"/>
      <c r="BI155" s="55"/>
      <c r="BJ155" s="55"/>
    </row>
    <row r="156" spans="38:62" x14ac:dyDescent="0.25">
      <c r="AL156" s="228" t="s">
        <v>3048</v>
      </c>
      <c r="AM156" s="397">
        <v>42156</v>
      </c>
      <c r="AN156" s="415">
        <v>6929.82</v>
      </c>
      <c r="AO156" s="371">
        <v>-2598.6374000000005</v>
      </c>
      <c r="AP156" s="373">
        <v>160</v>
      </c>
      <c r="AQ156" s="59">
        <v>42156</v>
      </c>
      <c r="AR156" s="183">
        <v>6929.82</v>
      </c>
      <c r="AS156" s="61">
        <f t="shared" si="22"/>
        <v>1</v>
      </c>
      <c r="AT156" s="188">
        <f t="shared" si="21"/>
        <v>23</v>
      </c>
      <c r="AU156" s="68"/>
      <c r="AV156" s="68"/>
      <c r="AW156" s="68"/>
      <c r="AX156" s="68"/>
      <c r="AY156" s="68"/>
      <c r="AZ156" s="68"/>
      <c r="BE156" s="55"/>
      <c r="BF156" s="55"/>
      <c r="BG156" s="55"/>
      <c r="BH156" s="55"/>
      <c r="BI156" s="55"/>
      <c r="BJ156" s="55"/>
    </row>
    <row r="157" spans="38:62" x14ac:dyDescent="0.25">
      <c r="AL157" s="225"/>
      <c r="AM157" s="398">
        <v>42157</v>
      </c>
      <c r="AN157" s="354">
        <v>4790.6899999999996</v>
      </c>
      <c r="AO157" s="146">
        <v>764.93802000000017</v>
      </c>
      <c r="AP157" s="147">
        <v>124</v>
      </c>
      <c r="AQ157" s="59">
        <v>42157</v>
      </c>
      <c r="AR157" s="183">
        <v>4790.6899999999996</v>
      </c>
      <c r="AS157" s="61">
        <f t="shared" si="22"/>
        <v>1</v>
      </c>
      <c r="AT157" s="188">
        <f t="shared" si="21"/>
        <v>23</v>
      </c>
      <c r="AU157" s="68"/>
      <c r="AV157" s="68"/>
      <c r="AW157" s="68"/>
      <c r="AX157" s="68"/>
      <c r="AY157" s="68"/>
      <c r="AZ157" s="68"/>
      <c r="BE157" s="55"/>
      <c r="BF157" s="55"/>
      <c r="BG157" s="55"/>
      <c r="BH157" s="55"/>
      <c r="BI157" s="55"/>
      <c r="BJ157" s="55"/>
    </row>
    <row r="158" spans="38:62" x14ac:dyDescent="0.25">
      <c r="AL158" s="225"/>
      <c r="AM158" s="398">
        <v>42158</v>
      </c>
      <c r="AN158" s="354">
        <v>10096.129999999999</v>
      </c>
      <c r="AO158" s="146">
        <v>2179.1922000000004</v>
      </c>
      <c r="AP158" s="147">
        <v>101</v>
      </c>
      <c r="AQ158" s="59">
        <v>42158</v>
      </c>
      <c r="AR158" s="183">
        <v>10096.129999999999</v>
      </c>
      <c r="AS158" s="61">
        <f t="shared" si="22"/>
        <v>1</v>
      </c>
      <c r="AT158" s="188">
        <f t="shared" si="21"/>
        <v>23</v>
      </c>
      <c r="AU158" s="68"/>
      <c r="AV158" s="68"/>
      <c r="AW158" s="68"/>
      <c r="AX158" s="68"/>
      <c r="AY158" s="68"/>
      <c r="AZ158" s="68"/>
      <c r="BE158" s="55"/>
      <c r="BF158" s="55"/>
      <c r="BG158" s="55"/>
      <c r="BH158" s="55"/>
      <c r="BI158" s="55"/>
      <c r="BJ158" s="55"/>
    </row>
    <row r="159" spans="38:62" x14ac:dyDescent="0.25">
      <c r="AL159" s="225"/>
      <c r="AM159" s="398">
        <v>42159</v>
      </c>
      <c r="AN159" s="354">
        <v>4178.57</v>
      </c>
      <c r="AO159" s="146">
        <v>-2047.4392</v>
      </c>
      <c r="AP159" s="147">
        <v>131</v>
      </c>
      <c r="AQ159" s="59">
        <v>42159</v>
      </c>
      <c r="AR159" s="183">
        <v>4178.57</v>
      </c>
      <c r="AS159" s="61">
        <f t="shared" si="22"/>
        <v>1</v>
      </c>
      <c r="AT159" s="188">
        <f t="shared" si="21"/>
        <v>23</v>
      </c>
      <c r="AU159" s="68"/>
      <c r="AV159" s="68"/>
      <c r="AW159" s="68"/>
      <c r="AX159" s="68"/>
      <c r="AY159" s="68"/>
      <c r="AZ159" s="68"/>
      <c r="BE159" s="55"/>
      <c r="BF159" s="55"/>
      <c r="BG159" s="55"/>
      <c r="BH159" s="55"/>
      <c r="BI159" s="55"/>
      <c r="BJ159" s="55"/>
    </row>
    <row r="160" spans="38:62" x14ac:dyDescent="0.25">
      <c r="AL160" s="225"/>
      <c r="AM160" s="398">
        <v>42160</v>
      </c>
      <c r="AN160" s="354">
        <v>30105.89</v>
      </c>
      <c r="AO160" s="146">
        <v>12962.235400000005</v>
      </c>
      <c r="AP160" s="147">
        <v>170</v>
      </c>
      <c r="AQ160" s="59">
        <v>42160</v>
      </c>
      <c r="AR160" s="183">
        <v>30105.89</v>
      </c>
      <c r="AS160" s="61">
        <f t="shared" si="22"/>
        <v>1</v>
      </c>
      <c r="AT160" s="188">
        <f t="shared" si="21"/>
        <v>23</v>
      </c>
      <c r="AU160" s="68"/>
      <c r="AV160" s="68"/>
      <c r="AW160" s="68"/>
      <c r="AX160" s="68"/>
      <c r="AY160" s="68"/>
      <c r="AZ160" s="68"/>
      <c r="BE160" s="55"/>
      <c r="BF160" s="55"/>
      <c r="BG160" s="55"/>
      <c r="BH160" s="55"/>
      <c r="BI160" s="55"/>
      <c r="BJ160" s="55"/>
    </row>
    <row r="161" spans="38:62" x14ac:dyDescent="0.25">
      <c r="AL161" s="225"/>
      <c r="AM161" s="398">
        <v>42161</v>
      </c>
      <c r="AN161" s="354">
        <v>23121.02</v>
      </c>
      <c r="AO161" s="146">
        <v>1944.0435000000002</v>
      </c>
      <c r="AP161" s="147">
        <v>378</v>
      </c>
      <c r="AQ161" s="59">
        <v>42161</v>
      </c>
      <c r="AR161" s="183">
        <v>23121.02</v>
      </c>
      <c r="AS161" s="61">
        <f t="shared" si="22"/>
        <v>1</v>
      </c>
      <c r="AT161" s="188">
        <f t="shared" si="21"/>
        <v>23</v>
      </c>
      <c r="AU161" s="68"/>
      <c r="AV161" s="68"/>
      <c r="AW161" s="68"/>
      <c r="AX161" s="68"/>
      <c r="AY161" s="68"/>
      <c r="AZ161" s="68"/>
      <c r="BE161" s="55"/>
      <c r="BF161" s="55"/>
      <c r="BG161" s="55"/>
      <c r="BH161" s="55"/>
      <c r="BI161" s="55"/>
      <c r="BJ161" s="55"/>
    </row>
    <row r="162" spans="38:62" x14ac:dyDescent="0.25">
      <c r="AL162" s="225"/>
      <c r="AM162" s="398">
        <v>42162</v>
      </c>
      <c r="AN162" s="354">
        <v>16260.81</v>
      </c>
      <c r="AO162" s="146">
        <v>5163.2090000000007</v>
      </c>
      <c r="AP162" s="147">
        <v>110</v>
      </c>
      <c r="AQ162" s="59">
        <v>42162</v>
      </c>
      <c r="AR162" s="183">
        <v>16260.81</v>
      </c>
      <c r="AS162" s="61">
        <f t="shared" si="22"/>
        <v>1</v>
      </c>
      <c r="AT162" s="188">
        <f t="shared" si="21"/>
        <v>24</v>
      </c>
      <c r="AU162" s="68"/>
      <c r="AV162" s="68"/>
      <c r="AW162" s="68"/>
      <c r="AX162" s="68"/>
      <c r="AY162" s="68"/>
      <c r="AZ162" s="68"/>
      <c r="BE162" s="55"/>
      <c r="BF162" s="55"/>
      <c r="BG162" s="55"/>
      <c r="BH162" s="55"/>
      <c r="BI162" s="55"/>
      <c r="BJ162" s="55"/>
    </row>
    <row r="163" spans="38:62" x14ac:dyDescent="0.25">
      <c r="AL163" s="225"/>
      <c r="AM163" s="398">
        <v>42163</v>
      </c>
      <c r="AN163" s="354">
        <v>5137.93</v>
      </c>
      <c r="AO163" s="146">
        <v>3545.1716999999999</v>
      </c>
      <c r="AP163" s="147">
        <v>33</v>
      </c>
      <c r="AQ163" s="59">
        <v>42163</v>
      </c>
      <c r="AR163" s="183">
        <v>5137.93</v>
      </c>
      <c r="AS163" s="61">
        <f t="shared" si="22"/>
        <v>1</v>
      </c>
      <c r="AT163" s="188">
        <f t="shared" si="21"/>
        <v>24</v>
      </c>
      <c r="AU163" s="68"/>
      <c r="AV163" s="68"/>
      <c r="AW163" s="68"/>
      <c r="AX163" s="68"/>
      <c r="AY163" s="68"/>
      <c r="AZ163" s="68"/>
      <c r="BE163" s="55"/>
      <c r="BF163" s="55"/>
      <c r="BG163" s="55"/>
      <c r="BH163" s="55"/>
      <c r="BI163" s="55"/>
      <c r="BJ163" s="55"/>
    </row>
    <row r="164" spans="38:62" x14ac:dyDescent="0.25">
      <c r="AL164" s="225"/>
      <c r="AM164" s="398">
        <v>42164</v>
      </c>
      <c r="AN164" s="354">
        <v>1229.07</v>
      </c>
      <c r="AO164" s="146">
        <v>-89.617950000000008</v>
      </c>
      <c r="AP164" s="147">
        <v>74</v>
      </c>
      <c r="AQ164" s="59">
        <v>42164</v>
      </c>
      <c r="AR164" s="183">
        <v>1229.07</v>
      </c>
      <c r="AS164" s="61">
        <f t="shared" si="22"/>
        <v>1</v>
      </c>
      <c r="AT164" s="188">
        <f t="shared" si="21"/>
        <v>24</v>
      </c>
      <c r="AU164" s="68"/>
      <c r="AV164" s="68"/>
      <c r="AW164" s="68"/>
      <c r="AX164" s="68"/>
      <c r="AY164" s="68"/>
      <c r="AZ164" s="68"/>
      <c r="BE164" s="55"/>
      <c r="BF164" s="55"/>
      <c r="BG164" s="55"/>
      <c r="BH164" s="55"/>
      <c r="BI164" s="55"/>
      <c r="BJ164" s="55"/>
    </row>
    <row r="165" spans="38:62" x14ac:dyDescent="0.25">
      <c r="AL165" s="225"/>
      <c r="AM165" s="398">
        <v>42165</v>
      </c>
      <c r="AN165" s="354">
        <v>1807.72</v>
      </c>
      <c r="AO165" s="146">
        <v>-136.99259999999998</v>
      </c>
      <c r="AP165" s="147">
        <v>86</v>
      </c>
      <c r="AQ165" s="59">
        <v>42165</v>
      </c>
      <c r="AR165" s="183">
        <v>1807.72</v>
      </c>
      <c r="AS165" s="61">
        <f t="shared" si="22"/>
        <v>1</v>
      </c>
      <c r="AT165" s="188">
        <f t="shared" si="21"/>
        <v>24</v>
      </c>
      <c r="AU165" s="68"/>
      <c r="AV165" s="68"/>
      <c r="AW165" s="68"/>
      <c r="AX165" s="68"/>
      <c r="AY165" s="68"/>
      <c r="AZ165" s="68"/>
      <c r="BE165" s="55"/>
      <c r="BF165" s="55"/>
      <c r="BG165" s="55"/>
      <c r="BH165" s="55"/>
      <c r="BI165" s="55"/>
      <c r="BJ165" s="55"/>
    </row>
    <row r="166" spans="38:62" x14ac:dyDescent="0.25">
      <c r="AL166" s="225"/>
      <c r="AM166" s="398">
        <v>42166</v>
      </c>
      <c r="AN166" s="354">
        <v>19228.73</v>
      </c>
      <c r="AO166" s="146">
        <v>2333.3247000000006</v>
      </c>
      <c r="AP166" s="147">
        <v>411</v>
      </c>
      <c r="AQ166" s="59">
        <v>42166</v>
      </c>
      <c r="AR166" s="183">
        <v>19228.73</v>
      </c>
      <c r="AS166" s="61">
        <f t="shared" si="22"/>
        <v>1</v>
      </c>
      <c r="AT166" s="188">
        <f t="shared" si="21"/>
        <v>24</v>
      </c>
      <c r="AU166" s="68"/>
      <c r="AV166" s="68"/>
      <c r="AW166" s="68"/>
      <c r="AX166" s="68"/>
      <c r="AY166" s="68"/>
      <c r="AZ166" s="68"/>
      <c r="BE166" s="55"/>
      <c r="BF166" s="55"/>
      <c r="BG166" s="55"/>
      <c r="BH166" s="55"/>
      <c r="BI166" s="55"/>
      <c r="BJ166" s="55"/>
    </row>
    <row r="167" spans="38:62" x14ac:dyDescent="0.25">
      <c r="AL167" s="225"/>
      <c r="AM167" s="398">
        <v>42167</v>
      </c>
      <c r="AN167" s="354">
        <v>26689.09</v>
      </c>
      <c r="AO167" s="146">
        <v>3430.2475400000003</v>
      </c>
      <c r="AP167" s="147">
        <v>224</v>
      </c>
      <c r="AQ167" s="59">
        <v>42167</v>
      </c>
      <c r="AR167" s="183">
        <v>26689.09</v>
      </c>
      <c r="AS167" s="61">
        <f t="shared" si="22"/>
        <v>1</v>
      </c>
      <c r="AT167" s="188">
        <f t="shared" si="21"/>
        <v>24</v>
      </c>
      <c r="AU167" s="68"/>
      <c r="AV167" s="68"/>
      <c r="AW167" s="68"/>
      <c r="AX167" s="68"/>
      <c r="AY167" s="68"/>
      <c r="AZ167" s="68"/>
      <c r="BE167" s="55"/>
      <c r="BF167" s="55"/>
      <c r="BG167" s="55"/>
      <c r="BH167" s="55"/>
      <c r="BI167" s="55"/>
      <c r="BJ167" s="55"/>
    </row>
    <row r="168" spans="38:62" x14ac:dyDescent="0.25">
      <c r="AL168" s="225"/>
      <c r="AM168" s="398">
        <v>42168</v>
      </c>
      <c r="AN168" s="354">
        <v>10284.629999999999</v>
      </c>
      <c r="AO168" s="146">
        <v>4493.8972500000009</v>
      </c>
      <c r="AP168" s="147">
        <v>119</v>
      </c>
      <c r="AQ168" s="59">
        <v>42168</v>
      </c>
      <c r="AR168" s="183">
        <v>10284.629999999999</v>
      </c>
      <c r="AS168" s="61">
        <f t="shared" si="22"/>
        <v>1</v>
      </c>
      <c r="AT168" s="188">
        <f t="shared" si="21"/>
        <v>24</v>
      </c>
      <c r="AU168" s="68"/>
      <c r="AV168" s="68"/>
      <c r="AW168" s="68"/>
      <c r="AX168" s="68"/>
      <c r="AY168" s="68"/>
      <c r="AZ168" s="68"/>
      <c r="BE168" s="55"/>
      <c r="BF168" s="55"/>
      <c r="BG168" s="55"/>
      <c r="BH168" s="55"/>
      <c r="BI168" s="55"/>
      <c r="BJ168" s="55"/>
    </row>
    <row r="169" spans="38:62" x14ac:dyDescent="0.25">
      <c r="AL169" s="225"/>
      <c r="AM169" s="398">
        <v>42169</v>
      </c>
      <c r="AN169" s="354">
        <v>26719.23</v>
      </c>
      <c r="AO169" s="146">
        <v>3746.3144500000003</v>
      </c>
      <c r="AP169" s="147">
        <v>203</v>
      </c>
      <c r="AQ169" s="59">
        <v>42169</v>
      </c>
      <c r="AR169" s="183">
        <v>26719.23</v>
      </c>
      <c r="AS169" s="61">
        <f t="shared" si="22"/>
        <v>1</v>
      </c>
      <c r="AT169" s="188">
        <f t="shared" si="21"/>
        <v>25</v>
      </c>
      <c r="AU169" s="68"/>
      <c r="AV169" s="68"/>
      <c r="AW169" s="68"/>
      <c r="AX169" s="68"/>
      <c r="AY169" s="68"/>
      <c r="AZ169" s="68"/>
      <c r="BE169" s="55"/>
      <c r="BF169" s="55"/>
      <c r="BG169" s="55"/>
      <c r="BH169" s="55"/>
      <c r="BI169" s="55"/>
      <c r="BJ169" s="55"/>
    </row>
    <row r="170" spans="38:62" x14ac:dyDescent="0.25">
      <c r="AL170" s="225"/>
      <c r="AM170" s="398">
        <v>42170</v>
      </c>
      <c r="AN170" s="354">
        <v>3011.6</v>
      </c>
      <c r="AO170" s="146">
        <v>119.0458000000001</v>
      </c>
      <c r="AP170" s="147">
        <v>92</v>
      </c>
      <c r="AQ170" s="59">
        <v>42170</v>
      </c>
      <c r="AR170" s="183">
        <v>3011.6</v>
      </c>
      <c r="AS170" s="61">
        <f t="shared" si="22"/>
        <v>1</v>
      </c>
      <c r="AT170" s="188">
        <f t="shared" si="21"/>
        <v>25</v>
      </c>
      <c r="AU170" s="68"/>
      <c r="AV170" s="68"/>
      <c r="AW170" s="68"/>
      <c r="AX170" s="68"/>
      <c r="AY170" s="68"/>
      <c r="AZ170" s="68"/>
      <c r="BE170" s="55"/>
      <c r="BF170" s="55"/>
      <c r="BG170" s="55"/>
      <c r="BH170" s="55"/>
      <c r="BI170" s="55"/>
      <c r="BJ170" s="55"/>
    </row>
    <row r="171" spans="38:62" x14ac:dyDescent="0.25">
      <c r="AL171" s="225"/>
      <c r="AM171" s="398">
        <v>42171</v>
      </c>
      <c r="AN171" s="354">
        <v>3219.89</v>
      </c>
      <c r="AO171" s="146">
        <v>-56.559100000000043</v>
      </c>
      <c r="AP171" s="147">
        <v>44</v>
      </c>
      <c r="AQ171" s="59">
        <v>42171</v>
      </c>
      <c r="AR171" s="183">
        <v>3219.89</v>
      </c>
      <c r="AS171" s="61">
        <f t="shared" si="22"/>
        <v>1</v>
      </c>
      <c r="AT171" s="188">
        <f t="shared" si="21"/>
        <v>25</v>
      </c>
      <c r="AU171" s="68"/>
      <c r="AV171" s="68"/>
      <c r="AW171" s="68"/>
      <c r="AX171" s="68"/>
      <c r="AY171" s="68"/>
      <c r="AZ171" s="68"/>
      <c r="BE171" s="55"/>
      <c r="BF171" s="55"/>
      <c r="BG171" s="55"/>
      <c r="BH171" s="55"/>
      <c r="BI171" s="55"/>
      <c r="BJ171" s="55"/>
    </row>
    <row r="172" spans="38:62" x14ac:dyDescent="0.25">
      <c r="AL172" s="225"/>
      <c r="AM172" s="398">
        <v>42172</v>
      </c>
      <c r="AN172" s="354">
        <v>3968.53</v>
      </c>
      <c r="AO172" s="146">
        <v>680.72239999999977</v>
      </c>
      <c r="AP172" s="147">
        <v>225</v>
      </c>
      <c r="AQ172" s="59">
        <v>42172</v>
      </c>
      <c r="AR172" s="183">
        <v>3968.53</v>
      </c>
      <c r="AS172" s="61">
        <f t="shared" si="22"/>
        <v>1</v>
      </c>
      <c r="AT172" s="188">
        <f t="shared" si="21"/>
        <v>25</v>
      </c>
      <c r="AU172" s="68"/>
      <c r="AV172" s="68"/>
      <c r="AW172" s="68"/>
      <c r="AX172" s="68"/>
      <c r="AY172" s="68"/>
      <c r="AZ172" s="68"/>
      <c r="BE172" s="55"/>
      <c r="BF172" s="55"/>
      <c r="BG172" s="55"/>
      <c r="BH172" s="55"/>
      <c r="BI172" s="55"/>
      <c r="BJ172" s="55"/>
    </row>
    <row r="173" spans="38:62" x14ac:dyDescent="0.25">
      <c r="AL173" s="225"/>
      <c r="AM173" s="398">
        <v>42173</v>
      </c>
      <c r="AN173" s="354">
        <v>10185.36</v>
      </c>
      <c r="AO173" s="146">
        <v>-396.29529999999988</v>
      </c>
      <c r="AP173" s="147">
        <v>135</v>
      </c>
      <c r="AQ173" s="59">
        <v>42173</v>
      </c>
      <c r="AR173" s="183">
        <v>10185.36</v>
      </c>
      <c r="AS173" s="61">
        <f t="shared" si="22"/>
        <v>1</v>
      </c>
      <c r="AT173" s="188">
        <f t="shared" si="21"/>
        <v>25</v>
      </c>
      <c r="AU173" s="68"/>
      <c r="AV173" s="68"/>
      <c r="AW173" s="68"/>
      <c r="AX173" s="68"/>
      <c r="AY173" s="68"/>
      <c r="AZ173" s="68"/>
      <c r="BE173" s="55"/>
      <c r="BF173" s="55"/>
      <c r="BG173" s="55"/>
      <c r="BH173" s="55"/>
      <c r="BI173" s="55"/>
      <c r="BJ173" s="55"/>
    </row>
    <row r="174" spans="38:62" x14ac:dyDescent="0.25">
      <c r="AL174" s="225"/>
      <c r="AM174" s="398">
        <v>42174</v>
      </c>
      <c r="AN174" s="354">
        <v>12684.68</v>
      </c>
      <c r="AO174" s="146">
        <v>532.16377499999987</v>
      </c>
      <c r="AP174" s="147">
        <v>139</v>
      </c>
      <c r="AQ174" s="59">
        <v>42174</v>
      </c>
      <c r="AR174" s="183">
        <v>12684.68</v>
      </c>
      <c r="AS174" s="61">
        <f t="shared" si="22"/>
        <v>1</v>
      </c>
      <c r="AT174" s="188">
        <f t="shared" si="21"/>
        <v>25</v>
      </c>
      <c r="AU174" s="68"/>
      <c r="AV174" s="68"/>
      <c r="AW174" s="68"/>
      <c r="AX174" s="68"/>
      <c r="AY174" s="68"/>
      <c r="AZ174" s="68"/>
      <c r="BE174" s="55"/>
      <c r="BF174" s="55"/>
      <c r="BG174" s="55"/>
      <c r="BH174" s="55"/>
      <c r="BI174" s="55"/>
      <c r="BJ174" s="55"/>
    </row>
    <row r="175" spans="38:62" x14ac:dyDescent="0.25">
      <c r="AL175" s="225"/>
      <c r="AM175" s="398">
        <v>42175</v>
      </c>
      <c r="AN175" s="354">
        <v>49028.22</v>
      </c>
      <c r="AO175" s="146">
        <v>7631.5318999999981</v>
      </c>
      <c r="AP175" s="147">
        <v>194</v>
      </c>
      <c r="AQ175" s="59">
        <v>42175</v>
      </c>
      <c r="AR175" s="183">
        <v>49028.22</v>
      </c>
      <c r="AS175" s="61">
        <f t="shared" si="22"/>
        <v>1</v>
      </c>
      <c r="AT175" s="188">
        <f t="shared" si="21"/>
        <v>25</v>
      </c>
      <c r="AU175" s="68"/>
      <c r="AV175" s="68"/>
      <c r="AW175" s="68"/>
      <c r="AX175" s="68"/>
      <c r="AY175" s="68"/>
      <c r="AZ175" s="68"/>
      <c r="BE175" s="55"/>
      <c r="BF175" s="55"/>
      <c r="BG175" s="55"/>
      <c r="BH175" s="55"/>
      <c r="BI175" s="55"/>
      <c r="BJ175" s="55"/>
    </row>
    <row r="176" spans="38:62" x14ac:dyDescent="0.25">
      <c r="AL176" s="225"/>
      <c r="AM176" s="398">
        <v>42176</v>
      </c>
      <c r="AN176" s="354">
        <v>2367.9899999999998</v>
      </c>
      <c r="AO176" s="146">
        <v>145.33090000000001</v>
      </c>
      <c r="AP176" s="147">
        <v>72</v>
      </c>
      <c r="AQ176" s="59">
        <v>42176</v>
      </c>
      <c r="AR176" s="183">
        <v>2367.9899999999998</v>
      </c>
      <c r="AS176" s="61">
        <f t="shared" si="22"/>
        <v>1</v>
      </c>
      <c r="AT176" s="188">
        <f t="shared" si="21"/>
        <v>26</v>
      </c>
      <c r="AU176" s="68"/>
      <c r="AV176" s="68"/>
      <c r="AW176" s="68"/>
      <c r="AX176" s="68"/>
      <c r="AY176" s="68"/>
      <c r="AZ176" s="68"/>
      <c r="BE176" s="55"/>
      <c r="BF176" s="55"/>
      <c r="BG176" s="55"/>
      <c r="BH176" s="55"/>
      <c r="BI176" s="55"/>
      <c r="BJ176" s="55"/>
    </row>
    <row r="177" spans="38:62" x14ac:dyDescent="0.25">
      <c r="AL177" s="225"/>
      <c r="AM177" s="398">
        <v>42177</v>
      </c>
      <c r="AN177" s="354">
        <v>13650.95</v>
      </c>
      <c r="AO177" s="146">
        <v>7508.1702000000005</v>
      </c>
      <c r="AP177" s="147">
        <v>227</v>
      </c>
      <c r="AQ177" s="59">
        <v>42177</v>
      </c>
      <c r="AR177" s="183">
        <v>13650.95</v>
      </c>
      <c r="AS177" s="61">
        <f t="shared" si="22"/>
        <v>1</v>
      </c>
      <c r="AT177" s="188">
        <f t="shared" si="21"/>
        <v>26</v>
      </c>
      <c r="AU177" s="68"/>
      <c r="AV177" s="68"/>
      <c r="AW177" s="68"/>
      <c r="AX177" s="68"/>
      <c r="AY177" s="68"/>
      <c r="AZ177" s="68"/>
      <c r="BE177" s="55"/>
      <c r="BF177" s="55"/>
      <c r="BG177" s="55"/>
      <c r="BH177" s="55"/>
      <c r="BI177" s="55"/>
      <c r="BJ177" s="55"/>
    </row>
    <row r="178" spans="38:62" x14ac:dyDescent="0.25">
      <c r="AL178" s="225"/>
      <c r="AM178" s="398">
        <v>42178</v>
      </c>
      <c r="AN178" s="354">
        <v>15196.84</v>
      </c>
      <c r="AO178" s="146">
        <v>-2806.4076</v>
      </c>
      <c r="AP178" s="147">
        <v>75</v>
      </c>
      <c r="AQ178" s="59">
        <v>42178</v>
      </c>
      <c r="AR178" s="183">
        <v>15196.84</v>
      </c>
      <c r="AS178" s="61">
        <f t="shared" si="22"/>
        <v>1</v>
      </c>
      <c r="AT178" s="188">
        <f t="shared" si="21"/>
        <v>26</v>
      </c>
      <c r="AU178" s="68"/>
      <c r="AV178" s="68"/>
      <c r="AW178" s="68"/>
      <c r="AX178" s="68"/>
      <c r="AY178" s="68"/>
      <c r="AZ178" s="68"/>
      <c r="BE178" s="55"/>
      <c r="BF178" s="55"/>
      <c r="BG178" s="55"/>
      <c r="BH178" s="55"/>
      <c r="BI178" s="55"/>
      <c r="BJ178" s="55"/>
    </row>
    <row r="179" spans="38:62" x14ac:dyDescent="0.25">
      <c r="AL179" s="225"/>
      <c r="AM179" s="398">
        <v>42179</v>
      </c>
      <c r="AN179" s="354">
        <v>572.28</v>
      </c>
      <c r="AO179" s="146">
        <v>-225.53025</v>
      </c>
      <c r="AP179" s="147">
        <v>64</v>
      </c>
      <c r="AQ179" s="59">
        <v>42179</v>
      </c>
      <c r="AR179" s="183">
        <v>572.28</v>
      </c>
      <c r="AS179" s="61">
        <f t="shared" si="22"/>
        <v>1</v>
      </c>
      <c r="AT179" s="188">
        <f t="shared" si="21"/>
        <v>26</v>
      </c>
      <c r="AU179" s="68"/>
      <c r="AV179" s="68"/>
      <c r="AW179" s="68"/>
      <c r="AX179" s="68"/>
      <c r="AY179" s="68"/>
      <c r="AZ179" s="68"/>
      <c r="BE179" s="55"/>
      <c r="BF179" s="55"/>
      <c r="BG179" s="55"/>
      <c r="BH179" s="55"/>
      <c r="BI179" s="55"/>
      <c r="BJ179" s="55"/>
    </row>
    <row r="180" spans="38:62" x14ac:dyDescent="0.25">
      <c r="AL180" s="225"/>
      <c r="AM180" s="398">
        <v>42180</v>
      </c>
      <c r="AN180" s="354">
        <v>10768.77</v>
      </c>
      <c r="AO180" s="146">
        <v>3544.8427750000001</v>
      </c>
      <c r="AP180" s="147">
        <v>136</v>
      </c>
      <c r="AQ180" s="59">
        <v>42180</v>
      </c>
      <c r="AR180" s="183">
        <v>10768.77</v>
      </c>
      <c r="AS180" s="61">
        <f t="shared" si="22"/>
        <v>1</v>
      </c>
      <c r="AT180" s="188">
        <f t="shared" si="21"/>
        <v>26</v>
      </c>
      <c r="AU180" s="68"/>
      <c r="AV180" s="68"/>
      <c r="AW180" s="68"/>
      <c r="AX180" s="68"/>
      <c r="AY180" s="68"/>
      <c r="AZ180" s="68"/>
      <c r="BE180" s="55"/>
      <c r="BF180" s="55"/>
      <c r="BG180" s="55"/>
      <c r="BH180" s="55"/>
      <c r="BI180" s="55"/>
      <c r="BJ180" s="55"/>
    </row>
    <row r="181" spans="38:62" x14ac:dyDescent="0.25">
      <c r="AL181" s="225"/>
      <c r="AM181" s="398">
        <v>42181</v>
      </c>
      <c r="AN181" s="354">
        <v>7888.86</v>
      </c>
      <c r="AO181" s="146">
        <v>398.10109999999997</v>
      </c>
      <c r="AP181" s="147">
        <v>60</v>
      </c>
      <c r="AQ181" s="59">
        <v>42181</v>
      </c>
      <c r="AR181" s="183">
        <v>7888.86</v>
      </c>
      <c r="AS181" s="61">
        <f t="shared" si="22"/>
        <v>1</v>
      </c>
      <c r="AT181" s="188">
        <f t="shared" si="21"/>
        <v>26</v>
      </c>
      <c r="AU181" s="68"/>
      <c r="AV181" s="68"/>
      <c r="AW181" s="68"/>
      <c r="AX181" s="68"/>
      <c r="AY181" s="68"/>
      <c r="AZ181" s="68"/>
      <c r="BE181" s="55"/>
      <c r="BF181" s="55"/>
      <c r="BG181" s="55"/>
      <c r="BH181" s="55"/>
      <c r="BI181" s="55"/>
      <c r="BJ181" s="55"/>
    </row>
    <row r="182" spans="38:62" x14ac:dyDescent="0.25">
      <c r="AL182" s="225"/>
      <c r="AM182" s="398">
        <v>42182</v>
      </c>
      <c r="AN182" s="354">
        <v>338.41</v>
      </c>
      <c r="AO182" s="146">
        <v>-395.27629999999999</v>
      </c>
      <c r="AP182" s="147">
        <v>35</v>
      </c>
      <c r="AQ182" s="59">
        <v>42182</v>
      </c>
      <c r="AR182" s="183">
        <v>338.41</v>
      </c>
      <c r="AS182" s="61">
        <f t="shared" si="22"/>
        <v>1</v>
      </c>
      <c r="AT182" s="188">
        <f t="shared" si="21"/>
        <v>26</v>
      </c>
      <c r="AU182" s="68"/>
      <c r="AV182" s="68"/>
      <c r="AW182" s="68"/>
      <c r="AX182" s="68"/>
      <c r="AY182" s="68"/>
      <c r="AZ182" s="68"/>
      <c r="BE182" s="55"/>
      <c r="BF182" s="55"/>
      <c r="BG182" s="55"/>
      <c r="BH182" s="55"/>
      <c r="BI182" s="55"/>
      <c r="BJ182" s="55"/>
    </row>
    <row r="183" spans="38:62" x14ac:dyDescent="0.25">
      <c r="AL183" s="225"/>
      <c r="AM183" s="398">
        <v>42183</v>
      </c>
      <c r="AN183" s="354">
        <v>7990.09</v>
      </c>
      <c r="AO183" s="146">
        <v>1187.9525999999994</v>
      </c>
      <c r="AP183" s="147">
        <v>163</v>
      </c>
      <c r="AQ183" s="59">
        <v>42183</v>
      </c>
      <c r="AR183" s="183">
        <v>7990.09</v>
      </c>
      <c r="AS183" s="61">
        <f t="shared" si="22"/>
        <v>1</v>
      </c>
      <c r="AT183" s="188">
        <f t="shared" si="21"/>
        <v>27</v>
      </c>
      <c r="AU183" s="68"/>
      <c r="AV183" s="68"/>
      <c r="AW183" s="68"/>
      <c r="AX183" s="68"/>
      <c r="AY183" s="68"/>
      <c r="AZ183" s="68"/>
      <c r="BE183" s="55"/>
      <c r="BF183" s="55"/>
      <c r="BG183" s="55"/>
      <c r="BH183" s="55"/>
      <c r="BI183" s="55"/>
      <c r="BJ183" s="55"/>
    </row>
    <row r="184" spans="38:62" x14ac:dyDescent="0.25">
      <c r="AL184" s="225"/>
      <c r="AM184" s="398">
        <v>42184</v>
      </c>
      <c r="AN184" s="354">
        <v>3635.91</v>
      </c>
      <c r="AO184" s="146">
        <v>711.39549999999997</v>
      </c>
      <c r="AP184" s="147">
        <v>84</v>
      </c>
      <c r="AQ184" s="59">
        <v>42184</v>
      </c>
      <c r="AR184" s="183">
        <v>3635.91</v>
      </c>
      <c r="AS184" s="61">
        <f t="shared" si="22"/>
        <v>1</v>
      </c>
      <c r="AT184" s="188">
        <f t="shared" si="21"/>
        <v>27</v>
      </c>
      <c r="AU184" s="68"/>
      <c r="AV184" s="68"/>
      <c r="AW184" s="68"/>
      <c r="AX184" s="68"/>
      <c r="AY184" s="68"/>
      <c r="AZ184" s="68"/>
      <c r="BE184" s="55"/>
      <c r="BF184" s="55"/>
      <c r="BG184" s="55"/>
      <c r="BH184" s="55"/>
      <c r="BI184" s="55"/>
      <c r="BJ184" s="55"/>
    </row>
    <row r="185" spans="38:62" ht="15.75" thickBot="1" x14ac:dyDescent="0.3">
      <c r="AL185" s="226"/>
      <c r="AM185" s="399">
        <v>42185</v>
      </c>
      <c r="AN185" s="355">
        <v>20508.900000000001</v>
      </c>
      <c r="AO185" s="149">
        <v>12054.811599999999</v>
      </c>
      <c r="AP185" s="150">
        <v>240</v>
      </c>
      <c r="AQ185" s="194">
        <v>42185</v>
      </c>
      <c r="AR185" s="180">
        <v>20508.900000000001</v>
      </c>
      <c r="AS185" s="195">
        <f t="shared" si="22"/>
        <v>1</v>
      </c>
      <c r="AT185" s="196">
        <f t="shared" si="21"/>
        <v>27</v>
      </c>
      <c r="AU185" s="68"/>
      <c r="AV185" s="68"/>
      <c r="AW185" s="68"/>
      <c r="AX185" s="68"/>
      <c r="AY185" s="68"/>
      <c r="AZ185" s="68"/>
      <c r="BE185" s="55"/>
      <c r="BF185" s="55"/>
      <c r="BG185" s="55"/>
      <c r="BH185" s="55"/>
      <c r="BI185" s="55"/>
      <c r="BJ185" s="55"/>
    </row>
    <row r="186" spans="38:62" x14ac:dyDescent="0.25">
      <c r="BE186" s="55"/>
      <c r="BF186" s="55"/>
      <c r="BG186" s="55"/>
      <c r="BH186" s="55"/>
      <c r="BI186" s="55"/>
      <c r="BJ186" s="55"/>
    </row>
    <row r="187" spans="38:62" x14ac:dyDescent="0.25">
      <c r="BE187" s="55"/>
      <c r="BF187" s="55"/>
      <c r="BG187" s="55"/>
      <c r="BH187" s="55"/>
      <c r="BI187" s="55"/>
      <c r="BJ187" s="55"/>
    </row>
    <row r="188" spans="38:62" x14ac:dyDescent="0.25">
      <c r="BE188" s="55"/>
      <c r="BF188" s="55"/>
      <c r="BG188" s="55"/>
      <c r="BH188" s="55"/>
      <c r="BI188" s="55"/>
      <c r="BJ188" s="55"/>
    </row>
    <row r="189" spans="38:62" x14ac:dyDescent="0.25">
      <c r="BE189" s="55"/>
      <c r="BF189" s="55"/>
      <c r="BG189" s="55"/>
      <c r="BH189" s="55"/>
      <c r="BI189" s="55"/>
      <c r="BJ189" s="55"/>
    </row>
    <row r="190" spans="38:62" x14ac:dyDescent="0.25">
      <c r="BE190" s="55"/>
      <c r="BF190" s="55"/>
      <c r="BG190" s="55"/>
      <c r="BH190" s="55"/>
      <c r="BI190" s="55"/>
      <c r="BJ190" s="55"/>
    </row>
    <row r="191" spans="38:62" x14ac:dyDescent="0.25">
      <c r="BE191" s="55"/>
      <c r="BF191" s="55"/>
      <c r="BG191" s="55"/>
      <c r="BH191" s="55"/>
      <c r="BI191" s="55"/>
      <c r="BJ191" s="55"/>
    </row>
    <row r="192" spans="38:62" x14ac:dyDescent="0.25">
      <c r="BE192" s="55"/>
      <c r="BF192" s="55"/>
      <c r="BG192" s="55"/>
      <c r="BH192" s="55"/>
      <c r="BI192" s="55"/>
      <c r="BJ192" s="55"/>
    </row>
    <row r="193" spans="57:62" x14ac:dyDescent="0.25">
      <c r="BE193" s="55"/>
      <c r="BF193" s="55"/>
      <c r="BG193" s="55"/>
      <c r="BH193" s="55"/>
      <c r="BI193" s="55"/>
      <c r="BJ193" s="55"/>
    </row>
    <row r="194" spans="57:62" x14ac:dyDescent="0.25">
      <c r="BE194" s="55"/>
      <c r="BF194" s="55"/>
      <c r="BG194" s="55"/>
      <c r="BH194" s="55"/>
      <c r="BI194" s="55"/>
      <c r="BJ194" s="55"/>
    </row>
    <row r="195" spans="57:62" x14ac:dyDescent="0.25">
      <c r="BE195" s="55"/>
      <c r="BF195" s="55"/>
      <c r="BG195" s="55"/>
      <c r="BH195" s="55"/>
      <c r="BI195" s="55"/>
      <c r="BJ195" s="55"/>
    </row>
    <row r="196" spans="57:62" x14ac:dyDescent="0.25">
      <c r="BE196" s="55"/>
      <c r="BF196" s="55"/>
      <c r="BG196" s="55"/>
      <c r="BH196" s="55"/>
      <c r="BI196" s="55"/>
      <c r="BJ196" s="55"/>
    </row>
    <row r="197" spans="57:62" x14ac:dyDescent="0.25">
      <c r="BE197" s="55"/>
      <c r="BF197" s="55"/>
      <c r="BG197" s="55"/>
      <c r="BH197" s="55"/>
      <c r="BI197" s="55"/>
      <c r="BJ197" s="55"/>
    </row>
    <row r="198" spans="57:62" x14ac:dyDescent="0.25">
      <c r="BE198" s="55"/>
      <c r="BF198" s="55"/>
      <c r="BG198" s="55"/>
      <c r="BH198" s="55"/>
      <c r="BI198" s="55"/>
      <c r="BJ198" s="55"/>
    </row>
    <row r="199" spans="57:62" x14ac:dyDescent="0.25">
      <c r="BE199" s="55"/>
      <c r="BF199" s="55"/>
      <c r="BG199" s="55"/>
      <c r="BH199" s="55"/>
      <c r="BI199" s="55"/>
      <c r="BJ199" s="55"/>
    </row>
    <row r="200" spans="57:62" x14ac:dyDescent="0.25">
      <c r="BE200" s="55"/>
      <c r="BF200" s="55"/>
      <c r="BG200" s="55"/>
      <c r="BH200" s="55"/>
      <c r="BI200" s="55"/>
      <c r="BJ200" s="55"/>
    </row>
    <row r="201" spans="57:62" x14ac:dyDescent="0.25">
      <c r="BE201" s="55"/>
      <c r="BF201" s="55"/>
      <c r="BG201" s="55"/>
      <c r="BH201" s="55"/>
      <c r="BI201" s="55"/>
      <c r="BJ201" s="55"/>
    </row>
    <row r="202" spans="57:62" x14ac:dyDescent="0.25">
      <c r="BE202" s="55"/>
      <c r="BF202" s="55"/>
      <c r="BG202" s="55"/>
      <c r="BH202" s="55"/>
      <c r="BI202" s="55"/>
      <c r="BJ202" s="55"/>
    </row>
    <row r="203" spans="57:62" x14ac:dyDescent="0.25">
      <c r="BE203" s="55"/>
      <c r="BF203" s="55"/>
      <c r="BG203" s="55"/>
      <c r="BH203" s="55"/>
      <c r="BI203" s="55"/>
      <c r="BJ203" s="55"/>
    </row>
    <row r="204" spans="57:62" x14ac:dyDescent="0.25">
      <c r="BE204" s="55"/>
      <c r="BF204" s="55"/>
      <c r="BG204" s="55"/>
      <c r="BH204" s="55"/>
      <c r="BI204" s="55"/>
      <c r="BJ204" s="55"/>
    </row>
    <row r="205" spans="57:62" x14ac:dyDescent="0.25">
      <c r="BE205" s="55"/>
      <c r="BF205" s="55"/>
      <c r="BG205" s="55"/>
      <c r="BH205" s="55"/>
      <c r="BI205" s="55"/>
      <c r="BJ205" s="55"/>
    </row>
    <row r="206" spans="57:62" x14ac:dyDescent="0.25">
      <c r="BE206" s="55"/>
      <c r="BF206" s="55"/>
      <c r="BG206" s="55"/>
      <c r="BH206" s="55"/>
      <c r="BI206" s="55"/>
      <c r="BJ206" s="55"/>
    </row>
    <row r="207" spans="57:62" x14ac:dyDescent="0.25">
      <c r="BE207" s="55"/>
      <c r="BF207" s="55"/>
      <c r="BG207" s="55"/>
      <c r="BH207" s="55"/>
      <c r="BI207" s="55"/>
      <c r="BJ207" s="55"/>
    </row>
    <row r="208" spans="57:62" x14ac:dyDescent="0.25">
      <c r="BE208" s="55"/>
      <c r="BF208" s="55"/>
      <c r="BG208" s="55"/>
      <c r="BH208" s="55"/>
      <c r="BI208" s="55"/>
      <c r="BJ208" s="55"/>
    </row>
    <row r="209" spans="57:62" x14ac:dyDescent="0.25">
      <c r="BE209" s="55"/>
      <c r="BF209" s="55"/>
      <c r="BG209" s="55"/>
      <c r="BH209" s="55"/>
      <c r="BI209" s="55"/>
      <c r="BJ209" s="55"/>
    </row>
    <row r="210" spans="57:62" x14ac:dyDescent="0.25">
      <c r="BE210" s="55"/>
      <c r="BF210" s="55"/>
      <c r="BG210" s="55"/>
      <c r="BH210" s="55"/>
      <c r="BI210" s="55"/>
      <c r="BJ210" s="55"/>
    </row>
    <row r="211" spans="57:62" x14ac:dyDescent="0.25">
      <c r="BE211" s="55"/>
      <c r="BF211" s="55"/>
      <c r="BG211" s="55"/>
      <c r="BH211" s="55"/>
      <c r="BI211" s="55"/>
      <c r="BJ211" s="55"/>
    </row>
    <row r="212" spans="57:62" x14ac:dyDescent="0.25">
      <c r="BE212" s="55"/>
      <c r="BF212" s="55"/>
      <c r="BG212" s="55"/>
      <c r="BH212" s="55"/>
      <c r="BI212" s="55"/>
      <c r="BJ212" s="55"/>
    </row>
    <row r="213" spans="57:62" x14ac:dyDescent="0.25">
      <c r="BE213" s="55"/>
      <c r="BF213" s="55"/>
      <c r="BG213" s="55"/>
      <c r="BH213" s="55"/>
      <c r="BI213" s="55"/>
      <c r="BJ213" s="55"/>
    </row>
    <row r="214" spans="57:62" x14ac:dyDescent="0.25">
      <c r="BE214" s="55"/>
      <c r="BF214" s="55"/>
      <c r="BG214" s="55"/>
      <c r="BH214" s="55"/>
      <c r="BI214" s="55"/>
      <c r="BJ214" s="55"/>
    </row>
    <row r="215" spans="57:62" x14ac:dyDescent="0.25">
      <c r="BE215" s="55"/>
      <c r="BF215" s="55"/>
      <c r="BG215" s="55"/>
      <c r="BH215" s="55"/>
      <c r="BI215" s="55"/>
      <c r="BJ215" s="55"/>
    </row>
    <row r="216" spans="57:62" x14ac:dyDescent="0.25">
      <c r="BE216" s="55"/>
      <c r="BF216" s="55"/>
      <c r="BG216" s="55"/>
      <c r="BH216" s="55"/>
      <c r="BI216" s="55"/>
      <c r="BJ216" s="55"/>
    </row>
    <row r="217" spans="57:62" x14ac:dyDescent="0.25">
      <c r="BE217" s="55"/>
      <c r="BF217" s="55"/>
      <c r="BG217" s="55"/>
      <c r="BH217" s="55"/>
      <c r="BI217" s="55"/>
      <c r="BJ217" s="55"/>
    </row>
    <row r="218" spans="57:62" x14ac:dyDescent="0.25">
      <c r="BE218" s="55"/>
      <c r="BF218" s="55"/>
      <c r="BG218" s="55"/>
      <c r="BH218" s="55"/>
      <c r="BI218" s="55"/>
      <c r="BJ218" s="55"/>
    </row>
    <row r="219" spans="57:62" x14ac:dyDescent="0.25">
      <c r="BE219" s="55"/>
      <c r="BF219" s="55"/>
      <c r="BG219" s="55"/>
      <c r="BH219" s="55"/>
      <c r="BI219" s="55"/>
      <c r="BJ219" s="55"/>
    </row>
    <row r="220" spans="57:62" x14ac:dyDescent="0.25">
      <c r="BE220" s="55"/>
      <c r="BF220" s="55"/>
      <c r="BG220" s="55"/>
      <c r="BH220" s="55"/>
      <c r="BI220" s="55"/>
      <c r="BJ220" s="55"/>
    </row>
    <row r="221" spans="57:62" x14ac:dyDescent="0.25">
      <c r="BE221" s="55"/>
      <c r="BF221" s="55"/>
      <c r="BG221" s="55"/>
      <c r="BH221" s="55"/>
      <c r="BI221" s="55"/>
      <c r="BJ221" s="55"/>
    </row>
    <row r="222" spans="57:62" x14ac:dyDescent="0.25">
      <c r="BE222" s="55"/>
      <c r="BF222" s="55"/>
      <c r="BG222" s="55"/>
      <c r="BH222" s="55"/>
      <c r="BI222" s="55"/>
      <c r="BJ222" s="55"/>
    </row>
    <row r="223" spans="57:62" x14ac:dyDescent="0.25">
      <c r="BE223" s="55"/>
      <c r="BF223" s="55"/>
      <c r="BG223" s="55"/>
      <c r="BH223" s="55"/>
      <c r="BI223" s="55"/>
      <c r="BJ223" s="55"/>
    </row>
    <row r="224" spans="57:62" x14ac:dyDescent="0.25">
      <c r="BE224" s="55"/>
      <c r="BF224" s="55"/>
      <c r="BG224" s="55"/>
      <c r="BH224" s="55"/>
      <c r="BI224" s="55"/>
      <c r="BJ224" s="55"/>
    </row>
    <row r="225" spans="57:62" x14ac:dyDescent="0.25">
      <c r="BE225" s="55"/>
      <c r="BF225" s="55"/>
      <c r="BG225" s="55"/>
      <c r="BH225" s="55"/>
      <c r="BI225" s="55"/>
      <c r="BJ225" s="55"/>
    </row>
    <row r="226" spans="57:62" x14ac:dyDescent="0.25">
      <c r="BE226" s="55"/>
      <c r="BF226" s="55"/>
      <c r="BG226" s="55"/>
      <c r="BH226" s="55"/>
      <c r="BI226" s="55"/>
      <c r="BJ226" s="55"/>
    </row>
    <row r="227" spans="57:62" x14ac:dyDescent="0.25">
      <c r="BE227" s="55"/>
      <c r="BF227" s="55"/>
      <c r="BG227" s="55"/>
      <c r="BH227" s="55"/>
      <c r="BI227" s="55"/>
      <c r="BJ227" s="55"/>
    </row>
    <row r="228" spans="57:62" x14ac:dyDescent="0.25">
      <c r="BE228" s="55"/>
      <c r="BF228" s="55"/>
      <c r="BG228" s="55"/>
      <c r="BH228" s="55"/>
      <c r="BI228" s="55"/>
      <c r="BJ228" s="55"/>
    </row>
    <row r="229" spans="57:62" x14ac:dyDescent="0.25">
      <c r="BE229" s="55"/>
      <c r="BF229" s="55"/>
      <c r="BG229" s="55"/>
      <c r="BH229" s="55"/>
      <c r="BI229" s="55"/>
      <c r="BJ229" s="55"/>
    </row>
    <row r="230" spans="57:62" x14ac:dyDescent="0.25">
      <c r="BE230" s="55"/>
      <c r="BF230" s="55"/>
      <c r="BG230" s="55"/>
      <c r="BH230" s="55"/>
      <c r="BI230" s="55"/>
      <c r="BJ230" s="55"/>
    </row>
    <row r="231" spans="57:62" x14ac:dyDescent="0.25">
      <c r="BE231" s="55"/>
      <c r="BF231" s="55"/>
      <c r="BG231" s="55"/>
      <c r="BH231" s="55"/>
      <c r="BI231" s="55"/>
      <c r="BJ231" s="55"/>
    </row>
    <row r="232" spans="57:62" x14ac:dyDescent="0.25">
      <c r="BE232" s="55"/>
      <c r="BF232" s="55"/>
      <c r="BG232" s="55"/>
      <c r="BH232" s="55"/>
      <c r="BI232" s="55"/>
      <c r="BJ232" s="55"/>
    </row>
    <row r="233" spans="57:62" x14ac:dyDescent="0.25">
      <c r="BE233" s="55"/>
      <c r="BF233" s="55"/>
      <c r="BG233" s="55"/>
      <c r="BH233" s="55"/>
      <c r="BI233" s="55"/>
      <c r="BJ233" s="55"/>
    </row>
    <row r="234" spans="57:62" x14ac:dyDescent="0.25">
      <c r="BE234" s="55"/>
      <c r="BF234" s="55"/>
      <c r="BG234" s="55"/>
      <c r="BH234" s="55"/>
      <c r="BI234" s="55"/>
      <c r="BJ234" s="55"/>
    </row>
    <row r="235" spans="57:62" x14ac:dyDescent="0.25">
      <c r="BE235" s="55"/>
      <c r="BF235" s="55"/>
      <c r="BG235" s="55"/>
      <c r="BH235" s="55"/>
      <c r="BI235" s="55"/>
      <c r="BJ235" s="55"/>
    </row>
    <row r="236" spans="57:62" x14ac:dyDescent="0.25">
      <c r="BE236" s="55"/>
      <c r="BF236" s="55"/>
      <c r="BG236" s="55"/>
      <c r="BH236" s="55"/>
      <c r="BI236" s="55"/>
      <c r="BJ236" s="55"/>
    </row>
    <row r="237" spans="57:62" x14ac:dyDescent="0.25">
      <c r="BE237" s="55"/>
      <c r="BF237" s="55"/>
      <c r="BG237" s="55"/>
      <c r="BH237" s="55"/>
      <c r="BI237" s="55"/>
      <c r="BJ237" s="55"/>
    </row>
    <row r="238" spans="57:62" x14ac:dyDescent="0.25">
      <c r="BE238" s="55"/>
      <c r="BF238" s="55"/>
      <c r="BG238" s="55"/>
      <c r="BH238" s="55"/>
      <c r="BI238" s="55"/>
      <c r="BJ238" s="55"/>
    </row>
    <row r="239" spans="57:62" x14ac:dyDescent="0.25">
      <c r="BE239" s="55"/>
      <c r="BF239" s="55"/>
      <c r="BG239" s="55"/>
      <c r="BH239" s="55"/>
      <c r="BI239" s="55"/>
      <c r="BJ239" s="55"/>
    </row>
    <row r="240" spans="57:62" x14ac:dyDescent="0.25">
      <c r="BE240" s="55"/>
      <c r="BF240" s="55"/>
      <c r="BG240" s="55"/>
      <c r="BH240" s="55"/>
      <c r="BI240" s="55"/>
      <c r="BJ240" s="55"/>
    </row>
    <row r="241" spans="57:62" x14ac:dyDescent="0.25">
      <c r="BE241" s="55"/>
      <c r="BF241" s="55"/>
      <c r="BG241" s="55"/>
      <c r="BH241" s="55"/>
      <c r="BI241" s="55"/>
      <c r="BJ241" s="55"/>
    </row>
    <row r="242" spans="57:62" x14ac:dyDescent="0.25">
      <c r="BE242" s="55"/>
      <c r="BF242" s="55"/>
      <c r="BG242" s="55"/>
      <c r="BH242" s="55"/>
      <c r="BI242" s="55"/>
      <c r="BJ242" s="55"/>
    </row>
    <row r="243" spans="57:62" x14ac:dyDescent="0.25">
      <c r="BE243" s="55"/>
      <c r="BF243" s="55"/>
      <c r="BG243" s="55"/>
      <c r="BH243" s="55"/>
      <c r="BI243" s="55"/>
      <c r="BJ243" s="55"/>
    </row>
    <row r="244" spans="57:62" x14ac:dyDescent="0.25">
      <c r="BE244" s="55"/>
      <c r="BF244" s="55"/>
      <c r="BG244" s="55"/>
      <c r="BH244" s="55"/>
      <c r="BI244" s="55"/>
      <c r="BJ244" s="55"/>
    </row>
    <row r="245" spans="57:62" x14ac:dyDescent="0.25">
      <c r="BE245" s="55"/>
      <c r="BF245" s="55"/>
      <c r="BG245" s="55"/>
      <c r="BH245" s="55"/>
      <c r="BI245" s="55"/>
      <c r="BJ245" s="55"/>
    </row>
    <row r="246" spans="57:62" x14ac:dyDescent="0.25">
      <c r="BE246" s="55"/>
      <c r="BF246" s="55"/>
      <c r="BG246" s="55"/>
      <c r="BH246" s="55"/>
      <c r="BI246" s="55"/>
      <c r="BJ246" s="55"/>
    </row>
    <row r="247" spans="57:62" x14ac:dyDescent="0.25">
      <c r="BE247" s="55"/>
      <c r="BF247" s="55"/>
      <c r="BG247" s="55"/>
      <c r="BH247" s="55"/>
      <c r="BI247" s="55"/>
      <c r="BJ247" s="55"/>
    </row>
    <row r="248" spans="57:62" x14ac:dyDescent="0.25">
      <c r="BE248" s="55"/>
      <c r="BF248" s="55"/>
      <c r="BG248" s="55"/>
      <c r="BH248" s="55"/>
      <c r="BI248" s="55"/>
      <c r="BJ248" s="55"/>
    </row>
    <row r="249" spans="57:62" x14ac:dyDescent="0.25">
      <c r="BE249" s="55"/>
      <c r="BF249" s="55"/>
      <c r="BG249" s="55"/>
      <c r="BH249" s="55"/>
      <c r="BI249" s="55"/>
      <c r="BJ249" s="55"/>
    </row>
    <row r="250" spans="57:62" x14ac:dyDescent="0.25">
      <c r="BE250" s="55"/>
      <c r="BF250" s="55"/>
      <c r="BG250" s="55"/>
      <c r="BH250" s="55"/>
      <c r="BI250" s="55"/>
      <c r="BJ250" s="55"/>
    </row>
    <row r="251" spans="57:62" x14ac:dyDescent="0.25">
      <c r="BE251" s="55"/>
      <c r="BF251" s="55"/>
      <c r="BG251" s="55"/>
      <c r="BH251" s="55"/>
      <c r="BI251" s="55"/>
      <c r="BJ251" s="55"/>
    </row>
    <row r="252" spans="57:62" x14ac:dyDescent="0.25">
      <c r="BE252" s="55"/>
      <c r="BF252" s="55"/>
      <c r="BG252" s="55"/>
      <c r="BH252" s="55"/>
      <c r="BI252" s="55"/>
      <c r="BJ252" s="55"/>
    </row>
    <row r="253" spans="57:62" x14ac:dyDescent="0.25">
      <c r="BE253" s="55"/>
      <c r="BF253" s="55"/>
      <c r="BG253" s="55"/>
      <c r="BH253" s="55"/>
      <c r="BI253" s="55"/>
      <c r="BJ253" s="55"/>
    </row>
    <row r="254" spans="57:62" x14ac:dyDescent="0.25">
      <c r="BE254" s="55"/>
      <c r="BF254" s="55"/>
      <c r="BG254" s="55"/>
      <c r="BH254" s="55"/>
      <c r="BI254" s="55"/>
      <c r="BJ254" s="55"/>
    </row>
    <row r="255" spans="57:62" x14ac:dyDescent="0.25">
      <c r="BE255" s="55"/>
      <c r="BF255" s="55"/>
      <c r="BG255" s="55"/>
      <c r="BH255" s="55"/>
      <c r="BI255" s="55"/>
      <c r="BJ255" s="55"/>
    </row>
    <row r="256" spans="57:62" x14ac:dyDescent="0.25">
      <c r="BE256" s="55"/>
      <c r="BF256" s="55"/>
      <c r="BG256" s="55"/>
      <c r="BH256" s="55"/>
      <c r="BI256" s="55"/>
      <c r="BJ256" s="55"/>
    </row>
    <row r="257" spans="57:62" x14ac:dyDescent="0.25">
      <c r="BE257" s="55"/>
      <c r="BF257" s="55"/>
      <c r="BG257" s="55"/>
      <c r="BH257" s="55"/>
      <c r="BI257" s="55"/>
      <c r="BJ257" s="55"/>
    </row>
    <row r="258" spans="57:62" x14ac:dyDescent="0.25">
      <c r="BE258" s="55"/>
      <c r="BF258" s="55"/>
      <c r="BG258" s="55"/>
      <c r="BH258" s="55"/>
      <c r="BI258" s="55"/>
      <c r="BJ258" s="55"/>
    </row>
    <row r="259" spans="57:62" x14ac:dyDescent="0.25">
      <c r="BE259" s="55"/>
      <c r="BF259" s="55"/>
      <c r="BG259" s="55"/>
      <c r="BH259" s="55"/>
      <c r="BI259" s="55"/>
      <c r="BJ259" s="55"/>
    </row>
    <row r="260" spans="57:62" x14ac:dyDescent="0.25">
      <c r="BE260" s="55"/>
      <c r="BF260" s="55"/>
      <c r="BG260" s="55"/>
      <c r="BH260" s="55"/>
      <c r="BI260" s="55"/>
      <c r="BJ260" s="55"/>
    </row>
    <row r="261" spans="57:62" x14ac:dyDescent="0.25">
      <c r="BE261" s="55"/>
      <c r="BF261" s="55"/>
      <c r="BG261" s="55"/>
      <c r="BH261" s="55"/>
      <c r="BI261" s="55"/>
      <c r="BJ261" s="55"/>
    </row>
    <row r="262" spans="57:62" x14ac:dyDescent="0.25">
      <c r="BE262" s="55"/>
      <c r="BF262" s="55"/>
      <c r="BG262" s="55"/>
      <c r="BH262" s="55"/>
      <c r="BI262" s="55"/>
      <c r="BJ262" s="55"/>
    </row>
    <row r="263" spans="57:62" x14ac:dyDescent="0.25">
      <c r="BE263" s="55"/>
      <c r="BF263" s="55"/>
      <c r="BG263" s="55"/>
      <c r="BH263" s="55"/>
      <c r="BI263" s="55"/>
      <c r="BJ263" s="55"/>
    </row>
    <row r="264" spans="57:62" x14ac:dyDescent="0.25">
      <c r="BE264" s="55"/>
      <c r="BF264" s="55"/>
      <c r="BG264" s="55"/>
      <c r="BH264" s="55"/>
      <c r="BI264" s="55"/>
      <c r="BJ264" s="55"/>
    </row>
    <row r="265" spans="57:62" x14ac:dyDescent="0.25">
      <c r="BE265" s="55"/>
      <c r="BF265" s="55"/>
      <c r="BG265" s="55"/>
      <c r="BH265" s="55"/>
      <c r="BI265" s="55"/>
      <c r="BJ265" s="55"/>
    </row>
    <row r="266" spans="57:62" x14ac:dyDescent="0.25">
      <c r="BE266" s="55"/>
      <c r="BF266" s="55"/>
      <c r="BG266" s="55"/>
      <c r="BH266" s="55"/>
      <c r="BI266" s="55"/>
      <c r="BJ266" s="55"/>
    </row>
    <row r="267" spans="57:62" x14ac:dyDescent="0.25">
      <c r="BE267" s="55"/>
      <c r="BF267" s="55"/>
      <c r="BG267" s="55"/>
      <c r="BH267" s="55"/>
      <c r="BI267" s="55"/>
      <c r="BJ267" s="55"/>
    </row>
    <row r="268" spans="57:62" x14ac:dyDescent="0.25">
      <c r="BE268" s="55"/>
      <c r="BF268" s="55"/>
      <c r="BG268" s="55"/>
      <c r="BH268" s="55"/>
      <c r="BI268" s="55"/>
      <c r="BJ268" s="55"/>
    </row>
    <row r="269" spans="57:62" x14ac:dyDescent="0.25">
      <c r="BE269" s="55"/>
      <c r="BF269" s="55"/>
      <c r="BG269" s="55"/>
      <c r="BH269" s="55"/>
      <c r="BI269" s="55"/>
      <c r="BJ269" s="55"/>
    </row>
    <row r="270" spans="57:62" x14ac:dyDescent="0.25">
      <c r="BE270" s="55"/>
      <c r="BF270" s="55"/>
      <c r="BG270" s="55"/>
      <c r="BH270" s="55"/>
      <c r="BI270" s="55"/>
      <c r="BJ270" s="55"/>
    </row>
    <row r="271" spans="57:62" x14ac:dyDescent="0.25">
      <c r="BE271" s="55"/>
      <c r="BF271" s="55"/>
      <c r="BG271" s="55"/>
      <c r="BH271" s="55"/>
      <c r="BI271" s="55"/>
      <c r="BJ271" s="55"/>
    </row>
    <row r="272" spans="57:62" x14ac:dyDescent="0.25">
      <c r="BE272" s="55"/>
      <c r="BF272" s="55"/>
      <c r="BG272" s="55"/>
      <c r="BH272" s="55"/>
      <c r="BI272" s="55"/>
      <c r="BJ272" s="55"/>
    </row>
    <row r="273" spans="57:62" x14ac:dyDescent="0.25">
      <c r="BE273" s="55"/>
      <c r="BF273" s="55"/>
      <c r="BG273" s="55"/>
      <c r="BH273" s="55"/>
      <c r="BI273" s="55"/>
      <c r="BJ273" s="55"/>
    </row>
    <row r="274" spans="57:62" x14ac:dyDescent="0.25">
      <c r="BE274" s="55"/>
      <c r="BF274" s="55"/>
      <c r="BG274" s="55"/>
      <c r="BH274" s="55"/>
      <c r="BI274" s="55"/>
      <c r="BJ274" s="55"/>
    </row>
    <row r="275" spans="57:62" x14ac:dyDescent="0.25">
      <c r="BE275" s="55"/>
      <c r="BF275" s="55"/>
      <c r="BG275" s="55"/>
      <c r="BH275" s="55"/>
      <c r="BI275" s="55"/>
      <c r="BJ275" s="55"/>
    </row>
    <row r="276" spans="57:62" x14ac:dyDescent="0.25">
      <c r="BE276" s="55"/>
      <c r="BF276" s="55"/>
      <c r="BG276" s="55"/>
      <c r="BH276" s="55"/>
      <c r="BI276" s="55"/>
      <c r="BJ276" s="55"/>
    </row>
    <row r="277" spans="57:62" x14ac:dyDescent="0.25">
      <c r="BE277" s="55"/>
      <c r="BF277" s="55"/>
      <c r="BG277" s="55"/>
      <c r="BH277" s="55"/>
      <c r="BI277" s="55"/>
      <c r="BJ277" s="55"/>
    </row>
    <row r="278" spans="57:62" x14ac:dyDescent="0.25">
      <c r="BE278" s="55"/>
      <c r="BF278" s="55"/>
      <c r="BG278" s="55"/>
      <c r="BH278" s="55"/>
      <c r="BI278" s="55"/>
      <c r="BJ278" s="55"/>
    </row>
    <row r="279" spans="57:62" x14ac:dyDescent="0.25">
      <c r="BE279" s="55"/>
      <c r="BF279" s="55"/>
      <c r="BG279" s="55"/>
      <c r="BH279" s="55"/>
      <c r="BI279" s="55"/>
      <c r="BJ279" s="55"/>
    </row>
    <row r="280" spans="57:62" x14ac:dyDescent="0.25">
      <c r="BE280" s="55"/>
      <c r="BF280" s="55"/>
      <c r="BG280" s="55"/>
      <c r="BH280" s="55"/>
      <c r="BI280" s="55"/>
      <c r="BJ280" s="55"/>
    </row>
    <row r="281" spans="57:62" x14ac:dyDescent="0.25">
      <c r="BE281" s="55"/>
      <c r="BF281" s="55"/>
      <c r="BG281" s="55"/>
      <c r="BH281" s="55"/>
      <c r="BI281" s="55"/>
      <c r="BJ281" s="55"/>
    </row>
    <row r="282" spans="57:62" x14ac:dyDescent="0.25">
      <c r="BE282" s="55"/>
      <c r="BF282" s="55"/>
      <c r="BG282" s="55"/>
      <c r="BH282" s="55"/>
      <c r="BI282" s="55"/>
      <c r="BJ282" s="55"/>
    </row>
    <row r="283" spans="57:62" x14ac:dyDescent="0.25">
      <c r="BE283" s="55"/>
      <c r="BF283" s="55"/>
      <c r="BG283" s="55"/>
      <c r="BH283" s="55"/>
      <c r="BI283" s="55"/>
      <c r="BJ283" s="55"/>
    </row>
    <row r="284" spans="57:62" x14ac:dyDescent="0.25">
      <c r="BE284" s="55"/>
      <c r="BF284" s="55"/>
      <c r="BG284" s="55"/>
      <c r="BH284" s="55"/>
      <c r="BI284" s="55"/>
      <c r="BJ284" s="55"/>
    </row>
    <row r="285" spans="57:62" x14ac:dyDescent="0.25">
      <c r="BE285" s="55"/>
      <c r="BF285" s="55"/>
      <c r="BG285" s="55"/>
      <c r="BH285" s="55"/>
      <c r="BI285" s="55"/>
      <c r="BJ285" s="55"/>
    </row>
    <row r="286" spans="57:62" x14ac:dyDescent="0.25">
      <c r="BE286" s="55"/>
      <c r="BF286" s="55"/>
      <c r="BG286" s="55"/>
      <c r="BH286" s="55"/>
      <c r="BI286" s="55"/>
      <c r="BJ286" s="55"/>
    </row>
    <row r="287" spans="57:62" x14ac:dyDescent="0.25">
      <c r="BE287" s="55"/>
      <c r="BF287" s="55"/>
      <c r="BG287" s="55"/>
      <c r="BH287" s="55"/>
      <c r="BI287" s="55"/>
      <c r="BJ287" s="55"/>
    </row>
    <row r="288" spans="57:62" x14ac:dyDescent="0.25">
      <c r="BE288" s="55"/>
      <c r="BF288" s="55"/>
      <c r="BG288" s="55"/>
      <c r="BH288" s="55"/>
      <c r="BI288" s="55"/>
      <c r="BJ288" s="55"/>
    </row>
    <row r="289" spans="57:62" x14ac:dyDescent="0.25">
      <c r="BE289" s="55"/>
      <c r="BF289" s="55"/>
      <c r="BG289" s="55"/>
      <c r="BH289" s="55"/>
      <c r="BI289" s="55"/>
      <c r="BJ289" s="55"/>
    </row>
    <row r="290" spans="57:62" x14ac:dyDescent="0.25">
      <c r="BE290" s="55"/>
      <c r="BF290" s="55"/>
      <c r="BG290" s="55"/>
      <c r="BH290" s="55"/>
      <c r="BI290" s="55"/>
      <c r="BJ290" s="55"/>
    </row>
    <row r="291" spans="57:62" x14ac:dyDescent="0.25">
      <c r="BE291" s="55"/>
      <c r="BF291" s="55"/>
      <c r="BG291" s="55"/>
      <c r="BH291" s="55"/>
      <c r="BI291" s="55"/>
      <c r="BJ291" s="55"/>
    </row>
    <row r="292" spans="57:62" x14ac:dyDescent="0.25">
      <c r="BE292" s="55"/>
      <c r="BF292" s="55"/>
      <c r="BG292" s="55"/>
      <c r="BH292" s="55"/>
      <c r="BI292" s="55"/>
      <c r="BJ292" s="55"/>
    </row>
    <row r="293" spans="57:62" x14ac:dyDescent="0.25">
      <c r="BE293" s="55"/>
      <c r="BF293" s="55"/>
      <c r="BG293" s="55"/>
      <c r="BH293" s="55"/>
      <c r="BI293" s="55"/>
      <c r="BJ293" s="55"/>
    </row>
    <row r="294" spans="57:62" x14ac:dyDescent="0.25">
      <c r="BE294" s="55"/>
      <c r="BF294" s="55"/>
      <c r="BG294" s="55"/>
      <c r="BH294" s="55"/>
      <c r="BI294" s="55"/>
      <c r="BJ294" s="55"/>
    </row>
    <row r="295" spans="57:62" x14ac:dyDescent="0.25">
      <c r="BE295" s="55"/>
      <c r="BF295" s="55"/>
      <c r="BG295" s="55"/>
      <c r="BH295" s="55"/>
      <c r="BI295" s="55"/>
      <c r="BJ295" s="55"/>
    </row>
    <row r="296" spans="57:62" x14ac:dyDescent="0.25">
      <c r="BE296" s="55"/>
      <c r="BF296" s="55"/>
      <c r="BG296" s="55"/>
      <c r="BH296" s="55"/>
      <c r="BI296" s="55"/>
      <c r="BJ296" s="55"/>
    </row>
    <row r="297" spans="57:62" x14ac:dyDescent="0.25">
      <c r="BE297" s="55"/>
      <c r="BF297" s="55"/>
      <c r="BG297" s="55"/>
      <c r="BH297" s="55"/>
      <c r="BI297" s="55"/>
      <c r="BJ297" s="55"/>
    </row>
    <row r="298" spans="57:62" x14ac:dyDescent="0.25">
      <c r="BE298" s="55"/>
      <c r="BF298" s="55"/>
      <c r="BG298" s="55"/>
      <c r="BH298" s="55"/>
      <c r="BI298" s="55"/>
      <c r="BJ298" s="55"/>
    </row>
    <row r="299" spans="57:62" x14ac:dyDescent="0.25">
      <c r="BE299" s="55"/>
      <c r="BF299" s="55"/>
      <c r="BG299" s="55"/>
      <c r="BH299" s="55"/>
      <c r="BI299" s="55"/>
      <c r="BJ299" s="55"/>
    </row>
    <row r="300" spans="57:62" x14ac:dyDescent="0.25">
      <c r="BE300" s="55"/>
      <c r="BF300" s="55"/>
      <c r="BG300" s="55"/>
      <c r="BH300" s="55"/>
      <c r="BI300" s="55"/>
      <c r="BJ300" s="55"/>
    </row>
    <row r="301" spans="57:62" x14ac:dyDescent="0.25">
      <c r="BE301" s="55"/>
      <c r="BF301" s="55"/>
      <c r="BG301" s="55"/>
      <c r="BH301" s="55"/>
      <c r="BI301" s="55"/>
      <c r="BJ301" s="55"/>
    </row>
    <row r="302" spans="57:62" x14ac:dyDescent="0.25">
      <c r="BE302" s="55"/>
      <c r="BF302" s="55"/>
      <c r="BG302" s="55"/>
      <c r="BH302" s="55"/>
      <c r="BI302" s="55"/>
      <c r="BJ302" s="55"/>
    </row>
    <row r="303" spans="57:62" x14ac:dyDescent="0.25">
      <c r="BE303" s="55"/>
      <c r="BF303" s="55"/>
      <c r="BG303" s="55"/>
      <c r="BH303" s="55"/>
      <c r="BI303" s="55"/>
      <c r="BJ303" s="55"/>
    </row>
    <row r="304" spans="57:62" x14ac:dyDescent="0.25">
      <c r="BE304" s="55"/>
      <c r="BF304" s="55"/>
      <c r="BG304" s="55"/>
      <c r="BH304" s="55"/>
      <c r="BI304" s="55"/>
      <c r="BJ304" s="55"/>
    </row>
    <row r="305" spans="20:62" x14ac:dyDescent="0.25">
      <c r="BE305" s="55"/>
      <c r="BF305" s="55"/>
      <c r="BG305" s="55"/>
      <c r="BH305" s="55"/>
      <c r="BI305" s="55"/>
      <c r="BJ305" s="55"/>
    </row>
    <row r="306" spans="20:62" x14ac:dyDescent="0.25">
      <c r="BE306" s="55"/>
      <c r="BF306" s="55"/>
      <c r="BG306" s="55"/>
      <c r="BH306" s="55"/>
      <c r="BI306" s="55"/>
      <c r="BJ306" s="55"/>
    </row>
    <row r="307" spans="20:62" x14ac:dyDescent="0.25">
      <c r="BE307" s="55"/>
      <c r="BF307" s="55"/>
      <c r="BG307" s="55"/>
      <c r="BH307" s="55"/>
      <c r="BI307" s="55"/>
      <c r="BJ307" s="55"/>
    </row>
    <row r="308" spans="20:62" x14ac:dyDescent="0.25">
      <c r="BE308" s="55"/>
      <c r="BF308" s="55"/>
      <c r="BG308" s="55"/>
      <c r="BH308" s="55"/>
      <c r="BI308" s="55"/>
      <c r="BJ308" s="55"/>
    </row>
    <row r="309" spans="20:62" x14ac:dyDescent="0.25">
      <c r="BE309" s="55"/>
      <c r="BF309" s="55"/>
      <c r="BG309" s="55"/>
      <c r="BH309" s="55"/>
      <c r="BI309" s="55"/>
      <c r="BJ309" s="55"/>
    </row>
    <row r="310" spans="20:62" x14ac:dyDescent="0.25">
      <c r="BE310" s="55"/>
      <c r="BF310" s="55"/>
      <c r="BG310" s="55"/>
      <c r="BH310" s="55"/>
      <c r="BI310" s="55"/>
      <c r="BJ310" s="55"/>
    </row>
    <row r="311" spans="20:62" x14ac:dyDescent="0.25">
      <c r="BE311" s="55"/>
      <c r="BF311" s="55"/>
      <c r="BG311" s="55"/>
      <c r="BH311" s="55"/>
      <c r="BI311" s="55"/>
      <c r="BJ311" s="55"/>
    </row>
    <row r="312" spans="20:62" x14ac:dyDescent="0.25">
      <c r="BE312" s="55"/>
      <c r="BF312" s="55"/>
      <c r="BG312" s="55"/>
      <c r="BH312" s="55"/>
      <c r="BI312" s="55"/>
      <c r="BJ312" s="55"/>
    </row>
    <row r="313" spans="20:62" x14ac:dyDescent="0.25">
      <c r="BE313" s="55"/>
      <c r="BF313" s="55"/>
      <c r="BG313" s="55"/>
      <c r="BH313" s="55"/>
      <c r="BI313" s="55"/>
      <c r="BJ313" s="55"/>
    </row>
    <row r="314" spans="20:62" x14ac:dyDescent="0.25">
      <c r="BE314" s="55"/>
      <c r="BF314" s="55"/>
      <c r="BG314" s="55"/>
      <c r="BH314" s="55"/>
      <c r="BI314" s="55"/>
      <c r="BJ314" s="55"/>
    </row>
    <row r="315" spans="20:62" x14ac:dyDescent="0.25">
      <c r="T315" s="55"/>
      <c r="U315" s="55"/>
      <c r="V315" s="55"/>
      <c r="AD315" s="55"/>
      <c r="AN315" s="55"/>
      <c r="AO315" s="55"/>
      <c r="AP315" s="55"/>
      <c r="AQ315" s="55"/>
      <c r="AR315" s="55"/>
      <c r="AS315" s="55"/>
      <c r="AT315" s="55"/>
      <c r="AW315" s="55"/>
      <c r="AX315" s="55"/>
      <c r="AY315" s="55"/>
      <c r="BE315" s="55"/>
      <c r="BF315" s="55"/>
      <c r="BG315" s="55"/>
      <c r="BH315" s="55"/>
      <c r="BI315" s="55"/>
      <c r="BJ315" s="55"/>
    </row>
    <row r="316" spans="20:62" x14ac:dyDescent="0.25">
      <c r="T316" s="55"/>
      <c r="U316" s="55"/>
      <c r="V316" s="55"/>
      <c r="AD316" s="55"/>
      <c r="AN316" s="55"/>
      <c r="AO316" s="55"/>
      <c r="AP316" s="55"/>
      <c r="AQ316" s="55"/>
      <c r="AR316" s="55"/>
      <c r="AS316" s="55"/>
      <c r="AT316" s="55"/>
      <c r="AW316" s="55"/>
      <c r="AX316" s="55"/>
      <c r="AY316" s="55"/>
      <c r="BE316" s="55"/>
      <c r="BF316" s="55"/>
      <c r="BG316" s="55"/>
      <c r="BH316" s="55"/>
      <c r="BI316" s="55"/>
      <c r="BJ316" s="55"/>
    </row>
    <row r="317" spans="20:62" x14ac:dyDescent="0.25">
      <c r="T317" s="55"/>
      <c r="U317" s="55"/>
      <c r="V317" s="55"/>
      <c r="AD317" s="55"/>
      <c r="AN317" s="55"/>
      <c r="AO317" s="55"/>
      <c r="AP317" s="55"/>
      <c r="AQ317" s="55"/>
      <c r="AR317" s="55"/>
      <c r="AS317" s="55"/>
      <c r="AT317" s="55"/>
      <c r="AW317" s="55"/>
      <c r="AX317" s="55"/>
      <c r="AY317" s="55"/>
      <c r="BE317" s="55"/>
      <c r="BF317" s="55"/>
      <c r="BG317" s="55"/>
      <c r="BH317" s="55"/>
      <c r="BI317" s="55"/>
      <c r="BJ317" s="55"/>
    </row>
    <row r="318" spans="20:62" x14ac:dyDescent="0.25">
      <c r="T318" s="55"/>
      <c r="U318" s="55"/>
      <c r="V318" s="55"/>
      <c r="AD318" s="55"/>
      <c r="AN318" s="55"/>
      <c r="AO318" s="55"/>
      <c r="AP318" s="55"/>
      <c r="AQ318" s="55"/>
      <c r="AR318" s="55"/>
      <c r="AS318" s="55"/>
      <c r="AT318" s="55"/>
      <c r="AW318" s="55"/>
      <c r="AX318" s="55"/>
      <c r="AY318" s="55"/>
      <c r="BE318" s="55"/>
      <c r="BF318" s="55"/>
      <c r="BG318" s="55"/>
      <c r="BH318" s="55"/>
      <c r="BI318" s="55"/>
      <c r="BJ318" s="55"/>
    </row>
    <row r="319" spans="20:62" x14ac:dyDescent="0.25">
      <c r="T319" s="55"/>
      <c r="BE319" s="55"/>
      <c r="BF319" s="55"/>
      <c r="BG319" s="55"/>
      <c r="BH319" s="55"/>
      <c r="BI319" s="55"/>
      <c r="BJ319" s="55"/>
    </row>
    <row r="320" spans="20:62" x14ac:dyDescent="0.25">
      <c r="T320" s="55"/>
      <c r="BE320" s="55"/>
      <c r="BF320" s="55"/>
      <c r="BG320" s="55"/>
      <c r="BH320" s="55"/>
      <c r="BI320" s="55"/>
      <c r="BJ320" s="55"/>
    </row>
    <row r="321" spans="57:62" x14ac:dyDescent="0.25">
      <c r="BE321" s="55"/>
      <c r="BF321" s="55"/>
      <c r="BG321" s="55"/>
      <c r="BH321" s="55"/>
      <c r="BI321" s="55"/>
      <c r="BJ321" s="55"/>
    </row>
    <row r="322" spans="57:62" x14ac:dyDescent="0.25">
      <c r="BE322" s="55"/>
      <c r="BF322" s="55"/>
      <c r="BG322" s="55"/>
      <c r="BH322" s="55"/>
      <c r="BI322" s="55"/>
      <c r="BJ322" s="55"/>
    </row>
    <row r="323" spans="57:62" x14ac:dyDescent="0.25">
      <c r="BE323" s="55"/>
      <c r="BF323" s="55"/>
      <c r="BG323" s="55"/>
      <c r="BH323" s="55"/>
      <c r="BI323" s="55"/>
      <c r="BJ323" s="55"/>
    </row>
    <row r="324" spans="57:62" x14ac:dyDescent="0.25">
      <c r="BE324" s="55"/>
      <c r="BF324" s="55"/>
      <c r="BG324" s="55"/>
      <c r="BH324" s="55"/>
      <c r="BI324" s="55"/>
      <c r="BJ324" s="55"/>
    </row>
    <row r="325" spans="57:62" x14ac:dyDescent="0.25">
      <c r="BE325" s="55"/>
      <c r="BF325" s="55"/>
      <c r="BG325" s="55"/>
      <c r="BH325" s="55"/>
      <c r="BI325" s="55"/>
      <c r="BJ325" s="55"/>
    </row>
    <row r="326" spans="57:62" x14ac:dyDescent="0.25">
      <c r="BE326" s="55"/>
      <c r="BF326" s="55"/>
      <c r="BG326" s="55"/>
    </row>
    <row r="327" spans="57:62" x14ac:dyDescent="0.25">
      <c r="BE327" s="55"/>
      <c r="BF327" s="55"/>
      <c r="BG327" s="55"/>
    </row>
    <row r="328" spans="57:62" x14ac:dyDescent="0.25">
      <c r="BE328" s="55"/>
      <c r="BF328" s="55"/>
      <c r="BG328" s="55"/>
    </row>
    <row r="329" spans="57:62" x14ac:dyDescent="0.25">
      <c r="BE329" s="55"/>
      <c r="BF329" s="55"/>
      <c r="BG329" s="55"/>
    </row>
    <row r="330" spans="57:62" x14ac:dyDescent="0.25">
      <c r="BE330" s="55"/>
      <c r="BF330" s="55"/>
      <c r="BG330" s="55"/>
    </row>
    <row r="331" spans="57:62" x14ac:dyDescent="0.25">
      <c r="BE331" s="55"/>
      <c r="BF331" s="55"/>
      <c r="BG331" s="55"/>
    </row>
    <row r="332" spans="57:62" x14ac:dyDescent="0.25">
      <c r="BE332" s="55"/>
      <c r="BF332" s="55"/>
      <c r="BG332" s="55"/>
    </row>
    <row r="333" spans="57:62" x14ac:dyDescent="0.25">
      <c r="BE333" s="55"/>
      <c r="BF333" s="55"/>
      <c r="BG333" s="55"/>
    </row>
    <row r="334" spans="57:62" x14ac:dyDescent="0.25">
      <c r="BE334" s="55"/>
      <c r="BF334" s="55"/>
      <c r="BG334" s="55"/>
    </row>
    <row r="335" spans="57:62" x14ac:dyDescent="0.25">
      <c r="BE335" s="55"/>
      <c r="BF335" s="55"/>
      <c r="BG335" s="55"/>
    </row>
    <row r="336" spans="57:62" x14ac:dyDescent="0.25">
      <c r="BE336" s="55"/>
      <c r="BF336" s="55"/>
      <c r="BG336" s="55"/>
    </row>
    <row r="337" spans="57:59" x14ac:dyDescent="0.25">
      <c r="BE337" s="55"/>
      <c r="BF337" s="55"/>
      <c r="BG337" s="55"/>
    </row>
    <row r="338" spans="57:59" x14ac:dyDescent="0.25">
      <c r="BE338" s="55"/>
      <c r="BF338" s="55"/>
      <c r="BG338" s="55"/>
    </row>
    <row r="339" spans="57:59" x14ac:dyDescent="0.25">
      <c r="BE339" s="55"/>
      <c r="BF339" s="55"/>
      <c r="BG339" s="55"/>
    </row>
    <row r="340" spans="57:59" x14ac:dyDescent="0.25">
      <c r="BE340" s="55"/>
      <c r="BF340" s="55"/>
      <c r="BG340" s="55"/>
    </row>
    <row r="341" spans="57:59" x14ac:dyDescent="0.25">
      <c r="BE341" s="55"/>
      <c r="BF341" s="55"/>
      <c r="BG341" s="55"/>
    </row>
    <row r="342" spans="57:59" x14ac:dyDescent="0.25">
      <c r="BE342" s="55"/>
      <c r="BF342" s="55"/>
      <c r="BG342" s="55"/>
    </row>
    <row r="343" spans="57:59" x14ac:dyDescent="0.25">
      <c r="BE343" s="55"/>
      <c r="BF343" s="55"/>
      <c r="BG343" s="55"/>
    </row>
    <row r="344" spans="57:59" x14ac:dyDescent="0.25">
      <c r="BE344" s="55"/>
      <c r="BF344" s="55"/>
      <c r="BG344" s="55"/>
    </row>
    <row r="345" spans="57:59" x14ac:dyDescent="0.25">
      <c r="BE345" s="55"/>
      <c r="BF345" s="55"/>
      <c r="BG345" s="55"/>
    </row>
    <row r="346" spans="57:59" x14ac:dyDescent="0.25">
      <c r="BE346" s="55"/>
      <c r="BF346" s="55"/>
      <c r="BG346" s="55"/>
    </row>
    <row r="347" spans="57:59" x14ac:dyDescent="0.25">
      <c r="BE347" s="55"/>
      <c r="BF347" s="55"/>
      <c r="BG347" s="55"/>
    </row>
    <row r="348" spans="57:59" x14ac:dyDescent="0.25">
      <c r="BE348" s="55"/>
      <c r="BF348" s="55"/>
      <c r="BG348" s="55"/>
    </row>
    <row r="349" spans="57:59" x14ac:dyDescent="0.25">
      <c r="BE349" s="55"/>
      <c r="BF349" s="55"/>
      <c r="BG349" s="55"/>
    </row>
    <row r="350" spans="57:59" x14ac:dyDescent="0.25">
      <c r="BE350" s="55"/>
      <c r="BF350" s="55"/>
      <c r="BG350" s="55"/>
    </row>
    <row r="351" spans="57:59" x14ac:dyDescent="0.25">
      <c r="BE351" s="55"/>
      <c r="BF351" s="55"/>
      <c r="BG351" s="55"/>
    </row>
    <row r="352" spans="57:59" x14ac:dyDescent="0.25">
      <c r="BE352" s="55"/>
      <c r="BF352" s="55"/>
      <c r="BG352" s="55"/>
    </row>
    <row r="353" spans="57:59" x14ac:dyDescent="0.25">
      <c r="BE353" s="55"/>
      <c r="BF353" s="55"/>
      <c r="BG353" s="55"/>
    </row>
    <row r="354" spans="57:59" x14ac:dyDescent="0.25">
      <c r="BE354" s="55"/>
      <c r="BF354" s="55"/>
      <c r="BG354" s="55"/>
    </row>
    <row r="355" spans="57:59" x14ac:dyDescent="0.25">
      <c r="BE355" s="55"/>
      <c r="BF355" s="55"/>
      <c r="BG355" s="55"/>
    </row>
    <row r="356" spans="57:59" x14ac:dyDescent="0.25">
      <c r="BE356" s="55"/>
      <c r="BF356" s="55"/>
      <c r="BG356" s="55"/>
    </row>
    <row r="357" spans="57:59" x14ac:dyDescent="0.25">
      <c r="BE357" s="55"/>
      <c r="BF357" s="55"/>
      <c r="BG357" s="55"/>
    </row>
    <row r="358" spans="57:59" x14ac:dyDescent="0.25">
      <c r="BE358" s="55"/>
      <c r="BF358" s="55"/>
      <c r="BG358" s="55"/>
    </row>
    <row r="359" spans="57:59" x14ac:dyDescent="0.25">
      <c r="BE359" s="55"/>
      <c r="BF359" s="55"/>
      <c r="BG359" s="55"/>
    </row>
    <row r="360" spans="57:59" x14ac:dyDescent="0.25">
      <c r="BE360" s="55"/>
      <c r="BF360" s="55"/>
      <c r="BG360" s="55"/>
    </row>
    <row r="361" spans="57:59" x14ac:dyDescent="0.25">
      <c r="BE361" s="55"/>
      <c r="BF361" s="55"/>
      <c r="BG361" s="55"/>
    </row>
    <row r="362" spans="57:59" x14ac:dyDescent="0.25">
      <c r="BE362" s="55"/>
      <c r="BF362" s="55"/>
      <c r="BG362" s="55"/>
    </row>
    <row r="363" spans="57:59" x14ac:dyDescent="0.25">
      <c r="BE363" s="55"/>
      <c r="BF363" s="55"/>
      <c r="BG363" s="55"/>
    </row>
    <row r="364" spans="57:59" x14ac:dyDescent="0.25">
      <c r="BE364" s="55"/>
      <c r="BF364" s="55"/>
      <c r="BG364" s="55"/>
    </row>
    <row r="365" spans="57:59" x14ac:dyDescent="0.25">
      <c r="BE365" s="55"/>
      <c r="BF365" s="55"/>
      <c r="BG365" s="55"/>
    </row>
    <row r="366" spans="57:59" x14ac:dyDescent="0.25">
      <c r="BE366" s="55"/>
      <c r="BF366" s="55"/>
      <c r="BG366" s="55"/>
    </row>
    <row r="367" spans="57:59" x14ac:dyDescent="0.25">
      <c r="BE367" s="55"/>
      <c r="BF367" s="55"/>
      <c r="BG367" s="55"/>
    </row>
    <row r="368" spans="57:59" x14ac:dyDescent="0.25">
      <c r="BE368" s="55"/>
      <c r="BF368" s="55"/>
      <c r="BG368" s="55"/>
    </row>
    <row r="369" spans="57:59" x14ac:dyDescent="0.25">
      <c r="BE369" s="55"/>
      <c r="BF369" s="55"/>
      <c r="BG369" s="55"/>
    </row>
    <row r="370" spans="57:59" x14ac:dyDescent="0.25">
      <c r="BE370" s="55"/>
      <c r="BF370" s="55"/>
      <c r="BG370" s="55"/>
    </row>
    <row r="371" spans="57:59" x14ac:dyDescent="0.25">
      <c r="BE371" s="55"/>
      <c r="BF371" s="55"/>
      <c r="BG371" s="55"/>
    </row>
    <row r="372" spans="57:59" x14ac:dyDescent="0.25">
      <c r="BE372" s="55"/>
      <c r="BF372" s="55"/>
      <c r="BG372" s="55"/>
    </row>
    <row r="373" spans="57:59" x14ac:dyDescent="0.25">
      <c r="BE373" s="55"/>
      <c r="BF373" s="55"/>
      <c r="BG373" s="55"/>
    </row>
    <row r="374" spans="57:59" x14ac:dyDescent="0.25">
      <c r="BE374" s="55"/>
      <c r="BF374" s="55"/>
      <c r="BG374" s="55"/>
    </row>
    <row r="375" spans="57:59" x14ac:dyDescent="0.25">
      <c r="BE375" s="55"/>
      <c r="BF375" s="55"/>
      <c r="BG375" s="55"/>
    </row>
    <row r="376" spans="57:59" x14ac:dyDescent="0.25">
      <c r="BE376" s="55"/>
      <c r="BF376" s="55"/>
      <c r="BG376" s="55"/>
    </row>
    <row r="377" spans="57:59" x14ac:dyDescent="0.25">
      <c r="BE377" s="55"/>
      <c r="BF377" s="55"/>
      <c r="BG377" s="55"/>
    </row>
    <row r="378" spans="57:59" x14ac:dyDescent="0.25">
      <c r="BE378" s="55"/>
      <c r="BF378" s="55"/>
      <c r="BG378" s="55"/>
    </row>
    <row r="379" spans="57:59" x14ac:dyDescent="0.25">
      <c r="BE379" s="55"/>
      <c r="BF379" s="55"/>
      <c r="BG379" s="55"/>
    </row>
    <row r="380" spans="57:59" x14ac:dyDescent="0.25">
      <c r="BE380" s="55"/>
      <c r="BF380" s="55"/>
      <c r="BG380" s="55"/>
    </row>
    <row r="381" spans="57:59" x14ac:dyDescent="0.25">
      <c r="BE381" s="55"/>
      <c r="BF381" s="55"/>
      <c r="BG381" s="55"/>
    </row>
    <row r="382" spans="57:59" x14ac:dyDescent="0.25">
      <c r="BE382" s="55"/>
      <c r="BF382" s="55"/>
      <c r="BG382" s="55"/>
    </row>
    <row r="383" spans="57:59" x14ac:dyDescent="0.25">
      <c r="BE383" s="55"/>
      <c r="BF383" s="55"/>
      <c r="BG383" s="55"/>
    </row>
    <row r="384" spans="57:59" x14ac:dyDescent="0.25">
      <c r="BE384" s="55"/>
      <c r="BF384" s="55"/>
      <c r="BG384" s="55"/>
    </row>
    <row r="385" spans="57:59" x14ac:dyDescent="0.25">
      <c r="BE385" s="55"/>
      <c r="BF385" s="55"/>
      <c r="BG385" s="55"/>
    </row>
    <row r="386" spans="57:59" x14ac:dyDescent="0.25">
      <c r="BE386" s="55"/>
      <c r="BF386" s="55"/>
      <c r="BG386" s="55"/>
    </row>
    <row r="387" spans="57:59" x14ac:dyDescent="0.25">
      <c r="BE387" s="55"/>
      <c r="BF387" s="55"/>
      <c r="BG387" s="55"/>
    </row>
    <row r="388" spans="57:59" x14ac:dyDescent="0.25">
      <c r="BE388" s="55"/>
      <c r="BF388" s="55"/>
      <c r="BG388" s="55"/>
    </row>
    <row r="389" spans="57:59" x14ac:dyDescent="0.25">
      <c r="BE389" s="55"/>
      <c r="BF389" s="55"/>
      <c r="BG389" s="55"/>
    </row>
    <row r="390" spans="57:59" x14ac:dyDescent="0.25">
      <c r="BE390" s="55"/>
      <c r="BF390" s="55"/>
      <c r="BG390" s="55"/>
    </row>
    <row r="391" spans="57:59" x14ac:dyDescent="0.25">
      <c r="BE391" s="55"/>
      <c r="BF391" s="55"/>
      <c r="BG391" s="55"/>
    </row>
    <row r="392" spans="57:59" x14ac:dyDescent="0.25">
      <c r="BE392" s="55"/>
      <c r="BF392" s="55"/>
      <c r="BG392" s="55"/>
    </row>
    <row r="393" spans="57:59" x14ac:dyDescent="0.25">
      <c r="BE393" s="55"/>
      <c r="BF393" s="55"/>
      <c r="BG393" s="55"/>
    </row>
    <row r="394" spans="57:59" x14ac:dyDescent="0.25">
      <c r="BE394" s="55"/>
      <c r="BF394" s="55"/>
      <c r="BG394" s="55"/>
    </row>
    <row r="395" spans="57:59" x14ac:dyDescent="0.25">
      <c r="BE395" s="55"/>
      <c r="BF395" s="55"/>
      <c r="BG395" s="55"/>
    </row>
    <row r="396" spans="57:59" x14ac:dyDescent="0.25">
      <c r="BE396" s="55"/>
      <c r="BF396" s="55"/>
      <c r="BG396" s="55"/>
    </row>
    <row r="397" spans="57:59" x14ac:dyDescent="0.25">
      <c r="BE397" s="55"/>
      <c r="BF397" s="55"/>
      <c r="BG397" s="55"/>
    </row>
    <row r="398" spans="57:59" x14ac:dyDescent="0.25">
      <c r="BE398" s="55"/>
      <c r="BF398" s="55"/>
      <c r="BG398" s="55"/>
    </row>
    <row r="399" spans="57:59" x14ac:dyDescent="0.25">
      <c r="BE399" s="55"/>
      <c r="BF399" s="55"/>
      <c r="BG399" s="55"/>
    </row>
    <row r="400" spans="57:59" x14ac:dyDescent="0.25">
      <c r="BE400" s="55"/>
      <c r="BF400" s="55"/>
      <c r="BG400" s="55"/>
    </row>
    <row r="401" spans="57:59" x14ac:dyDescent="0.25">
      <c r="BE401" s="55"/>
      <c r="BF401" s="55"/>
      <c r="BG401" s="55"/>
    </row>
    <row r="402" spans="57:59" x14ac:dyDescent="0.25">
      <c r="BE402" s="55"/>
      <c r="BF402" s="55"/>
      <c r="BG402" s="55"/>
    </row>
    <row r="403" spans="57:59" x14ac:dyDescent="0.25">
      <c r="BE403" s="55"/>
      <c r="BF403" s="55"/>
      <c r="BG403" s="55"/>
    </row>
    <row r="404" spans="57:59" x14ac:dyDescent="0.25">
      <c r="BE404" s="55"/>
      <c r="BF404" s="55"/>
      <c r="BG404" s="55"/>
    </row>
    <row r="405" spans="57:59" x14ac:dyDescent="0.25">
      <c r="BE405" s="55"/>
      <c r="BF405" s="55"/>
      <c r="BG405" s="55"/>
    </row>
    <row r="406" spans="57:59" x14ac:dyDescent="0.25">
      <c r="BE406" s="55"/>
      <c r="BF406" s="55"/>
      <c r="BG406" s="55"/>
    </row>
    <row r="407" spans="57:59" x14ac:dyDescent="0.25">
      <c r="BE407" s="55"/>
      <c r="BF407" s="55"/>
      <c r="BG407" s="55"/>
    </row>
    <row r="408" spans="57:59" x14ac:dyDescent="0.25">
      <c r="BE408" s="55"/>
      <c r="BF408" s="55"/>
      <c r="BG408" s="55"/>
    </row>
    <row r="409" spans="57:59" x14ac:dyDescent="0.25">
      <c r="BE409" s="55"/>
      <c r="BF409" s="55"/>
      <c r="BG409" s="55"/>
    </row>
    <row r="410" spans="57:59" x14ac:dyDescent="0.25">
      <c r="BE410" s="55"/>
      <c r="BF410" s="55"/>
      <c r="BG410" s="55"/>
    </row>
    <row r="411" spans="57:59" x14ac:dyDescent="0.25">
      <c r="BE411" s="55"/>
      <c r="BF411" s="55"/>
      <c r="BG411" s="55"/>
    </row>
    <row r="412" spans="57:59" x14ac:dyDescent="0.25">
      <c r="BE412" s="55"/>
      <c r="BF412" s="55"/>
      <c r="BG412" s="55"/>
    </row>
    <row r="413" spans="57:59" x14ac:dyDescent="0.25">
      <c r="BE413" s="55"/>
      <c r="BF413" s="55"/>
      <c r="BG413" s="55"/>
    </row>
    <row r="414" spans="57:59" x14ac:dyDescent="0.25">
      <c r="BE414" s="55"/>
      <c r="BF414" s="55"/>
      <c r="BG414" s="55"/>
    </row>
    <row r="415" spans="57:59" x14ac:dyDescent="0.25">
      <c r="BE415" s="55"/>
      <c r="BF415" s="55"/>
      <c r="BG415" s="55"/>
    </row>
    <row r="416" spans="57:59" x14ac:dyDescent="0.25">
      <c r="BE416" s="55"/>
      <c r="BF416" s="55"/>
      <c r="BG416" s="55"/>
    </row>
    <row r="417" spans="57:59" x14ac:dyDescent="0.25">
      <c r="BE417" s="55"/>
      <c r="BF417" s="55"/>
      <c r="BG417" s="55"/>
    </row>
    <row r="418" spans="57:59" x14ac:dyDescent="0.25">
      <c r="BE418" s="55"/>
      <c r="BF418" s="55"/>
      <c r="BG418" s="55"/>
    </row>
    <row r="419" spans="57:59" x14ac:dyDescent="0.25">
      <c r="BE419" s="55"/>
      <c r="BF419" s="55"/>
      <c r="BG419" s="55"/>
    </row>
    <row r="420" spans="57:59" x14ac:dyDescent="0.25">
      <c r="BE420" s="55"/>
      <c r="BF420" s="55"/>
      <c r="BG420" s="55"/>
    </row>
    <row r="421" spans="57:59" x14ac:dyDescent="0.25">
      <c r="BE421" s="55"/>
      <c r="BF421" s="55"/>
      <c r="BG421" s="55"/>
    </row>
    <row r="422" spans="57:59" x14ac:dyDescent="0.25">
      <c r="BE422" s="55"/>
      <c r="BF422" s="55"/>
      <c r="BG422" s="55"/>
    </row>
    <row r="423" spans="57:59" x14ac:dyDescent="0.25">
      <c r="BE423" s="55"/>
      <c r="BF423" s="55"/>
      <c r="BG423" s="55"/>
    </row>
    <row r="424" spans="57:59" x14ac:dyDescent="0.25">
      <c r="BE424" s="55"/>
      <c r="BF424" s="55"/>
      <c r="BG424" s="55"/>
    </row>
    <row r="425" spans="57:59" x14ac:dyDescent="0.25">
      <c r="BE425" s="55"/>
      <c r="BF425" s="55"/>
      <c r="BG425" s="55"/>
    </row>
    <row r="426" spans="57:59" x14ac:dyDescent="0.25">
      <c r="BE426" s="55"/>
      <c r="BF426" s="55"/>
      <c r="BG426" s="55"/>
    </row>
    <row r="427" spans="57:59" x14ac:dyDescent="0.25">
      <c r="BE427" s="55"/>
      <c r="BF427" s="55"/>
      <c r="BG427" s="55"/>
    </row>
    <row r="428" spans="57:59" x14ac:dyDescent="0.25">
      <c r="BE428" s="55"/>
      <c r="BF428" s="55"/>
      <c r="BG428" s="55"/>
    </row>
    <row r="429" spans="57:59" x14ac:dyDescent="0.25">
      <c r="BE429" s="55"/>
      <c r="BF429" s="55"/>
      <c r="BG429" s="55"/>
    </row>
    <row r="430" spans="57:59" x14ac:dyDescent="0.25">
      <c r="BE430" s="55"/>
      <c r="BF430" s="55"/>
      <c r="BG430" s="55"/>
    </row>
    <row r="431" spans="57:59" x14ac:dyDescent="0.25">
      <c r="BE431" s="55"/>
      <c r="BF431" s="55"/>
      <c r="BG431" s="55"/>
    </row>
    <row r="432" spans="57:59" x14ac:dyDescent="0.25">
      <c r="BE432" s="55"/>
      <c r="BF432" s="55"/>
      <c r="BG432" s="55"/>
    </row>
    <row r="433" spans="57:59" x14ac:dyDescent="0.25">
      <c r="BE433" s="55"/>
      <c r="BF433" s="55"/>
      <c r="BG433" s="55"/>
    </row>
    <row r="434" spans="57:59" x14ac:dyDescent="0.25">
      <c r="BE434" s="55"/>
      <c r="BF434" s="55"/>
      <c r="BG434" s="55"/>
    </row>
    <row r="435" spans="57:59" x14ac:dyDescent="0.25">
      <c r="BE435" s="55"/>
      <c r="BF435" s="55"/>
      <c r="BG435" s="55"/>
    </row>
    <row r="436" spans="57:59" x14ac:dyDescent="0.25">
      <c r="BE436" s="55"/>
      <c r="BF436" s="55"/>
      <c r="BG436" s="55"/>
    </row>
    <row r="437" spans="57:59" x14ac:dyDescent="0.25">
      <c r="BE437" s="55"/>
      <c r="BF437" s="55"/>
      <c r="BG437" s="55"/>
    </row>
    <row r="438" spans="57:59" x14ac:dyDescent="0.25">
      <c r="BE438" s="55"/>
      <c r="BF438" s="55"/>
      <c r="BG438" s="55"/>
    </row>
    <row r="439" spans="57:59" x14ac:dyDescent="0.25">
      <c r="BE439" s="55"/>
      <c r="BF439" s="55"/>
      <c r="BG439" s="55"/>
    </row>
    <row r="440" spans="57:59" x14ac:dyDescent="0.25">
      <c r="BE440" s="55"/>
      <c r="BF440" s="55"/>
      <c r="BG440" s="55"/>
    </row>
    <row r="441" spans="57:59" x14ac:dyDescent="0.25">
      <c r="BE441" s="55"/>
      <c r="BF441" s="55"/>
      <c r="BG441" s="55"/>
    </row>
    <row r="442" spans="57:59" x14ac:dyDescent="0.25">
      <c r="BE442" s="55"/>
      <c r="BF442" s="55"/>
      <c r="BG442" s="55"/>
    </row>
    <row r="443" spans="57:59" x14ac:dyDescent="0.25">
      <c r="BE443" s="55"/>
      <c r="BF443" s="55"/>
      <c r="BG443" s="55"/>
    </row>
    <row r="444" spans="57:59" x14ac:dyDescent="0.25">
      <c r="BE444" s="55"/>
      <c r="BF444" s="55"/>
      <c r="BG444" s="55"/>
    </row>
    <row r="445" spans="57:59" x14ac:dyDescent="0.25">
      <c r="BE445" s="55"/>
      <c r="BF445" s="55"/>
      <c r="BG445" s="55"/>
    </row>
    <row r="446" spans="57:59" x14ac:dyDescent="0.25">
      <c r="BE446" s="55"/>
      <c r="BF446" s="55"/>
      <c r="BG446" s="55"/>
    </row>
    <row r="447" spans="57:59" x14ac:dyDescent="0.25">
      <c r="BE447" s="55"/>
      <c r="BF447" s="55"/>
      <c r="BG447" s="55"/>
    </row>
    <row r="448" spans="57:59" x14ac:dyDescent="0.25">
      <c r="BE448" s="55"/>
      <c r="BF448" s="55"/>
      <c r="BG448" s="55"/>
    </row>
    <row r="449" spans="57:59" x14ac:dyDescent="0.25">
      <c r="BE449" s="55"/>
      <c r="BF449" s="55"/>
      <c r="BG449" s="55"/>
    </row>
    <row r="450" spans="57:59" x14ac:dyDescent="0.25">
      <c r="BE450" s="55"/>
      <c r="BF450" s="55"/>
      <c r="BG450" s="55"/>
    </row>
    <row r="451" spans="57:59" x14ac:dyDescent="0.25">
      <c r="BE451" s="55"/>
      <c r="BF451" s="55"/>
      <c r="BG451" s="55"/>
    </row>
    <row r="452" spans="57:59" x14ac:dyDescent="0.25">
      <c r="BE452" s="55"/>
      <c r="BF452" s="55"/>
      <c r="BG452" s="55"/>
    </row>
    <row r="453" spans="57:59" x14ac:dyDescent="0.25">
      <c r="BE453" s="55"/>
      <c r="BF453" s="55"/>
      <c r="BG453" s="55"/>
    </row>
    <row r="454" spans="57:59" x14ac:dyDescent="0.25">
      <c r="BE454" s="55"/>
      <c r="BF454" s="55"/>
      <c r="BG454" s="55"/>
    </row>
    <row r="455" spans="57:59" x14ac:dyDescent="0.25">
      <c r="BE455" s="55"/>
      <c r="BF455" s="55"/>
      <c r="BG455" s="55"/>
    </row>
    <row r="456" spans="57:59" x14ac:dyDescent="0.25">
      <c r="BE456" s="55"/>
      <c r="BF456" s="55"/>
      <c r="BG456" s="55"/>
    </row>
    <row r="457" spans="57:59" x14ac:dyDescent="0.25">
      <c r="BE457" s="55"/>
      <c r="BF457" s="55"/>
      <c r="BG457" s="55"/>
    </row>
    <row r="458" spans="57:59" x14ac:dyDescent="0.25">
      <c r="BE458" s="55"/>
      <c r="BF458" s="55"/>
      <c r="BG458" s="55"/>
    </row>
    <row r="459" spans="57:59" x14ac:dyDescent="0.25">
      <c r="BE459" s="55"/>
      <c r="BF459" s="55"/>
      <c r="BG459" s="55"/>
    </row>
    <row r="460" spans="57:59" x14ac:dyDescent="0.25">
      <c r="BE460" s="55"/>
      <c r="BF460" s="55"/>
      <c r="BG460" s="55"/>
    </row>
    <row r="461" spans="57:59" x14ac:dyDescent="0.25">
      <c r="BE461" s="55"/>
      <c r="BF461" s="55"/>
      <c r="BG461" s="55"/>
    </row>
    <row r="462" spans="57:59" x14ac:dyDescent="0.25">
      <c r="BE462" s="55"/>
      <c r="BF462" s="55"/>
      <c r="BG462" s="55"/>
    </row>
    <row r="463" spans="57:59" x14ac:dyDescent="0.25">
      <c r="BE463" s="55"/>
      <c r="BF463" s="55"/>
      <c r="BG463" s="55"/>
    </row>
    <row r="464" spans="57:59" x14ac:dyDescent="0.25">
      <c r="BE464" s="55"/>
      <c r="BF464" s="55"/>
      <c r="BG464" s="55"/>
    </row>
    <row r="465" spans="57:59" x14ac:dyDescent="0.25">
      <c r="BE465" s="55"/>
      <c r="BF465" s="55"/>
      <c r="BG465" s="55"/>
    </row>
    <row r="466" spans="57:59" x14ac:dyDescent="0.25">
      <c r="BE466" s="55"/>
      <c r="BF466" s="55"/>
      <c r="BG466" s="55"/>
    </row>
    <row r="467" spans="57:59" x14ac:dyDescent="0.25">
      <c r="BE467" s="55"/>
      <c r="BF467" s="55"/>
      <c r="BG467" s="55"/>
    </row>
    <row r="468" spans="57:59" x14ac:dyDescent="0.25">
      <c r="BE468" s="55"/>
      <c r="BF468" s="55"/>
      <c r="BG468" s="55"/>
    </row>
    <row r="469" spans="57:59" x14ac:dyDescent="0.25">
      <c r="BE469" s="55"/>
      <c r="BF469" s="55"/>
      <c r="BG469" s="55"/>
    </row>
    <row r="470" spans="57:59" x14ac:dyDescent="0.25">
      <c r="BE470" s="55"/>
      <c r="BF470" s="55"/>
      <c r="BG470" s="55"/>
    </row>
    <row r="471" spans="57:59" x14ac:dyDescent="0.25">
      <c r="BE471" s="55"/>
      <c r="BF471" s="55"/>
      <c r="BG471" s="55"/>
    </row>
    <row r="472" spans="57:59" x14ac:dyDescent="0.25">
      <c r="BE472" s="55"/>
      <c r="BF472" s="55"/>
      <c r="BG472" s="55"/>
    </row>
    <row r="473" spans="57:59" x14ac:dyDescent="0.25">
      <c r="BE473" s="55"/>
      <c r="BF473" s="55"/>
      <c r="BG473" s="55"/>
    </row>
    <row r="474" spans="57:59" x14ac:dyDescent="0.25">
      <c r="BE474" s="55"/>
      <c r="BF474" s="55"/>
      <c r="BG474" s="55"/>
    </row>
    <row r="475" spans="57:59" x14ac:dyDescent="0.25">
      <c r="BE475" s="55"/>
      <c r="BF475" s="55"/>
      <c r="BG475" s="55"/>
    </row>
    <row r="476" spans="57:59" x14ac:dyDescent="0.25">
      <c r="BE476" s="55"/>
      <c r="BF476" s="55"/>
      <c r="BG476" s="55"/>
    </row>
    <row r="477" spans="57:59" x14ac:dyDescent="0.25">
      <c r="BE477" s="55"/>
      <c r="BF477" s="55"/>
      <c r="BG477" s="55"/>
    </row>
    <row r="478" spans="57:59" x14ac:dyDescent="0.25">
      <c r="BE478" s="55"/>
      <c r="BF478" s="55"/>
      <c r="BG478" s="55"/>
    </row>
    <row r="479" spans="57:59" x14ac:dyDescent="0.25">
      <c r="BE479" s="55"/>
      <c r="BF479" s="55"/>
      <c r="BG479" s="55"/>
    </row>
    <row r="480" spans="57:59" x14ac:dyDescent="0.25">
      <c r="BE480" s="55"/>
      <c r="BF480" s="55"/>
      <c r="BG480" s="55"/>
    </row>
    <row r="481" spans="57:59" x14ac:dyDescent="0.25">
      <c r="BE481" s="55"/>
      <c r="BF481" s="55"/>
      <c r="BG481" s="55"/>
    </row>
    <row r="482" spans="57:59" x14ac:dyDescent="0.25">
      <c r="BE482" s="55"/>
      <c r="BF482" s="55"/>
      <c r="BG482" s="55"/>
    </row>
    <row r="483" spans="57:59" x14ac:dyDescent="0.25">
      <c r="BE483" s="55"/>
      <c r="BF483" s="55"/>
      <c r="BG483" s="55"/>
    </row>
    <row r="484" spans="57:59" x14ac:dyDescent="0.25">
      <c r="BE484" s="55"/>
      <c r="BF484" s="55"/>
      <c r="BG484" s="55"/>
    </row>
    <row r="485" spans="57:59" x14ac:dyDescent="0.25">
      <c r="BE485" s="55"/>
      <c r="BF485" s="55"/>
      <c r="BG485" s="55"/>
    </row>
    <row r="486" spans="57:59" x14ac:dyDescent="0.25">
      <c r="BE486" s="55"/>
      <c r="BF486" s="55"/>
      <c r="BG486" s="55"/>
    </row>
    <row r="487" spans="57:59" x14ac:dyDescent="0.25">
      <c r="BE487" s="55"/>
      <c r="BF487" s="55"/>
      <c r="BG487" s="55"/>
    </row>
    <row r="488" spans="57:59" x14ac:dyDescent="0.25">
      <c r="BE488" s="55"/>
      <c r="BF488" s="55"/>
      <c r="BG488" s="55"/>
    </row>
    <row r="489" spans="57:59" x14ac:dyDescent="0.25">
      <c r="BE489" s="55"/>
      <c r="BF489" s="55"/>
      <c r="BG489" s="55"/>
    </row>
    <row r="490" spans="57:59" x14ac:dyDescent="0.25">
      <c r="BE490" s="55"/>
      <c r="BF490" s="55"/>
      <c r="BG490" s="55"/>
    </row>
    <row r="491" spans="57:59" x14ac:dyDescent="0.25">
      <c r="BE491" s="55"/>
      <c r="BF491" s="55"/>
      <c r="BG491" s="55"/>
    </row>
    <row r="492" spans="57:59" x14ac:dyDescent="0.25">
      <c r="BE492" s="55"/>
      <c r="BF492" s="55"/>
      <c r="BG492" s="55"/>
    </row>
    <row r="493" spans="57:59" x14ac:dyDescent="0.25">
      <c r="BE493" s="55"/>
      <c r="BF493" s="55"/>
      <c r="BG493" s="55"/>
    </row>
    <row r="494" spans="57:59" x14ac:dyDescent="0.25">
      <c r="BE494" s="55"/>
      <c r="BF494" s="55"/>
      <c r="BG494" s="55"/>
    </row>
    <row r="495" spans="57:59" x14ac:dyDescent="0.25">
      <c r="BE495" s="55"/>
      <c r="BF495" s="55"/>
      <c r="BG495" s="55"/>
    </row>
    <row r="496" spans="57:59" x14ac:dyDescent="0.25">
      <c r="BE496" s="55"/>
      <c r="BF496" s="55"/>
      <c r="BG496" s="55"/>
    </row>
    <row r="497" spans="57:59" x14ac:dyDescent="0.25">
      <c r="BE497" s="55"/>
      <c r="BF497" s="55"/>
      <c r="BG497" s="55"/>
    </row>
    <row r="498" spans="57:59" x14ac:dyDescent="0.25">
      <c r="BE498" s="55"/>
      <c r="BF498" s="55"/>
      <c r="BG498" s="55"/>
    </row>
    <row r="499" spans="57:59" x14ac:dyDescent="0.25">
      <c r="BE499" s="55"/>
      <c r="BF499" s="55"/>
      <c r="BG499" s="55"/>
    </row>
    <row r="500" spans="57:59" x14ac:dyDescent="0.25">
      <c r="BE500" s="55"/>
      <c r="BF500" s="55"/>
      <c r="BG500" s="55"/>
    </row>
    <row r="501" spans="57:59" x14ac:dyDescent="0.25">
      <c r="BE501" s="55"/>
      <c r="BF501" s="55"/>
      <c r="BG501" s="55"/>
    </row>
    <row r="502" spans="57:59" x14ac:dyDescent="0.25">
      <c r="BE502" s="55"/>
      <c r="BF502" s="55"/>
      <c r="BG502" s="55"/>
    </row>
    <row r="503" spans="57:59" x14ac:dyDescent="0.25">
      <c r="BE503" s="55"/>
      <c r="BF503" s="55"/>
      <c r="BG503" s="55"/>
    </row>
    <row r="504" spans="57:59" x14ac:dyDescent="0.25">
      <c r="BE504" s="55"/>
      <c r="BF504" s="55"/>
      <c r="BG504" s="55"/>
    </row>
    <row r="505" spans="57:59" x14ac:dyDescent="0.25">
      <c r="BE505" s="55"/>
      <c r="BF505" s="55"/>
      <c r="BG505" s="55"/>
    </row>
    <row r="506" spans="57:59" x14ac:dyDescent="0.25">
      <c r="BE506" s="55"/>
      <c r="BF506" s="55"/>
      <c r="BG506" s="55"/>
    </row>
    <row r="507" spans="57:59" x14ac:dyDescent="0.25">
      <c r="BE507" s="55"/>
      <c r="BF507" s="55"/>
      <c r="BG507" s="55"/>
    </row>
    <row r="508" spans="57:59" x14ac:dyDescent="0.25">
      <c r="BE508" s="55"/>
      <c r="BF508" s="55"/>
      <c r="BG508" s="55"/>
    </row>
    <row r="509" spans="57:59" x14ac:dyDescent="0.25">
      <c r="BE509" s="55"/>
      <c r="BF509" s="55"/>
      <c r="BG509" s="55"/>
    </row>
    <row r="510" spans="57:59" x14ac:dyDescent="0.25">
      <c r="BE510" s="55"/>
      <c r="BF510" s="55"/>
      <c r="BG510" s="55"/>
    </row>
    <row r="511" spans="57:59" x14ac:dyDescent="0.25">
      <c r="BE511" s="55"/>
      <c r="BF511" s="55"/>
      <c r="BG511" s="55"/>
    </row>
    <row r="512" spans="57:59" x14ac:dyDescent="0.25">
      <c r="BE512" s="55"/>
      <c r="BF512" s="55"/>
      <c r="BG512" s="55"/>
    </row>
    <row r="513" spans="57:59" x14ac:dyDescent="0.25">
      <c r="BE513" s="55"/>
      <c r="BF513" s="55"/>
      <c r="BG513" s="55"/>
    </row>
    <row r="514" spans="57:59" x14ac:dyDescent="0.25">
      <c r="BE514" s="55"/>
      <c r="BF514" s="55"/>
      <c r="BG514" s="55"/>
    </row>
    <row r="515" spans="57:59" x14ac:dyDescent="0.25">
      <c r="BE515" s="55"/>
      <c r="BF515" s="55"/>
      <c r="BG515" s="55"/>
    </row>
    <row r="516" spans="57:59" x14ac:dyDescent="0.25">
      <c r="BE516" s="55"/>
      <c r="BF516" s="55"/>
      <c r="BG516" s="55"/>
    </row>
    <row r="517" spans="57:59" x14ac:dyDescent="0.25">
      <c r="BE517" s="55"/>
      <c r="BF517" s="55"/>
      <c r="BG517" s="55"/>
    </row>
    <row r="518" spans="57:59" x14ac:dyDescent="0.25">
      <c r="BE518" s="55"/>
      <c r="BF518" s="55"/>
      <c r="BG518" s="55"/>
    </row>
    <row r="519" spans="57:59" x14ac:dyDescent="0.25">
      <c r="BE519" s="55"/>
      <c r="BF519" s="55"/>
      <c r="BG519" s="55"/>
    </row>
    <row r="520" spans="57:59" x14ac:dyDescent="0.25">
      <c r="BE520" s="55"/>
      <c r="BF520" s="55"/>
      <c r="BG520" s="55"/>
    </row>
    <row r="521" spans="57:59" x14ac:dyDescent="0.25">
      <c r="BE521" s="55"/>
      <c r="BF521" s="55"/>
      <c r="BG521" s="55"/>
    </row>
    <row r="522" spans="57:59" x14ac:dyDescent="0.25">
      <c r="BE522" s="55"/>
      <c r="BF522" s="55"/>
      <c r="BG522" s="55"/>
    </row>
    <row r="523" spans="57:59" x14ac:dyDescent="0.25">
      <c r="BE523" s="55"/>
      <c r="BF523" s="55"/>
      <c r="BG523" s="55"/>
    </row>
    <row r="524" spans="57:59" x14ac:dyDescent="0.25">
      <c r="BE524" s="55"/>
      <c r="BF524" s="55"/>
      <c r="BG524" s="55"/>
    </row>
    <row r="525" spans="57:59" x14ac:dyDescent="0.25">
      <c r="BE525" s="55"/>
      <c r="BF525" s="55"/>
      <c r="BG525" s="55"/>
    </row>
    <row r="526" spans="57:59" x14ac:dyDescent="0.25">
      <c r="BE526" s="55"/>
      <c r="BF526" s="55"/>
      <c r="BG526" s="55"/>
    </row>
    <row r="527" spans="57:59" x14ac:dyDescent="0.25">
      <c r="BE527" s="55"/>
      <c r="BF527" s="55"/>
      <c r="BG527" s="55"/>
    </row>
    <row r="528" spans="57:59" x14ac:dyDescent="0.25">
      <c r="BE528" s="55"/>
      <c r="BF528" s="55"/>
      <c r="BG528" s="55"/>
    </row>
    <row r="529" spans="57:59" x14ac:dyDescent="0.25">
      <c r="BE529" s="55"/>
      <c r="BF529" s="55"/>
      <c r="BG529" s="55"/>
    </row>
    <row r="530" spans="57:59" x14ac:dyDescent="0.25">
      <c r="BE530" s="55"/>
      <c r="BF530" s="55"/>
      <c r="BG530" s="55"/>
    </row>
    <row r="531" spans="57:59" x14ac:dyDescent="0.25">
      <c r="BE531" s="55"/>
      <c r="BF531" s="55"/>
      <c r="BG531" s="55"/>
    </row>
    <row r="532" spans="57:59" x14ac:dyDescent="0.25">
      <c r="BE532" s="55"/>
      <c r="BF532" s="55"/>
      <c r="BG532" s="55"/>
    </row>
    <row r="533" spans="57:59" x14ac:dyDescent="0.25">
      <c r="BE533" s="55"/>
      <c r="BF533" s="55"/>
      <c r="BG533" s="55"/>
    </row>
    <row r="534" spans="57:59" x14ac:dyDescent="0.25">
      <c r="BE534" s="55"/>
      <c r="BF534" s="55"/>
      <c r="BG534" s="55"/>
    </row>
    <row r="535" spans="57:59" x14ac:dyDescent="0.25">
      <c r="BE535" s="55"/>
      <c r="BF535" s="55"/>
      <c r="BG535" s="55"/>
    </row>
    <row r="536" spans="57:59" x14ac:dyDescent="0.25">
      <c r="BE536" s="55"/>
      <c r="BF536" s="55"/>
      <c r="BG536" s="55"/>
    </row>
    <row r="537" spans="57:59" x14ac:dyDescent="0.25">
      <c r="BE537" s="55"/>
      <c r="BF537" s="55"/>
      <c r="BG537" s="55"/>
    </row>
    <row r="538" spans="57:59" x14ac:dyDescent="0.25">
      <c r="BE538" s="55"/>
      <c r="BF538" s="55"/>
      <c r="BG538" s="55"/>
    </row>
    <row r="539" spans="57:59" x14ac:dyDescent="0.25">
      <c r="BE539" s="55"/>
      <c r="BF539" s="55"/>
      <c r="BG539" s="55"/>
    </row>
    <row r="540" spans="57:59" x14ac:dyDescent="0.25">
      <c r="BE540" s="55"/>
      <c r="BF540" s="55"/>
      <c r="BG540" s="55"/>
    </row>
    <row r="541" spans="57:59" x14ac:dyDescent="0.25">
      <c r="BE541" s="55"/>
      <c r="BF541" s="55"/>
      <c r="BG541" s="55"/>
    </row>
    <row r="542" spans="57:59" x14ac:dyDescent="0.25">
      <c r="BE542" s="55"/>
      <c r="BF542" s="55"/>
      <c r="BG542" s="55"/>
    </row>
    <row r="543" spans="57:59" x14ac:dyDescent="0.25">
      <c r="BE543" s="55"/>
      <c r="BF543" s="55"/>
      <c r="BG543" s="55"/>
    </row>
    <row r="544" spans="57:59" x14ac:dyDescent="0.25">
      <c r="BE544" s="55"/>
      <c r="BF544" s="55"/>
      <c r="BG544" s="55"/>
    </row>
    <row r="545" spans="57:59" x14ac:dyDescent="0.25">
      <c r="BE545" s="55"/>
      <c r="BF545" s="55"/>
      <c r="BG545" s="55"/>
    </row>
    <row r="546" spans="57:59" x14ac:dyDescent="0.25">
      <c r="BE546" s="55"/>
      <c r="BF546" s="55"/>
      <c r="BG546" s="55"/>
    </row>
    <row r="547" spans="57:59" x14ac:dyDescent="0.25">
      <c r="BE547" s="55"/>
      <c r="BF547" s="55"/>
      <c r="BG547" s="55"/>
    </row>
    <row r="548" spans="57:59" x14ac:dyDescent="0.25">
      <c r="BE548" s="55"/>
      <c r="BF548" s="55"/>
      <c r="BG548" s="55"/>
    </row>
    <row r="549" spans="57:59" x14ac:dyDescent="0.25">
      <c r="BE549" s="55"/>
      <c r="BF549" s="55"/>
      <c r="BG549" s="55"/>
    </row>
    <row r="550" spans="57:59" x14ac:dyDescent="0.25">
      <c r="BE550" s="55"/>
      <c r="BF550" s="55"/>
      <c r="BG550" s="55"/>
    </row>
    <row r="551" spans="57:59" x14ac:dyDescent="0.25">
      <c r="BE551" s="55"/>
      <c r="BF551" s="55"/>
      <c r="BG551" s="55"/>
    </row>
    <row r="552" spans="57:59" x14ac:dyDescent="0.25">
      <c r="BE552" s="55"/>
      <c r="BF552" s="55"/>
      <c r="BG552" s="55"/>
    </row>
    <row r="553" spans="57:59" x14ac:dyDescent="0.25">
      <c r="BE553" s="55"/>
      <c r="BF553" s="55"/>
      <c r="BG553" s="55"/>
    </row>
    <row r="554" spans="57:59" x14ac:dyDescent="0.25">
      <c r="BE554" s="55"/>
      <c r="BF554" s="55"/>
      <c r="BG554" s="55"/>
    </row>
    <row r="555" spans="57:59" x14ac:dyDescent="0.25">
      <c r="BE555" s="55"/>
      <c r="BF555" s="55"/>
      <c r="BG555" s="55"/>
    </row>
    <row r="556" spans="57:59" x14ac:dyDescent="0.25">
      <c r="BE556" s="55"/>
      <c r="BF556" s="55"/>
      <c r="BG556" s="55"/>
    </row>
    <row r="557" spans="57:59" x14ac:dyDescent="0.25">
      <c r="BE557" s="55"/>
      <c r="BF557" s="55"/>
      <c r="BG557" s="55"/>
    </row>
    <row r="558" spans="57:59" x14ac:dyDescent="0.25">
      <c r="BE558" s="55"/>
      <c r="BF558" s="55"/>
      <c r="BG558" s="55"/>
    </row>
    <row r="559" spans="57:59" x14ac:dyDescent="0.25">
      <c r="BE559" s="55"/>
      <c r="BF559" s="55"/>
      <c r="BG559" s="55"/>
    </row>
    <row r="560" spans="57:59" x14ac:dyDescent="0.25">
      <c r="BE560" s="55"/>
      <c r="BF560" s="55"/>
      <c r="BG560" s="55"/>
    </row>
    <row r="561" spans="57:59" x14ac:dyDescent="0.25">
      <c r="BE561" s="55"/>
      <c r="BF561" s="55"/>
      <c r="BG561" s="55"/>
    </row>
    <row r="562" spans="57:59" x14ac:dyDescent="0.25">
      <c r="BE562" s="55"/>
      <c r="BF562" s="55"/>
      <c r="BG562" s="55"/>
    </row>
    <row r="563" spans="57:59" x14ac:dyDescent="0.25">
      <c r="BE563" s="55"/>
      <c r="BF563" s="55"/>
      <c r="BG563" s="55"/>
    </row>
    <row r="564" spans="57:59" x14ac:dyDescent="0.25">
      <c r="BE564" s="55"/>
      <c r="BF564" s="55"/>
      <c r="BG564" s="55"/>
    </row>
    <row r="565" spans="57:59" x14ac:dyDescent="0.25">
      <c r="BE565" s="55"/>
      <c r="BF565" s="55"/>
      <c r="BG565" s="55"/>
    </row>
    <row r="566" spans="57:59" x14ac:dyDescent="0.25">
      <c r="BE566" s="55"/>
      <c r="BF566" s="55"/>
      <c r="BG566" s="55"/>
    </row>
    <row r="567" spans="57:59" x14ac:dyDescent="0.25">
      <c r="BE567" s="55"/>
      <c r="BF567" s="55"/>
      <c r="BG567" s="55"/>
    </row>
    <row r="568" spans="57:59" x14ac:dyDescent="0.25">
      <c r="BE568" s="55"/>
      <c r="BF568" s="55"/>
      <c r="BG568" s="55"/>
    </row>
    <row r="569" spans="57:59" x14ac:dyDescent="0.25">
      <c r="BE569" s="55"/>
      <c r="BF569" s="55"/>
      <c r="BG569" s="55"/>
    </row>
    <row r="570" spans="57:59" x14ac:dyDescent="0.25">
      <c r="BE570" s="55"/>
      <c r="BF570" s="55"/>
      <c r="BG570" s="55"/>
    </row>
    <row r="571" spans="57:59" x14ac:dyDescent="0.25">
      <c r="BE571" s="55"/>
      <c r="BF571" s="55"/>
      <c r="BG571" s="55"/>
    </row>
    <row r="572" spans="57:59" x14ac:dyDescent="0.25">
      <c r="BE572" s="55"/>
      <c r="BF572" s="55"/>
      <c r="BG572" s="55"/>
    </row>
    <row r="573" spans="57:59" x14ac:dyDescent="0.25">
      <c r="BE573" s="55"/>
      <c r="BF573" s="55"/>
      <c r="BG573" s="55"/>
    </row>
    <row r="574" spans="57:59" x14ac:dyDescent="0.25">
      <c r="BE574" s="55"/>
      <c r="BF574" s="55"/>
      <c r="BG574" s="55"/>
    </row>
    <row r="575" spans="57:59" x14ac:dyDescent="0.25">
      <c r="BE575" s="55"/>
      <c r="BF575" s="55"/>
      <c r="BG575" s="55"/>
    </row>
    <row r="576" spans="57:59" x14ac:dyDescent="0.25">
      <c r="BE576" s="55"/>
      <c r="BF576" s="55"/>
      <c r="BG576" s="55"/>
    </row>
    <row r="577" spans="57:59" x14ac:dyDescent="0.25">
      <c r="BE577" s="55"/>
      <c r="BF577" s="55"/>
      <c r="BG577" s="55"/>
    </row>
    <row r="578" spans="57:59" x14ac:dyDescent="0.25">
      <c r="BE578" s="55"/>
      <c r="BF578" s="55"/>
      <c r="BG578" s="55"/>
    </row>
    <row r="579" spans="57:59" x14ac:dyDescent="0.25">
      <c r="BE579" s="55"/>
      <c r="BF579" s="55"/>
      <c r="BG579" s="55"/>
    </row>
    <row r="580" spans="57:59" x14ac:dyDescent="0.25">
      <c r="BE580" s="55"/>
      <c r="BF580" s="55"/>
      <c r="BG580" s="55"/>
    </row>
    <row r="581" spans="57:59" x14ac:dyDescent="0.25">
      <c r="BE581" s="55"/>
      <c r="BF581" s="55"/>
      <c r="BG581" s="55"/>
    </row>
    <row r="582" spans="57:59" x14ac:dyDescent="0.25">
      <c r="BE582" s="55"/>
      <c r="BF582" s="55"/>
      <c r="BG582" s="55"/>
    </row>
    <row r="583" spans="57:59" x14ac:dyDescent="0.25">
      <c r="BE583" s="55"/>
      <c r="BF583" s="55"/>
      <c r="BG583" s="55"/>
    </row>
    <row r="584" spans="57:59" x14ac:dyDescent="0.25">
      <c r="BE584" s="55"/>
      <c r="BF584" s="55"/>
      <c r="BG584" s="55"/>
    </row>
    <row r="585" spans="57:59" x14ac:dyDescent="0.25">
      <c r="BE585" s="55"/>
      <c r="BF585" s="55"/>
      <c r="BG585" s="55"/>
    </row>
    <row r="586" spans="57:59" x14ac:dyDescent="0.25">
      <c r="BE586" s="55"/>
      <c r="BF586" s="55"/>
      <c r="BG586" s="55"/>
    </row>
    <row r="587" spans="57:59" x14ac:dyDescent="0.25">
      <c r="BE587" s="55"/>
      <c r="BF587" s="55"/>
      <c r="BG587" s="55"/>
    </row>
    <row r="588" spans="57:59" x14ac:dyDescent="0.25">
      <c r="BE588" s="55"/>
      <c r="BF588" s="55"/>
      <c r="BG588" s="55"/>
    </row>
    <row r="589" spans="57:59" x14ac:dyDescent="0.25">
      <c r="BE589" s="55"/>
      <c r="BF589" s="55"/>
      <c r="BG589" s="55"/>
    </row>
    <row r="590" spans="57:59" x14ac:dyDescent="0.25">
      <c r="BE590" s="55"/>
      <c r="BF590" s="55"/>
      <c r="BG590" s="55"/>
    </row>
    <row r="591" spans="57:59" x14ac:dyDescent="0.25">
      <c r="BE591" s="55"/>
      <c r="BF591" s="55"/>
      <c r="BG591" s="55"/>
    </row>
    <row r="592" spans="57:59" x14ac:dyDescent="0.25">
      <c r="BE592" s="55"/>
      <c r="BF592" s="55"/>
      <c r="BG592" s="55"/>
    </row>
    <row r="593" spans="57:59" x14ac:dyDescent="0.25">
      <c r="BE593" s="55"/>
      <c r="BF593" s="55"/>
      <c r="BG593" s="55"/>
    </row>
    <row r="594" spans="57:59" x14ac:dyDescent="0.25">
      <c r="BE594" s="55"/>
      <c r="BF594" s="55"/>
      <c r="BG594" s="55"/>
    </row>
    <row r="595" spans="57:59" x14ac:dyDescent="0.25">
      <c r="BE595" s="55"/>
      <c r="BF595" s="55"/>
      <c r="BG595" s="55"/>
    </row>
    <row r="596" spans="57:59" x14ac:dyDescent="0.25">
      <c r="BE596" s="55"/>
      <c r="BF596" s="55"/>
      <c r="BG596" s="55"/>
    </row>
    <row r="597" spans="57:59" x14ac:dyDescent="0.25">
      <c r="BE597" s="55"/>
      <c r="BF597" s="55"/>
      <c r="BG597" s="55"/>
    </row>
    <row r="598" spans="57:59" x14ac:dyDescent="0.25">
      <c r="BE598" s="55"/>
      <c r="BF598" s="55"/>
      <c r="BG598" s="55"/>
    </row>
    <row r="599" spans="57:59" x14ac:dyDescent="0.25">
      <c r="BE599" s="55"/>
      <c r="BF599" s="55"/>
      <c r="BG599" s="55"/>
    </row>
    <row r="600" spans="57:59" x14ac:dyDescent="0.25">
      <c r="BE600" s="55"/>
      <c r="BF600" s="55"/>
      <c r="BG600" s="55"/>
    </row>
    <row r="601" spans="57:59" x14ac:dyDescent="0.25">
      <c r="BE601" s="55"/>
      <c r="BF601" s="55"/>
      <c r="BG601" s="55"/>
    </row>
    <row r="602" spans="57:59" x14ac:dyDescent="0.25">
      <c r="BE602" s="55"/>
      <c r="BF602" s="55"/>
      <c r="BG602" s="55"/>
    </row>
    <row r="603" spans="57:59" x14ac:dyDescent="0.25">
      <c r="BE603" s="55"/>
      <c r="BF603" s="55"/>
      <c r="BG603" s="55"/>
    </row>
    <row r="604" spans="57:59" x14ac:dyDescent="0.25">
      <c r="BE604" s="55"/>
      <c r="BF604" s="55"/>
      <c r="BG604" s="55"/>
    </row>
    <row r="605" spans="57:59" x14ac:dyDescent="0.25">
      <c r="BE605" s="55"/>
      <c r="BF605" s="55"/>
      <c r="BG605" s="55"/>
    </row>
    <row r="606" spans="57:59" x14ac:dyDescent="0.25">
      <c r="BE606" s="55"/>
      <c r="BF606" s="55"/>
      <c r="BG606" s="55"/>
    </row>
    <row r="607" spans="57:59" x14ac:dyDescent="0.25">
      <c r="BE607" s="55"/>
      <c r="BF607" s="55"/>
      <c r="BG607" s="55"/>
    </row>
    <row r="608" spans="57:59" x14ac:dyDescent="0.25">
      <c r="BE608" s="55"/>
      <c r="BF608" s="55"/>
      <c r="BG608" s="55"/>
    </row>
    <row r="609" spans="57:59" x14ac:dyDescent="0.25">
      <c r="BE609" s="55"/>
      <c r="BF609" s="55"/>
      <c r="BG609" s="55"/>
    </row>
    <row r="610" spans="57:59" x14ac:dyDescent="0.25">
      <c r="BE610" s="55"/>
      <c r="BF610" s="55"/>
      <c r="BG610" s="55"/>
    </row>
    <row r="611" spans="57:59" x14ac:dyDescent="0.25">
      <c r="BE611" s="55"/>
      <c r="BF611" s="55"/>
      <c r="BG611" s="55"/>
    </row>
    <row r="612" spans="57:59" x14ac:dyDescent="0.25">
      <c r="BE612" s="55"/>
      <c r="BF612" s="55"/>
      <c r="BG612" s="55"/>
    </row>
    <row r="613" spans="57:59" x14ac:dyDescent="0.25">
      <c r="BE613" s="55"/>
      <c r="BF613" s="55"/>
      <c r="BG613" s="55"/>
    </row>
    <row r="614" spans="57:59" x14ac:dyDescent="0.25">
      <c r="BE614" s="55"/>
      <c r="BF614" s="55"/>
      <c r="BG614" s="55"/>
    </row>
    <row r="615" spans="57:59" x14ac:dyDescent="0.25">
      <c r="BE615" s="55"/>
      <c r="BF615" s="55"/>
      <c r="BG615" s="55"/>
    </row>
    <row r="616" spans="57:59" x14ac:dyDescent="0.25">
      <c r="BE616" s="55"/>
      <c r="BF616" s="55"/>
      <c r="BG616" s="55"/>
    </row>
    <row r="617" spans="57:59" x14ac:dyDescent="0.25">
      <c r="BE617" s="55"/>
      <c r="BF617" s="55"/>
      <c r="BG617" s="55"/>
    </row>
    <row r="618" spans="57:59" x14ac:dyDescent="0.25">
      <c r="BE618" s="55"/>
      <c r="BF618" s="55"/>
      <c r="BG618" s="55"/>
    </row>
    <row r="619" spans="57:59" x14ac:dyDescent="0.25">
      <c r="BE619" s="55"/>
      <c r="BF619" s="55"/>
      <c r="BG619" s="55"/>
    </row>
    <row r="620" spans="57:59" x14ac:dyDescent="0.25">
      <c r="BE620" s="55"/>
      <c r="BF620" s="55"/>
      <c r="BG620" s="55"/>
    </row>
    <row r="621" spans="57:59" x14ac:dyDescent="0.25">
      <c r="BE621" s="55"/>
      <c r="BF621" s="55"/>
      <c r="BG621" s="55"/>
    </row>
    <row r="622" spans="57:59" x14ac:dyDescent="0.25">
      <c r="BE622" s="55"/>
      <c r="BF622" s="55"/>
      <c r="BG622" s="55"/>
    </row>
    <row r="623" spans="57:59" x14ac:dyDescent="0.25">
      <c r="BE623" s="55"/>
      <c r="BF623" s="55"/>
      <c r="BG623" s="55"/>
    </row>
    <row r="624" spans="57:59" x14ac:dyDescent="0.25">
      <c r="BE624" s="55"/>
      <c r="BF624" s="55"/>
      <c r="BG624" s="55"/>
    </row>
    <row r="625" spans="57:59" x14ac:dyDescent="0.25">
      <c r="BE625" s="55"/>
      <c r="BF625" s="55"/>
      <c r="BG625" s="55"/>
    </row>
    <row r="626" spans="57:59" x14ac:dyDescent="0.25">
      <c r="BE626" s="55"/>
      <c r="BF626" s="55"/>
      <c r="BG626" s="55"/>
    </row>
    <row r="627" spans="57:59" x14ac:dyDescent="0.25">
      <c r="BE627" s="55"/>
      <c r="BF627" s="55"/>
      <c r="BG627" s="55"/>
    </row>
    <row r="628" spans="57:59" x14ac:dyDescent="0.25">
      <c r="BE628" s="55"/>
      <c r="BF628" s="55"/>
      <c r="BG628" s="55"/>
    </row>
    <row r="629" spans="57:59" x14ac:dyDescent="0.25">
      <c r="BE629" s="55"/>
      <c r="BF629" s="55"/>
      <c r="BG629" s="55"/>
    </row>
    <row r="630" spans="57:59" x14ac:dyDescent="0.25">
      <c r="BE630" s="55"/>
      <c r="BF630" s="55"/>
      <c r="BG630" s="55"/>
    </row>
    <row r="631" spans="57:59" x14ac:dyDescent="0.25">
      <c r="BE631" s="55"/>
      <c r="BF631" s="55"/>
      <c r="BG631" s="55"/>
    </row>
    <row r="632" spans="57:59" x14ac:dyDescent="0.25">
      <c r="BE632" s="55"/>
      <c r="BF632" s="55"/>
      <c r="BG632" s="55"/>
    </row>
    <row r="633" spans="57:59" x14ac:dyDescent="0.25">
      <c r="BE633" s="55"/>
      <c r="BF633" s="55"/>
      <c r="BG633" s="55"/>
    </row>
    <row r="634" spans="57:59" x14ac:dyDescent="0.25">
      <c r="BE634" s="55"/>
      <c r="BF634" s="55"/>
      <c r="BG634" s="55"/>
    </row>
    <row r="635" spans="57:59" x14ac:dyDescent="0.25">
      <c r="BE635" s="55"/>
      <c r="BF635" s="55"/>
      <c r="BG635" s="55"/>
    </row>
    <row r="636" spans="57:59" x14ac:dyDescent="0.25">
      <c r="BE636" s="55"/>
      <c r="BF636" s="55"/>
      <c r="BG636" s="55"/>
    </row>
    <row r="637" spans="57:59" x14ac:dyDescent="0.25">
      <c r="BE637" s="55"/>
      <c r="BF637" s="55"/>
      <c r="BG637" s="55"/>
    </row>
    <row r="638" spans="57:59" x14ac:dyDescent="0.25">
      <c r="BE638" s="55"/>
      <c r="BF638" s="55"/>
      <c r="BG638" s="55"/>
    </row>
    <row r="639" spans="57:59" x14ac:dyDescent="0.25">
      <c r="BE639" s="55"/>
      <c r="BF639" s="55"/>
      <c r="BG639" s="55"/>
    </row>
    <row r="640" spans="57:59" x14ac:dyDescent="0.25">
      <c r="BE640" s="55"/>
      <c r="BF640" s="55"/>
      <c r="BG640" s="55"/>
    </row>
    <row r="641" spans="57:59" x14ac:dyDescent="0.25">
      <c r="BE641" s="55"/>
      <c r="BF641" s="55"/>
      <c r="BG641" s="55"/>
    </row>
    <row r="642" spans="57:59" x14ac:dyDescent="0.25">
      <c r="BE642" s="55"/>
      <c r="BF642" s="55"/>
      <c r="BG642" s="55"/>
    </row>
    <row r="643" spans="57:59" x14ac:dyDescent="0.25">
      <c r="BE643" s="55"/>
      <c r="BF643" s="55"/>
      <c r="BG643" s="55"/>
    </row>
    <row r="644" spans="57:59" x14ac:dyDescent="0.25">
      <c r="BE644" s="55"/>
      <c r="BF644" s="55"/>
      <c r="BG644" s="55"/>
    </row>
    <row r="645" spans="57:59" x14ac:dyDescent="0.25">
      <c r="BE645" s="55"/>
      <c r="BF645" s="55"/>
      <c r="BG645" s="55"/>
    </row>
    <row r="646" spans="57:59" x14ac:dyDescent="0.25">
      <c r="BE646" s="55"/>
      <c r="BF646" s="55"/>
      <c r="BG646" s="55"/>
    </row>
    <row r="647" spans="57:59" x14ac:dyDescent="0.25">
      <c r="BE647" s="55"/>
      <c r="BF647" s="55"/>
      <c r="BG647" s="55"/>
    </row>
    <row r="648" spans="57:59" x14ac:dyDescent="0.25">
      <c r="BE648" s="55"/>
      <c r="BF648" s="55"/>
      <c r="BG648" s="55"/>
    </row>
    <row r="649" spans="57:59" x14ac:dyDescent="0.25">
      <c r="BE649" s="55"/>
      <c r="BF649" s="55"/>
      <c r="BG649" s="55"/>
    </row>
    <row r="650" spans="57:59" x14ac:dyDescent="0.25">
      <c r="BE650" s="55"/>
      <c r="BF650" s="55"/>
      <c r="BG650" s="55"/>
    </row>
    <row r="651" spans="57:59" x14ac:dyDescent="0.25">
      <c r="BE651" s="55"/>
      <c r="BF651" s="55"/>
      <c r="BG651" s="55"/>
    </row>
    <row r="652" spans="57:59" x14ac:dyDescent="0.25">
      <c r="BE652" s="55"/>
      <c r="BF652" s="55"/>
      <c r="BG652" s="55"/>
    </row>
    <row r="653" spans="57:59" x14ac:dyDescent="0.25">
      <c r="BE653" s="55"/>
      <c r="BF653" s="55"/>
      <c r="BG653" s="55"/>
    </row>
    <row r="654" spans="57:59" x14ac:dyDescent="0.25">
      <c r="BE654" s="55"/>
      <c r="BF654" s="55"/>
      <c r="BG654" s="55"/>
    </row>
    <row r="655" spans="57:59" x14ac:dyDescent="0.25">
      <c r="BE655" s="55"/>
      <c r="BF655" s="55"/>
      <c r="BG655" s="55"/>
    </row>
    <row r="656" spans="57:59" x14ac:dyDescent="0.25">
      <c r="BE656" s="55"/>
      <c r="BF656" s="55"/>
      <c r="BG656" s="55"/>
    </row>
    <row r="657" spans="57:59" x14ac:dyDescent="0.25">
      <c r="BE657" s="55"/>
      <c r="BF657" s="55"/>
      <c r="BG657" s="55"/>
    </row>
    <row r="658" spans="57:59" x14ac:dyDescent="0.25">
      <c r="BE658" s="55"/>
      <c r="BF658" s="55"/>
      <c r="BG658" s="55"/>
    </row>
    <row r="659" spans="57:59" x14ac:dyDescent="0.25">
      <c r="BE659" s="55"/>
      <c r="BF659" s="55"/>
      <c r="BG659" s="55"/>
    </row>
    <row r="660" spans="57:59" x14ac:dyDescent="0.25">
      <c r="BE660" s="55"/>
      <c r="BF660" s="55"/>
      <c r="BG660" s="55"/>
    </row>
    <row r="661" spans="57:59" x14ac:dyDescent="0.25">
      <c r="BE661" s="55"/>
      <c r="BF661" s="55"/>
      <c r="BG661" s="55"/>
    </row>
    <row r="662" spans="57:59" x14ac:dyDescent="0.25">
      <c r="BE662" s="55"/>
      <c r="BF662" s="55"/>
      <c r="BG662" s="55"/>
    </row>
    <row r="663" spans="57:59" x14ac:dyDescent="0.25">
      <c r="BE663" s="55"/>
      <c r="BF663" s="55"/>
      <c r="BG663" s="55"/>
    </row>
    <row r="664" spans="57:59" x14ac:dyDescent="0.25">
      <c r="BE664" s="55"/>
      <c r="BF664" s="55"/>
      <c r="BG664" s="55"/>
    </row>
    <row r="665" spans="57:59" x14ac:dyDescent="0.25">
      <c r="BE665" s="55"/>
      <c r="BF665" s="55"/>
      <c r="BG665" s="55"/>
    </row>
    <row r="666" spans="57:59" x14ac:dyDescent="0.25">
      <c r="BE666" s="55"/>
      <c r="BF666" s="55"/>
      <c r="BG666" s="55"/>
    </row>
    <row r="667" spans="57:59" x14ac:dyDescent="0.25">
      <c r="BE667" s="55"/>
      <c r="BF667" s="55"/>
      <c r="BG667" s="55"/>
    </row>
    <row r="668" spans="57:59" x14ac:dyDescent="0.25">
      <c r="BE668" s="55"/>
      <c r="BF668" s="55"/>
      <c r="BG668" s="55"/>
    </row>
    <row r="669" spans="57:59" x14ac:dyDescent="0.25">
      <c r="BE669" s="55"/>
      <c r="BF669" s="55"/>
      <c r="BG669" s="55"/>
    </row>
    <row r="670" spans="57:59" x14ac:dyDescent="0.25">
      <c r="BE670" s="55"/>
      <c r="BF670" s="55"/>
      <c r="BG670" s="55"/>
    </row>
    <row r="671" spans="57:59" x14ac:dyDescent="0.25">
      <c r="BE671" s="55"/>
      <c r="BF671" s="55"/>
      <c r="BG671" s="55"/>
    </row>
    <row r="672" spans="57:59" x14ac:dyDescent="0.25">
      <c r="BE672" s="55"/>
      <c r="BF672" s="55"/>
      <c r="BG672" s="55"/>
    </row>
    <row r="673" spans="57:59" x14ac:dyDescent="0.25">
      <c r="BE673" s="55"/>
      <c r="BF673" s="55"/>
      <c r="BG673" s="55"/>
    </row>
    <row r="674" spans="57:59" x14ac:dyDescent="0.25">
      <c r="BE674" s="55"/>
      <c r="BF674" s="55"/>
      <c r="BG674" s="55"/>
    </row>
    <row r="675" spans="57:59" x14ac:dyDescent="0.25">
      <c r="BE675" s="55"/>
      <c r="BF675" s="55"/>
      <c r="BG675" s="55"/>
    </row>
    <row r="676" spans="57:59" x14ac:dyDescent="0.25">
      <c r="BE676" s="55"/>
      <c r="BF676" s="55"/>
      <c r="BG676" s="55"/>
    </row>
    <row r="677" spans="57:59" x14ac:dyDescent="0.25">
      <c r="BE677" s="55"/>
      <c r="BF677" s="55"/>
      <c r="BG677" s="55"/>
    </row>
    <row r="678" spans="57:59" x14ac:dyDescent="0.25">
      <c r="BE678" s="55"/>
      <c r="BF678" s="55"/>
      <c r="BG678" s="55"/>
    </row>
    <row r="679" spans="57:59" x14ac:dyDescent="0.25">
      <c r="BE679" s="55"/>
      <c r="BF679" s="55"/>
      <c r="BG679" s="55"/>
    </row>
    <row r="680" spans="57:59" x14ac:dyDescent="0.25">
      <c r="BE680" s="55"/>
      <c r="BF680" s="55"/>
      <c r="BG680" s="55"/>
    </row>
    <row r="681" spans="57:59" x14ac:dyDescent="0.25">
      <c r="BE681" s="55"/>
      <c r="BF681" s="55"/>
      <c r="BG681" s="55"/>
    </row>
    <row r="682" spans="57:59" x14ac:dyDescent="0.25">
      <c r="BE682" s="55"/>
      <c r="BF682" s="55"/>
      <c r="BG682" s="55"/>
    </row>
    <row r="683" spans="57:59" x14ac:dyDescent="0.25">
      <c r="BE683" s="55"/>
      <c r="BF683" s="55"/>
      <c r="BG683" s="55"/>
    </row>
    <row r="684" spans="57:59" x14ac:dyDescent="0.25">
      <c r="BE684" s="55"/>
      <c r="BF684" s="55"/>
      <c r="BG684" s="55"/>
    </row>
    <row r="685" spans="57:59" x14ac:dyDescent="0.25">
      <c r="BE685" s="55"/>
      <c r="BF685" s="55"/>
      <c r="BG685" s="55"/>
    </row>
    <row r="686" spans="57:59" x14ac:dyDescent="0.25">
      <c r="BE686" s="55"/>
      <c r="BF686" s="55"/>
      <c r="BG686" s="55"/>
    </row>
    <row r="687" spans="57:59" x14ac:dyDescent="0.25">
      <c r="BE687" s="55"/>
      <c r="BF687" s="55"/>
      <c r="BG687" s="55"/>
    </row>
    <row r="688" spans="57:59" x14ac:dyDescent="0.25">
      <c r="BE688" s="55"/>
      <c r="BF688" s="55"/>
      <c r="BG688" s="55"/>
    </row>
    <row r="689" spans="57:59" x14ac:dyDescent="0.25">
      <c r="BE689" s="55"/>
      <c r="BF689" s="55"/>
      <c r="BG689" s="55"/>
    </row>
    <row r="690" spans="57:59" x14ac:dyDescent="0.25">
      <c r="BE690" s="55"/>
      <c r="BF690" s="55"/>
      <c r="BG690" s="55"/>
    </row>
    <row r="691" spans="57:59" x14ac:dyDescent="0.25">
      <c r="BE691" s="55"/>
      <c r="BF691" s="55"/>
      <c r="BG691" s="55"/>
    </row>
    <row r="692" spans="57:59" x14ac:dyDescent="0.25">
      <c r="BE692" s="55"/>
      <c r="BF692" s="55"/>
      <c r="BG692" s="55"/>
    </row>
    <row r="693" spans="57:59" x14ac:dyDescent="0.25">
      <c r="BE693" s="55"/>
      <c r="BF693" s="55"/>
      <c r="BG693" s="55"/>
    </row>
    <row r="694" spans="57:59" x14ac:dyDescent="0.25">
      <c r="BE694" s="55"/>
      <c r="BF694" s="55"/>
      <c r="BG694" s="55"/>
    </row>
    <row r="695" spans="57:59" x14ac:dyDescent="0.25">
      <c r="BE695" s="55"/>
      <c r="BF695" s="55"/>
      <c r="BG695" s="55"/>
    </row>
    <row r="696" spans="57:59" x14ac:dyDescent="0.25">
      <c r="BE696" s="55"/>
      <c r="BF696" s="55"/>
      <c r="BG696" s="55"/>
    </row>
    <row r="697" spans="57:59" x14ac:dyDescent="0.25">
      <c r="BE697" s="55"/>
      <c r="BF697" s="55"/>
      <c r="BG697" s="55"/>
    </row>
    <row r="698" spans="57:59" x14ac:dyDescent="0.25">
      <c r="BE698" s="55"/>
      <c r="BF698" s="55"/>
      <c r="BG698" s="55"/>
    </row>
    <row r="699" spans="57:59" x14ac:dyDescent="0.25">
      <c r="BE699" s="55"/>
      <c r="BF699" s="55"/>
      <c r="BG699" s="55"/>
    </row>
    <row r="700" spans="57:59" x14ac:dyDescent="0.25">
      <c r="BE700" s="55"/>
      <c r="BF700" s="55"/>
      <c r="BG700" s="55"/>
    </row>
    <row r="701" spans="57:59" x14ac:dyDescent="0.25">
      <c r="BE701" s="55"/>
      <c r="BF701" s="55"/>
      <c r="BG701" s="55"/>
    </row>
    <row r="702" spans="57:59" x14ac:dyDescent="0.25">
      <c r="BE702" s="55"/>
      <c r="BF702" s="55"/>
      <c r="BG702" s="55"/>
    </row>
    <row r="703" spans="57:59" x14ac:dyDescent="0.25">
      <c r="BE703" s="55"/>
      <c r="BF703" s="55"/>
      <c r="BG703" s="55"/>
    </row>
    <row r="704" spans="57:59" x14ac:dyDescent="0.25">
      <c r="BE704" s="55"/>
      <c r="BF704" s="55"/>
      <c r="BG704" s="55"/>
    </row>
    <row r="705" spans="57:59" x14ac:dyDescent="0.25">
      <c r="BE705" s="55"/>
      <c r="BF705" s="55"/>
      <c r="BG705" s="55"/>
    </row>
    <row r="706" spans="57:59" x14ac:dyDescent="0.25">
      <c r="BE706" s="55"/>
      <c r="BF706" s="55"/>
      <c r="BG706" s="55"/>
    </row>
    <row r="707" spans="57:59" x14ac:dyDescent="0.25">
      <c r="BE707" s="55"/>
      <c r="BF707" s="55"/>
      <c r="BG707" s="55"/>
    </row>
    <row r="708" spans="57:59" x14ac:dyDescent="0.25">
      <c r="BE708" s="55"/>
      <c r="BF708" s="55"/>
      <c r="BG708" s="55"/>
    </row>
    <row r="709" spans="57:59" x14ac:dyDescent="0.25">
      <c r="BE709" s="55"/>
      <c r="BF709" s="55"/>
      <c r="BG709" s="55"/>
    </row>
    <row r="710" spans="57:59" x14ac:dyDescent="0.25">
      <c r="BE710" s="55"/>
      <c r="BF710" s="55"/>
      <c r="BG710" s="55"/>
    </row>
    <row r="711" spans="57:59" x14ac:dyDescent="0.25">
      <c r="BE711" s="55"/>
      <c r="BF711" s="55"/>
      <c r="BG711" s="55"/>
    </row>
    <row r="712" spans="57:59" x14ac:dyDescent="0.25">
      <c r="BE712" s="55"/>
      <c r="BF712" s="55"/>
      <c r="BG712" s="55"/>
    </row>
    <row r="713" spans="57:59" x14ac:dyDescent="0.25">
      <c r="BE713" s="55"/>
      <c r="BF713" s="55"/>
      <c r="BG713" s="55"/>
    </row>
    <row r="714" spans="57:59" x14ac:dyDescent="0.25">
      <c r="BE714" s="55"/>
      <c r="BF714" s="55"/>
      <c r="BG714" s="55"/>
    </row>
    <row r="715" spans="57:59" x14ac:dyDescent="0.25">
      <c r="BE715" s="55"/>
      <c r="BF715" s="55"/>
      <c r="BG715" s="55"/>
    </row>
    <row r="716" spans="57:59" x14ac:dyDescent="0.25">
      <c r="BE716" s="55"/>
      <c r="BF716" s="55"/>
      <c r="BG716" s="55"/>
    </row>
    <row r="717" spans="57:59" x14ac:dyDescent="0.25">
      <c r="BE717" s="55"/>
      <c r="BF717" s="55"/>
      <c r="BG717" s="55"/>
    </row>
    <row r="718" spans="57:59" x14ac:dyDescent="0.25">
      <c r="BE718" s="55"/>
      <c r="BF718" s="55"/>
      <c r="BG718" s="55"/>
    </row>
    <row r="719" spans="57:59" x14ac:dyDescent="0.25">
      <c r="BE719" s="55"/>
      <c r="BF719" s="55"/>
      <c r="BG719" s="55"/>
    </row>
    <row r="720" spans="57:59" x14ac:dyDescent="0.25">
      <c r="BE720" s="55"/>
      <c r="BF720" s="55"/>
      <c r="BG720" s="55"/>
    </row>
    <row r="721" spans="57:59" x14ac:dyDescent="0.25">
      <c r="BE721" s="55"/>
      <c r="BF721" s="55"/>
      <c r="BG721" s="55"/>
    </row>
    <row r="722" spans="57:59" x14ac:dyDescent="0.25">
      <c r="BE722" s="55"/>
      <c r="BF722" s="55"/>
      <c r="BG722" s="55"/>
    </row>
    <row r="723" spans="57:59" x14ac:dyDescent="0.25">
      <c r="BE723" s="55"/>
      <c r="BF723" s="55"/>
      <c r="BG723" s="55"/>
    </row>
    <row r="724" spans="57:59" x14ac:dyDescent="0.25">
      <c r="BE724" s="55"/>
      <c r="BF724" s="55"/>
      <c r="BG724" s="55"/>
    </row>
    <row r="725" spans="57:59" x14ac:dyDescent="0.25">
      <c r="BE725" s="55"/>
      <c r="BF725" s="55"/>
      <c r="BG725" s="55"/>
    </row>
    <row r="726" spans="57:59" x14ac:dyDescent="0.25">
      <c r="BE726" s="55"/>
      <c r="BF726" s="55"/>
      <c r="BG726" s="55"/>
    </row>
    <row r="727" spans="57:59" x14ac:dyDescent="0.25">
      <c r="BE727" s="55"/>
      <c r="BF727" s="55"/>
      <c r="BG727" s="55"/>
    </row>
    <row r="728" spans="57:59" x14ac:dyDescent="0.25">
      <c r="BE728" s="55"/>
      <c r="BF728" s="55"/>
      <c r="BG728" s="55"/>
    </row>
    <row r="729" spans="57:59" x14ac:dyDescent="0.25">
      <c r="BE729" s="55"/>
      <c r="BF729" s="55"/>
      <c r="BG729" s="55"/>
    </row>
    <row r="730" spans="57:59" x14ac:dyDescent="0.25">
      <c r="BE730" s="55"/>
      <c r="BF730" s="55"/>
      <c r="BG730" s="55"/>
    </row>
    <row r="731" spans="57:59" x14ac:dyDescent="0.25">
      <c r="BE731" s="55"/>
      <c r="BF731" s="55"/>
      <c r="BG731" s="55"/>
    </row>
    <row r="732" spans="57:59" x14ac:dyDescent="0.25">
      <c r="BE732" s="55"/>
      <c r="BF732" s="55"/>
      <c r="BG732" s="55"/>
    </row>
    <row r="733" spans="57:59" x14ac:dyDescent="0.25">
      <c r="BE733" s="55"/>
      <c r="BF733" s="55"/>
      <c r="BG733" s="55"/>
    </row>
    <row r="734" spans="57:59" x14ac:dyDescent="0.25">
      <c r="BE734" s="55"/>
      <c r="BF734" s="55"/>
      <c r="BG734" s="55"/>
    </row>
    <row r="735" spans="57:59" x14ac:dyDescent="0.25">
      <c r="BE735" s="55"/>
      <c r="BF735" s="55"/>
      <c r="BG735" s="55"/>
    </row>
    <row r="736" spans="57:59" x14ac:dyDescent="0.25">
      <c r="BE736" s="55"/>
      <c r="BF736" s="55"/>
      <c r="BG736" s="55"/>
    </row>
    <row r="737" spans="57:59" x14ac:dyDescent="0.25">
      <c r="BE737" s="55"/>
      <c r="BF737" s="55"/>
      <c r="BG737" s="55"/>
    </row>
    <row r="738" spans="57:59" x14ac:dyDescent="0.25">
      <c r="BE738" s="55"/>
      <c r="BF738" s="55"/>
      <c r="BG738" s="55"/>
    </row>
    <row r="739" spans="57:59" x14ac:dyDescent="0.25">
      <c r="BE739" s="55"/>
      <c r="BF739" s="55"/>
      <c r="BG739" s="55"/>
    </row>
    <row r="740" spans="57:59" x14ac:dyDescent="0.25">
      <c r="BE740" s="55"/>
      <c r="BF740" s="55"/>
      <c r="BG740" s="55"/>
    </row>
    <row r="741" spans="57:59" x14ac:dyDescent="0.25">
      <c r="BE741" s="55"/>
      <c r="BF741" s="55"/>
      <c r="BG741" s="55"/>
    </row>
    <row r="742" spans="57:59" x14ac:dyDescent="0.25">
      <c r="BE742" s="55"/>
      <c r="BF742" s="55"/>
      <c r="BG742" s="55"/>
    </row>
    <row r="743" spans="57:59" x14ac:dyDescent="0.25">
      <c r="BE743" s="55"/>
      <c r="BF743" s="55"/>
      <c r="BG743" s="55"/>
    </row>
    <row r="744" spans="57:59" x14ac:dyDescent="0.25">
      <c r="BE744" s="55"/>
      <c r="BF744" s="55"/>
      <c r="BG744" s="55"/>
    </row>
    <row r="745" spans="57:59" x14ac:dyDescent="0.25">
      <c r="BE745" s="55"/>
      <c r="BF745" s="55"/>
      <c r="BG745" s="55"/>
    </row>
    <row r="746" spans="57:59" x14ac:dyDescent="0.25">
      <c r="BE746" s="55"/>
      <c r="BF746" s="55"/>
      <c r="BG746" s="55"/>
    </row>
    <row r="747" spans="57:59" x14ac:dyDescent="0.25">
      <c r="BE747" s="55"/>
      <c r="BF747" s="55"/>
      <c r="BG747" s="55"/>
    </row>
    <row r="748" spans="57:59" x14ac:dyDescent="0.25">
      <c r="BE748" s="55"/>
      <c r="BF748" s="55"/>
      <c r="BG748" s="55"/>
    </row>
    <row r="749" spans="57:59" x14ac:dyDescent="0.25">
      <c r="BE749" s="55"/>
      <c r="BF749" s="55"/>
      <c r="BG749" s="55"/>
    </row>
    <row r="750" spans="57:59" x14ac:dyDescent="0.25">
      <c r="BE750" s="55"/>
      <c r="BF750" s="55"/>
      <c r="BG750" s="55"/>
    </row>
    <row r="751" spans="57:59" x14ac:dyDescent="0.25">
      <c r="BE751" s="55"/>
      <c r="BF751" s="55"/>
      <c r="BG751" s="55"/>
    </row>
    <row r="752" spans="57:59" x14ac:dyDescent="0.25">
      <c r="BE752" s="55"/>
      <c r="BF752" s="55"/>
      <c r="BG752" s="55"/>
    </row>
    <row r="753" spans="57:59" x14ac:dyDescent="0.25">
      <c r="BE753" s="55"/>
      <c r="BF753" s="55"/>
      <c r="BG753" s="55"/>
    </row>
    <row r="754" spans="57:59" x14ac:dyDescent="0.25">
      <c r="BE754" s="55"/>
      <c r="BF754" s="55"/>
      <c r="BG754" s="55"/>
    </row>
    <row r="755" spans="57:59" x14ac:dyDescent="0.25">
      <c r="BE755" s="55"/>
      <c r="BF755" s="55"/>
      <c r="BG755" s="55"/>
    </row>
    <row r="756" spans="57:59" x14ac:dyDescent="0.25">
      <c r="BE756" s="55"/>
      <c r="BF756" s="55"/>
      <c r="BG756" s="55"/>
    </row>
    <row r="757" spans="57:59" x14ac:dyDescent="0.25">
      <c r="BE757" s="55"/>
      <c r="BF757" s="55"/>
      <c r="BG757" s="55"/>
    </row>
    <row r="758" spans="57:59" x14ac:dyDescent="0.25">
      <c r="BE758" s="55"/>
      <c r="BF758" s="55"/>
      <c r="BG758" s="55"/>
    </row>
    <row r="759" spans="57:59" x14ac:dyDescent="0.25">
      <c r="BE759" s="55"/>
      <c r="BF759" s="55"/>
      <c r="BG759" s="55"/>
    </row>
    <row r="760" spans="57:59" x14ac:dyDescent="0.25">
      <c r="BE760" s="55"/>
      <c r="BF760" s="55"/>
      <c r="BG760" s="55"/>
    </row>
    <row r="761" spans="57:59" x14ac:dyDescent="0.25">
      <c r="BE761" s="55"/>
      <c r="BF761" s="55"/>
      <c r="BG761" s="55"/>
    </row>
    <row r="762" spans="57:59" x14ac:dyDescent="0.25">
      <c r="BE762" s="55"/>
      <c r="BF762" s="55"/>
      <c r="BG762" s="55"/>
    </row>
    <row r="763" spans="57:59" x14ac:dyDescent="0.25">
      <c r="BE763" s="55"/>
      <c r="BF763" s="55"/>
      <c r="BG763" s="55"/>
    </row>
    <row r="764" spans="57:59" x14ac:dyDescent="0.25">
      <c r="BE764" s="55"/>
      <c r="BF764" s="55"/>
      <c r="BG764" s="55"/>
    </row>
    <row r="765" spans="57:59" x14ac:dyDescent="0.25">
      <c r="BE765" s="55"/>
      <c r="BF765" s="55"/>
      <c r="BG765" s="55"/>
    </row>
    <row r="766" spans="57:59" x14ac:dyDescent="0.25">
      <c r="BE766" s="55"/>
      <c r="BF766" s="55"/>
      <c r="BG766" s="55"/>
    </row>
    <row r="767" spans="57:59" x14ac:dyDescent="0.25">
      <c r="BE767" s="55"/>
      <c r="BF767" s="55"/>
      <c r="BG767" s="55"/>
    </row>
    <row r="768" spans="57:59" x14ac:dyDescent="0.25">
      <c r="BE768" s="55"/>
      <c r="BF768" s="55"/>
      <c r="BG768" s="55"/>
    </row>
    <row r="769" spans="57:59" x14ac:dyDescent="0.25">
      <c r="BE769" s="55"/>
      <c r="BF769" s="55"/>
      <c r="BG769" s="55"/>
    </row>
    <row r="770" spans="57:59" x14ac:dyDescent="0.25">
      <c r="BE770" s="55"/>
      <c r="BF770" s="55"/>
      <c r="BG770" s="55"/>
    </row>
    <row r="771" spans="57:59" x14ac:dyDescent="0.25">
      <c r="BE771" s="55"/>
      <c r="BF771" s="55"/>
      <c r="BG771" s="55"/>
    </row>
    <row r="772" spans="57:59" x14ac:dyDescent="0.25">
      <c r="BE772" s="55"/>
      <c r="BF772" s="55"/>
      <c r="BG772" s="55"/>
    </row>
    <row r="773" spans="57:59" x14ac:dyDescent="0.25">
      <c r="BE773" s="55"/>
      <c r="BF773" s="55"/>
      <c r="BG773" s="55"/>
    </row>
    <row r="774" spans="57:59" x14ac:dyDescent="0.25">
      <c r="BE774" s="55"/>
      <c r="BF774" s="55"/>
      <c r="BG774" s="55"/>
    </row>
    <row r="775" spans="57:59" x14ac:dyDescent="0.25">
      <c r="BE775" s="55"/>
      <c r="BF775" s="55"/>
      <c r="BG775" s="55"/>
    </row>
    <row r="776" spans="57:59" x14ac:dyDescent="0.25">
      <c r="BE776" s="55"/>
      <c r="BF776" s="55"/>
      <c r="BG776" s="55"/>
    </row>
    <row r="777" spans="57:59" x14ac:dyDescent="0.25">
      <c r="BE777" s="55"/>
      <c r="BF777" s="55"/>
      <c r="BG777" s="55"/>
    </row>
    <row r="778" spans="57:59" x14ac:dyDescent="0.25">
      <c r="BE778" s="55"/>
      <c r="BF778" s="55"/>
      <c r="BG778" s="55"/>
    </row>
    <row r="779" spans="57:59" x14ac:dyDescent="0.25">
      <c r="BE779" s="55"/>
      <c r="BF779" s="55"/>
      <c r="BG779" s="55"/>
    </row>
    <row r="780" spans="57:59" x14ac:dyDescent="0.25">
      <c r="BE780" s="55"/>
      <c r="BF780" s="55"/>
      <c r="BG780" s="55"/>
    </row>
    <row r="781" spans="57:59" x14ac:dyDescent="0.25">
      <c r="BE781" s="55"/>
      <c r="BF781" s="55"/>
      <c r="BG781" s="55"/>
    </row>
    <row r="782" spans="57:59" x14ac:dyDescent="0.25">
      <c r="BE782" s="55"/>
      <c r="BF782" s="55"/>
      <c r="BG782" s="55"/>
    </row>
    <row r="783" spans="57:59" x14ac:dyDescent="0.25">
      <c r="BE783" s="55"/>
      <c r="BF783" s="55"/>
      <c r="BG783" s="55"/>
    </row>
    <row r="784" spans="57:59" x14ac:dyDescent="0.25">
      <c r="BE784" s="55"/>
      <c r="BF784" s="55"/>
      <c r="BG784" s="55"/>
    </row>
    <row r="785" spans="57:59" x14ac:dyDescent="0.25">
      <c r="BE785" s="55"/>
      <c r="BF785" s="55"/>
      <c r="BG785" s="55"/>
    </row>
    <row r="786" spans="57:59" x14ac:dyDescent="0.25">
      <c r="BE786" s="55"/>
      <c r="BF786" s="55"/>
      <c r="BG786" s="55"/>
    </row>
    <row r="787" spans="57:59" x14ac:dyDescent="0.25">
      <c r="BE787" s="55"/>
      <c r="BF787" s="55"/>
      <c r="BG787" s="55"/>
    </row>
    <row r="788" spans="57:59" x14ac:dyDescent="0.25">
      <c r="BE788" s="55"/>
      <c r="BF788" s="55"/>
      <c r="BG788" s="55"/>
    </row>
    <row r="789" spans="57:59" x14ac:dyDescent="0.25">
      <c r="BE789" s="55"/>
      <c r="BF789" s="55"/>
      <c r="BG789" s="55"/>
    </row>
    <row r="790" spans="57:59" x14ac:dyDescent="0.25">
      <c r="BE790" s="55"/>
      <c r="BF790" s="55"/>
      <c r="BG790" s="55"/>
    </row>
    <row r="791" spans="57:59" x14ac:dyDescent="0.25">
      <c r="BE791" s="55"/>
      <c r="BF791" s="55"/>
      <c r="BG791" s="55"/>
    </row>
    <row r="792" spans="57:59" x14ac:dyDescent="0.25">
      <c r="BE792" s="55"/>
      <c r="BF792" s="55"/>
      <c r="BG792" s="55"/>
    </row>
    <row r="793" spans="57:59" x14ac:dyDescent="0.25">
      <c r="BE793" s="55"/>
      <c r="BF793" s="55"/>
      <c r="BG793" s="55"/>
    </row>
    <row r="794" spans="57:59" x14ac:dyDescent="0.25">
      <c r="BE794" s="55"/>
      <c r="BF794" s="55"/>
      <c r="BG794" s="55"/>
    </row>
    <row r="795" spans="57:59" x14ac:dyDescent="0.25">
      <c r="BE795" s="55"/>
      <c r="BF795" s="55"/>
      <c r="BG795" s="55"/>
    </row>
    <row r="796" spans="57:59" x14ac:dyDescent="0.25">
      <c r="BE796" s="55"/>
      <c r="BF796" s="55"/>
      <c r="BG796" s="55"/>
    </row>
    <row r="797" spans="57:59" x14ac:dyDescent="0.25">
      <c r="BE797" s="55"/>
      <c r="BF797" s="55"/>
      <c r="BG797" s="55"/>
    </row>
    <row r="798" spans="57:59" x14ac:dyDescent="0.25">
      <c r="BE798" s="55"/>
      <c r="BF798" s="55"/>
      <c r="BG798" s="55"/>
    </row>
    <row r="799" spans="57:59" x14ac:dyDescent="0.25">
      <c r="BE799" s="55"/>
      <c r="BF799" s="55"/>
      <c r="BG799" s="55"/>
    </row>
    <row r="800" spans="57:59" x14ac:dyDescent="0.25">
      <c r="BE800" s="55"/>
      <c r="BF800" s="55"/>
      <c r="BG800" s="55"/>
    </row>
    <row r="801" spans="57:59" x14ac:dyDescent="0.25">
      <c r="BE801" s="55"/>
      <c r="BF801" s="55"/>
      <c r="BG801" s="55"/>
    </row>
    <row r="802" spans="57:59" x14ac:dyDescent="0.25">
      <c r="BE802" s="55"/>
      <c r="BF802" s="55"/>
      <c r="BG802" s="55"/>
    </row>
    <row r="803" spans="57:59" x14ac:dyDescent="0.25">
      <c r="BE803" s="55"/>
      <c r="BF803" s="55"/>
      <c r="BG803" s="55"/>
    </row>
    <row r="804" spans="57:59" x14ac:dyDescent="0.25">
      <c r="BE804" s="55"/>
      <c r="BF804" s="55"/>
      <c r="BG804" s="55"/>
    </row>
    <row r="805" spans="57:59" x14ac:dyDescent="0.25">
      <c r="BE805" s="55"/>
      <c r="BF805" s="55"/>
      <c r="BG805" s="55"/>
    </row>
    <row r="806" spans="57:59" x14ac:dyDescent="0.25">
      <c r="BE806" s="55"/>
      <c r="BF806" s="55"/>
      <c r="BG806" s="55"/>
    </row>
    <row r="807" spans="57:59" x14ac:dyDescent="0.25">
      <c r="BE807" s="55"/>
      <c r="BF807" s="55"/>
      <c r="BG807" s="55"/>
    </row>
    <row r="808" spans="57:59" x14ac:dyDescent="0.25">
      <c r="BE808" s="55"/>
      <c r="BF808" s="55"/>
      <c r="BG808" s="55"/>
    </row>
    <row r="809" spans="57:59" x14ac:dyDescent="0.25">
      <c r="BE809" s="55"/>
      <c r="BF809" s="55"/>
      <c r="BG809" s="55"/>
    </row>
    <row r="810" spans="57:59" x14ac:dyDescent="0.25">
      <c r="BE810" s="55"/>
      <c r="BF810" s="55"/>
      <c r="BG810" s="55"/>
    </row>
    <row r="811" spans="57:59" x14ac:dyDescent="0.25">
      <c r="BE811" s="55"/>
      <c r="BF811" s="55"/>
      <c r="BG811" s="55"/>
    </row>
    <row r="812" spans="57:59" x14ac:dyDescent="0.25">
      <c r="BE812" s="55"/>
      <c r="BF812" s="55"/>
      <c r="BG812" s="55"/>
    </row>
    <row r="813" spans="57:59" x14ac:dyDescent="0.25">
      <c r="BE813" s="55"/>
      <c r="BF813" s="55"/>
      <c r="BG813" s="55"/>
    </row>
    <row r="814" spans="57:59" x14ac:dyDescent="0.25">
      <c r="BE814" s="55"/>
      <c r="BF814" s="55"/>
      <c r="BG814" s="55"/>
    </row>
    <row r="815" spans="57:59" x14ac:dyDescent="0.25">
      <c r="BE815" s="55"/>
      <c r="BF815" s="55"/>
      <c r="BG815" s="55"/>
    </row>
    <row r="816" spans="57:59" x14ac:dyDescent="0.25">
      <c r="BE816" s="55"/>
      <c r="BF816" s="55"/>
      <c r="BG816" s="55"/>
    </row>
    <row r="817" spans="57:59" x14ac:dyDescent="0.25">
      <c r="BE817" s="55"/>
      <c r="BF817" s="55"/>
      <c r="BG817" s="55"/>
    </row>
    <row r="818" spans="57:59" x14ac:dyDescent="0.25">
      <c r="BE818" s="55"/>
      <c r="BF818" s="55"/>
      <c r="BG818" s="55"/>
    </row>
    <row r="819" spans="57:59" x14ac:dyDescent="0.25">
      <c r="BE819" s="55"/>
      <c r="BF819" s="55"/>
      <c r="BG819" s="55"/>
    </row>
    <row r="820" spans="57:59" x14ac:dyDescent="0.25">
      <c r="BE820" s="55"/>
      <c r="BF820" s="55"/>
      <c r="BG820" s="55"/>
    </row>
    <row r="821" spans="57:59" x14ac:dyDescent="0.25">
      <c r="BE821" s="55"/>
      <c r="BF821" s="55"/>
      <c r="BG821" s="55"/>
    </row>
    <row r="822" spans="57:59" x14ac:dyDescent="0.25">
      <c r="BE822" s="55"/>
      <c r="BF822" s="55"/>
      <c r="BG822" s="55"/>
    </row>
    <row r="823" spans="57:59" x14ac:dyDescent="0.25">
      <c r="BE823" s="55"/>
      <c r="BF823" s="55"/>
      <c r="BG823" s="55"/>
    </row>
    <row r="824" spans="57:59" x14ac:dyDescent="0.25">
      <c r="BE824" s="55"/>
      <c r="BF824" s="55"/>
      <c r="BG824" s="55"/>
    </row>
    <row r="825" spans="57:59" x14ac:dyDescent="0.25">
      <c r="BE825" s="55"/>
      <c r="BF825" s="55"/>
      <c r="BG825" s="55"/>
    </row>
    <row r="826" spans="57:59" x14ac:dyDescent="0.25">
      <c r="BE826" s="55"/>
      <c r="BF826" s="55"/>
      <c r="BG826" s="55"/>
    </row>
    <row r="827" spans="57:59" x14ac:dyDescent="0.25">
      <c r="BE827" s="55"/>
      <c r="BF827" s="55"/>
      <c r="BG827" s="55"/>
    </row>
    <row r="828" spans="57:59" x14ac:dyDescent="0.25">
      <c r="BE828" s="55"/>
      <c r="BF828" s="55"/>
      <c r="BG828" s="55"/>
    </row>
    <row r="829" spans="57:59" x14ac:dyDescent="0.25">
      <c r="BE829" s="55"/>
      <c r="BF829" s="55"/>
      <c r="BG829" s="55"/>
    </row>
    <row r="830" spans="57:59" x14ac:dyDescent="0.25">
      <c r="BE830" s="55"/>
      <c r="BF830" s="55"/>
      <c r="BG830" s="55"/>
    </row>
    <row r="831" spans="57:59" x14ac:dyDescent="0.25">
      <c r="BE831" s="55"/>
      <c r="BF831" s="55"/>
      <c r="BG831" s="55"/>
    </row>
    <row r="832" spans="57:59" x14ac:dyDescent="0.25">
      <c r="BE832" s="55"/>
      <c r="BF832" s="55"/>
      <c r="BG832" s="55"/>
    </row>
    <row r="833" spans="57:59" x14ac:dyDescent="0.25">
      <c r="BE833" s="55"/>
      <c r="BF833" s="55"/>
      <c r="BG833" s="55"/>
    </row>
    <row r="834" spans="57:59" x14ac:dyDescent="0.25">
      <c r="BE834" s="55"/>
      <c r="BF834" s="55"/>
      <c r="BG834" s="55"/>
    </row>
    <row r="835" spans="57:59" x14ac:dyDescent="0.25">
      <c r="BE835" s="55"/>
      <c r="BF835" s="55"/>
      <c r="BG835" s="55"/>
    </row>
    <row r="836" spans="57:59" x14ac:dyDescent="0.25">
      <c r="BE836" s="55"/>
      <c r="BF836" s="55"/>
      <c r="BG836" s="55"/>
    </row>
    <row r="837" spans="57:59" x14ac:dyDescent="0.25">
      <c r="BE837" s="55"/>
      <c r="BF837" s="55"/>
      <c r="BG837" s="55"/>
    </row>
    <row r="838" spans="57:59" x14ac:dyDescent="0.25">
      <c r="BE838" s="55"/>
      <c r="BF838" s="55"/>
      <c r="BG838" s="55"/>
    </row>
    <row r="839" spans="57:59" x14ac:dyDescent="0.25">
      <c r="BE839" s="55"/>
      <c r="BF839" s="55"/>
      <c r="BG839" s="55"/>
    </row>
    <row r="840" spans="57:59" x14ac:dyDescent="0.25">
      <c r="BE840" s="55"/>
      <c r="BF840" s="55"/>
      <c r="BG840" s="55"/>
    </row>
    <row r="841" spans="57:59" x14ac:dyDescent="0.25">
      <c r="BE841" s="55"/>
      <c r="BF841" s="55"/>
      <c r="BG841" s="55"/>
    </row>
    <row r="842" spans="57:59" x14ac:dyDescent="0.25">
      <c r="BE842" s="55"/>
      <c r="BF842" s="55"/>
      <c r="BG842" s="55"/>
    </row>
    <row r="843" spans="57:59" x14ac:dyDescent="0.25">
      <c r="BE843" s="55"/>
      <c r="BF843" s="55"/>
      <c r="BG843" s="55"/>
    </row>
    <row r="844" spans="57:59" x14ac:dyDescent="0.25">
      <c r="BE844" s="55"/>
      <c r="BF844" s="55"/>
      <c r="BG844" s="55"/>
    </row>
    <row r="845" spans="57:59" x14ac:dyDescent="0.25">
      <c r="BE845" s="55"/>
      <c r="BF845" s="55"/>
      <c r="BG845" s="55"/>
    </row>
    <row r="846" spans="57:59" x14ac:dyDescent="0.25">
      <c r="BE846" s="55"/>
      <c r="BF846" s="55"/>
      <c r="BG846" s="55"/>
    </row>
    <row r="847" spans="57:59" x14ac:dyDescent="0.25">
      <c r="BE847" s="55"/>
      <c r="BF847" s="55"/>
      <c r="BG847" s="55"/>
    </row>
    <row r="848" spans="57:59" x14ac:dyDescent="0.25">
      <c r="BE848" s="55"/>
      <c r="BF848" s="55"/>
      <c r="BG848" s="55"/>
    </row>
    <row r="849" spans="57:59" x14ac:dyDescent="0.25">
      <c r="BE849" s="55"/>
      <c r="BF849" s="55"/>
      <c r="BG849" s="55"/>
    </row>
    <row r="850" spans="57:59" x14ac:dyDescent="0.25">
      <c r="BE850" s="55"/>
      <c r="BF850" s="55"/>
      <c r="BG850" s="55"/>
    </row>
    <row r="851" spans="57:59" x14ac:dyDescent="0.25">
      <c r="BE851" s="55"/>
      <c r="BF851" s="55"/>
      <c r="BG851" s="55"/>
    </row>
    <row r="852" spans="57:59" x14ac:dyDescent="0.25">
      <c r="BE852" s="55"/>
      <c r="BF852" s="55"/>
      <c r="BG852" s="55"/>
    </row>
    <row r="853" spans="57:59" x14ac:dyDescent="0.25">
      <c r="BE853" s="55"/>
      <c r="BF853" s="55"/>
      <c r="BG853" s="55"/>
    </row>
    <row r="854" spans="57:59" x14ac:dyDescent="0.25">
      <c r="BE854" s="55"/>
      <c r="BF854" s="55"/>
      <c r="BG854" s="55"/>
    </row>
    <row r="855" spans="57:59" x14ac:dyDescent="0.25">
      <c r="BE855" s="55"/>
      <c r="BF855" s="55"/>
      <c r="BG855" s="55"/>
    </row>
    <row r="856" spans="57:59" x14ac:dyDescent="0.25">
      <c r="BE856" s="55"/>
      <c r="BF856" s="55"/>
      <c r="BG856" s="55"/>
    </row>
    <row r="857" spans="57:59" x14ac:dyDescent="0.25">
      <c r="BE857" s="55"/>
      <c r="BF857" s="55"/>
      <c r="BG857" s="55"/>
    </row>
    <row r="858" spans="57:59" x14ac:dyDescent="0.25">
      <c r="BE858" s="55"/>
      <c r="BF858" s="55"/>
      <c r="BG858" s="55"/>
    </row>
    <row r="859" spans="57:59" x14ac:dyDescent="0.25">
      <c r="BE859" s="55"/>
      <c r="BF859" s="55"/>
      <c r="BG859" s="55"/>
    </row>
    <row r="860" spans="57:59" x14ac:dyDescent="0.25">
      <c r="BE860" s="55"/>
      <c r="BF860" s="55"/>
      <c r="BG860" s="55"/>
    </row>
    <row r="861" spans="57:59" x14ac:dyDescent="0.25">
      <c r="BE861" s="55"/>
      <c r="BF861" s="55"/>
      <c r="BG861" s="55"/>
    </row>
    <row r="862" spans="57:59" x14ac:dyDescent="0.25">
      <c r="BE862" s="55"/>
      <c r="BF862" s="55"/>
      <c r="BG862" s="55"/>
    </row>
    <row r="863" spans="57:59" x14ac:dyDescent="0.25">
      <c r="BE863" s="55"/>
      <c r="BF863" s="55"/>
      <c r="BG863" s="55"/>
    </row>
    <row r="864" spans="57:59" x14ac:dyDescent="0.25">
      <c r="BE864" s="55"/>
      <c r="BF864" s="55"/>
      <c r="BG864" s="55"/>
    </row>
    <row r="865" spans="57:59" x14ac:dyDescent="0.25">
      <c r="BE865" s="55"/>
      <c r="BF865" s="55"/>
      <c r="BG865" s="55"/>
    </row>
    <row r="866" spans="57:59" x14ac:dyDescent="0.25">
      <c r="BE866" s="55"/>
      <c r="BF866" s="55"/>
      <c r="BG866" s="55"/>
    </row>
    <row r="867" spans="57:59" x14ac:dyDescent="0.25">
      <c r="BE867" s="55"/>
      <c r="BF867" s="55"/>
      <c r="BG867" s="55"/>
    </row>
    <row r="868" spans="57:59" x14ac:dyDescent="0.25">
      <c r="BE868" s="55"/>
      <c r="BF868" s="55"/>
      <c r="BG868" s="55"/>
    </row>
    <row r="869" spans="57:59" x14ac:dyDescent="0.25">
      <c r="BE869" s="55"/>
      <c r="BF869" s="55"/>
      <c r="BG869" s="55"/>
    </row>
    <row r="870" spans="57:59" x14ac:dyDescent="0.25">
      <c r="BE870" s="55"/>
      <c r="BF870" s="55"/>
      <c r="BG870" s="55"/>
    </row>
    <row r="871" spans="57:59" x14ac:dyDescent="0.25">
      <c r="BE871" s="55"/>
      <c r="BF871" s="55"/>
      <c r="BG871" s="55"/>
    </row>
    <row r="872" spans="57:59" x14ac:dyDescent="0.25">
      <c r="BE872" s="55"/>
      <c r="BF872" s="55"/>
      <c r="BG872" s="55"/>
    </row>
    <row r="873" spans="57:59" x14ac:dyDescent="0.25">
      <c r="BE873" s="55"/>
      <c r="BF873" s="55"/>
      <c r="BG873" s="55"/>
    </row>
    <row r="874" spans="57:59" x14ac:dyDescent="0.25">
      <c r="BE874" s="55"/>
      <c r="BF874" s="55"/>
      <c r="BG874" s="55"/>
    </row>
    <row r="875" spans="57:59" x14ac:dyDescent="0.25">
      <c r="BE875" s="55"/>
      <c r="BF875" s="55"/>
      <c r="BG875" s="55"/>
    </row>
    <row r="876" spans="57:59" x14ac:dyDescent="0.25">
      <c r="BE876" s="55"/>
      <c r="BF876" s="55"/>
      <c r="BG876" s="55"/>
    </row>
    <row r="877" spans="57:59" x14ac:dyDescent="0.25">
      <c r="BE877" s="55"/>
      <c r="BF877" s="55"/>
      <c r="BG877" s="55"/>
    </row>
    <row r="878" spans="57:59" x14ac:dyDescent="0.25">
      <c r="BE878" s="55"/>
      <c r="BF878" s="55"/>
      <c r="BG878" s="55"/>
    </row>
    <row r="879" spans="57:59" x14ac:dyDescent="0.25">
      <c r="BE879" s="55"/>
      <c r="BF879" s="55"/>
      <c r="BG879" s="55"/>
    </row>
    <row r="880" spans="57:59" x14ac:dyDescent="0.25">
      <c r="BE880" s="55"/>
      <c r="BF880" s="55"/>
      <c r="BG880" s="55"/>
    </row>
    <row r="881" spans="57:59" x14ac:dyDescent="0.25">
      <c r="BE881" s="55"/>
      <c r="BF881" s="55"/>
      <c r="BG881" s="55"/>
    </row>
    <row r="882" spans="57:59" x14ac:dyDescent="0.25">
      <c r="BE882" s="55"/>
      <c r="BF882" s="55"/>
      <c r="BG882" s="55"/>
    </row>
    <row r="883" spans="57:59" x14ac:dyDescent="0.25">
      <c r="BE883" s="55"/>
      <c r="BF883" s="55"/>
      <c r="BG883" s="55"/>
    </row>
    <row r="884" spans="57:59" x14ac:dyDescent="0.25">
      <c r="BE884" s="55"/>
      <c r="BF884" s="55"/>
      <c r="BG884" s="55"/>
    </row>
    <row r="885" spans="57:59" x14ac:dyDescent="0.25">
      <c r="BE885" s="55"/>
      <c r="BF885" s="55"/>
      <c r="BG885" s="55"/>
    </row>
    <row r="886" spans="57:59" x14ac:dyDescent="0.25">
      <c r="BE886" s="55"/>
      <c r="BF886" s="55"/>
      <c r="BG886" s="55"/>
    </row>
    <row r="887" spans="57:59" x14ac:dyDescent="0.25">
      <c r="BE887" s="55"/>
      <c r="BF887" s="55"/>
      <c r="BG887" s="55"/>
    </row>
    <row r="888" spans="57:59" x14ac:dyDescent="0.25">
      <c r="BE888" s="55"/>
      <c r="BF888" s="55"/>
      <c r="BG888" s="55"/>
    </row>
    <row r="889" spans="57:59" x14ac:dyDescent="0.25">
      <c r="BE889" s="55"/>
      <c r="BF889" s="55"/>
      <c r="BG889" s="55"/>
    </row>
    <row r="890" spans="57:59" x14ac:dyDescent="0.25">
      <c r="BE890" s="55"/>
      <c r="BF890" s="55"/>
      <c r="BG890" s="55"/>
    </row>
    <row r="891" spans="57:59" x14ac:dyDescent="0.25">
      <c r="BE891" s="55"/>
      <c r="BF891" s="55"/>
      <c r="BG891" s="55"/>
    </row>
    <row r="892" spans="57:59" x14ac:dyDescent="0.25">
      <c r="BE892" s="55"/>
      <c r="BF892" s="55"/>
      <c r="BG892" s="55"/>
    </row>
    <row r="893" spans="57:59" x14ac:dyDescent="0.25">
      <c r="BE893" s="55"/>
      <c r="BF893" s="55"/>
      <c r="BG893" s="55"/>
    </row>
    <row r="894" spans="57:59" x14ac:dyDescent="0.25">
      <c r="BE894" s="55"/>
      <c r="BF894" s="55"/>
      <c r="BG894" s="55"/>
    </row>
    <row r="895" spans="57:59" x14ac:dyDescent="0.25">
      <c r="BE895" s="55"/>
      <c r="BF895" s="55"/>
      <c r="BG895" s="55"/>
    </row>
    <row r="896" spans="57:59" x14ac:dyDescent="0.25">
      <c r="BE896" s="55"/>
      <c r="BF896" s="55"/>
      <c r="BG896" s="55"/>
    </row>
    <row r="897" spans="57:59" x14ac:dyDescent="0.25">
      <c r="BE897" s="55"/>
      <c r="BF897" s="55"/>
      <c r="BG897" s="55"/>
    </row>
    <row r="898" spans="57:59" x14ac:dyDescent="0.25">
      <c r="BE898" s="55"/>
      <c r="BF898" s="55"/>
      <c r="BG898" s="55"/>
    </row>
    <row r="899" spans="57:59" x14ac:dyDescent="0.25">
      <c r="BE899" s="55"/>
      <c r="BF899" s="55"/>
      <c r="BG899" s="55"/>
    </row>
    <row r="900" spans="57:59" x14ac:dyDescent="0.25">
      <c r="BE900" s="55"/>
      <c r="BF900" s="55"/>
      <c r="BG900" s="55"/>
    </row>
    <row r="901" spans="57:59" x14ac:dyDescent="0.25">
      <c r="BE901" s="55"/>
      <c r="BF901" s="55"/>
      <c r="BG901" s="55"/>
    </row>
    <row r="902" spans="57:59" x14ac:dyDescent="0.25">
      <c r="BE902" s="55"/>
      <c r="BF902" s="55"/>
      <c r="BG902" s="55"/>
    </row>
    <row r="903" spans="57:59" x14ac:dyDescent="0.25">
      <c r="BE903" s="55"/>
      <c r="BF903" s="55"/>
      <c r="BG903" s="55"/>
    </row>
    <row r="904" spans="57:59" x14ac:dyDescent="0.25">
      <c r="BE904" s="55"/>
      <c r="BF904" s="55"/>
      <c r="BG904" s="55"/>
    </row>
    <row r="905" spans="57:59" x14ac:dyDescent="0.25">
      <c r="BE905" s="55"/>
      <c r="BF905" s="55"/>
      <c r="BG905" s="55"/>
    </row>
    <row r="906" spans="57:59" x14ac:dyDescent="0.25">
      <c r="BE906" s="55"/>
      <c r="BF906" s="55"/>
      <c r="BG906" s="55"/>
    </row>
    <row r="907" spans="57:59" x14ac:dyDescent="0.25">
      <c r="BE907" s="55"/>
      <c r="BF907" s="55"/>
      <c r="BG907" s="55"/>
    </row>
    <row r="908" spans="57:59" x14ac:dyDescent="0.25">
      <c r="BE908" s="55"/>
      <c r="BF908" s="55"/>
      <c r="BG908" s="55"/>
    </row>
    <row r="909" spans="57:59" x14ac:dyDescent="0.25">
      <c r="BE909" s="55"/>
      <c r="BF909" s="55"/>
      <c r="BG909" s="55"/>
    </row>
    <row r="910" spans="57:59" x14ac:dyDescent="0.25">
      <c r="BE910" s="55"/>
      <c r="BF910" s="55"/>
      <c r="BG910" s="55"/>
    </row>
    <row r="911" spans="57:59" x14ac:dyDescent="0.25">
      <c r="BE911" s="55"/>
      <c r="BF911" s="55"/>
      <c r="BG911" s="55"/>
    </row>
    <row r="912" spans="57:59" x14ac:dyDescent="0.25">
      <c r="BE912" s="55"/>
      <c r="BF912" s="55"/>
      <c r="BG912" s="55"/>
    </row>
    <row r="913" spans="57:59" x14ac:dyDescent="0.25">
      <c r="BE913" s="55"/>
      <c r="BF913" s="55"/>
      <c r="BG913" s="55"/>
    </row>
    <row r="914" spans="57:59" x14ac:dyDescent="0.25">
      <c r="BE914" s="55"/>
      <c r="BF914" s="55"/>
      <c r="BG914" s="55"/>
    </row>
    <row r="915" spans="57:59" x14ac:dyDescent="0.25">
      <c r="BE915" s="55"/>
      <c r="BF915" s="55"/>
      <c r="BG915" s="55"/>
    </row>
    <row r="916" spans="57:59" x14ac:dyDescent="0.25">
      <c r="BE916" s="55"/>
      <c r="BF916" s="55"/>
      <c r="BG916" s="55"/>
    </row>
    <row r="917" spans="57:59" x14ac:dyDescent="0.25">
      <c r="BE917" s="55"/>
      <c r="BF917" s="55"/>
      <c r="BG917" s="55"/>
    </row>
    <row r="918" spans="57:59" x14ac:dyDescent="0.25">
      <c r="BE918" s="55"/>
      <c r="BF918" s="55"/>
      <c r="BG918" s="55"/>
    </row>
    <row r="919" spans="57:59" x14ac:dyDescent="0.25">
      <c r="BE919" s="55"/>
      <c r="BF919" s="55"/>
      <c r="BG919" s="55"/>
    </row>
    <row r="920" spans="57:59" x14ac:dyDescent="0.25">
      <c r="BE920" s="55"/>
      <c r="BF920" s="55"/>
      <c r="BG920" s="55"/>
    </row>
    <row r="921" spans="57:59" x14ac:dyDescent="0.25">
      <c r="BE921" s="55"/>
      <c r="BF921" s="55"/>
      <c r="BG921" s="55"/>
    </row>
    <row r="922" spans="57:59" x14ac:dyDescent="0.25">
      <c r="BE922" s="55"/>
      <c r="BF922" s="55"/>
      <c r="BG922" s="55"/>
    </row>
    <row r="923" spans="57:59" x14ac:dyDescent="0.25">
      <c r="BE923" s="55"/>
      <c r="BF923" s="55"/>
      <c r="BG923" s="55"/>
    </row>
    <row r="924" spans="57:59" x14ac:dyDescent="0.25">
      <c r="BE924" s="55"/>
      <c r="BF924" s="55"/>
      <c r="BG924" s="55"/>
    </row>
    <row r="925" spans="57:59" x14ac:dyDescent="0.25">
      <c r="BE925" s="55"/>
      <c r="BF925" s="55"/>
      <c r="BG925" s="55"/>
    </row>
    <row r="926" spans="57:59" x14ac:dyDescent="0.25">
      <c r="BE926" s="55"/>
      <c r="BF926" s="55"/>
      <c r="BG926" s="55"/>
    </row>
    <row r="927" spans="57:59" x14ac:dyDescent="0.25">
      <c r="BE927" s="55"/>
      <c r="BF927" s="55"/>
      <c r="BG927" s="55"/>
    </row>
    <row r="928" spans="57:59" x14ac:dyDescent="0.25">
      <c r="BE928" s="55"/>
      <c r="BF928" s="55"/>
      <c r="BG928" s="55"/>
    </row>
    <row r="929" spans="57:59" x14ac:dyDescent="0.25">
      <c r="BE929" s="55"/>
      <c r="BF929" s="55"/>
      <c r="BG929" s="55"/>
    </row>
    <row r="930" spans="57:59" x14ac:dyDescent="0.25">
      <c r="BE930" s="55"/>
      <c r="BF930" s="55"/>
      <c r="BG930" s="55"/>
    </row>
    <row r="931" spans="57:59" x14ac:dyDescent="0.25">
      <c r="BE931" s="55"/>
      <c r="BF931" s="55"/>
      <c r="BG931" s="55"/>
    </row>
    <row r="932" spans="57:59" x14ac:dyDescent="0.25">
      <c r="BE932" s="55"/>
      <c r="BF932" s="55"/>
      <c r="BG932" s="55"/>
    </row>
    <row r="933" spans="57:59" x14ac:dyDescent="0.25">
      <c r="BE933" s="55"/>
      <c r="BF933" s="55"/>
      <c r="BG933" s="55"/>
    </row>
    <row r="934" spans="57:59" x14ac:dyDescent="0.25">
      <c r="BE934" s="55"/>
      <c r="BF934" s="55"/>
      <c r="BG934" s="55"/>
    </row>
    <row r="935" spans="57:59" x14ac:dyDescent="0.25">
      <c r="BE935" s="55"/>
      <c r="BF935" s="55"/>
      <c r="BG935" s="55"/>
    </row>
    <row r="936" spans="57:59" x14ac:dyDescent="0.25">
      <c r="BE936" s="55"/>
      <c r="BF936" s="55"/>
      <c r="BG936" s="55"/>
    </row>
    <row r="937" spans="57:59" x14ac:dyDescent="0.25">
      <c r="BE937" s="55"/>
      <c r="BF937" s="55"/>
      <c r="BG937" s="55"/>
    </row>
    <row r="938" spans="57:59" x14ac:dyDescent="0.25">
      <c r="BE938" s="55"/>
      <c r="BF938" s="55"/>
      <c r="BG938" s="55"/>
    </row>
    <row r="939" spans="57:59" x14ac:dyDescent="0.25">
      <c r="BE939" s="55"/>
      <c r="BF939" s="55"/>
      <c r="BG939" s="55"/>
    </row>
    <row r="940" spans="57:59" x14ac:dyDescent="0.25">
      <c r="BE940" s="55"/>
      <c r="BF940" s="55"/>
      <c r="BG940" s="55"/>
    </row>
    <row r="941" spans="57:59" x14ac:dyDescent="0.25">
      <c r="BE941" s="55"/>
      <c r="BF941" s="55"/>
      <c r="BG941" s="55"/>
    </row>
    <row r="942" spans="57:59" x14ac:dyDescent="0.25">
      <c r="BE942" s="55"/>
      <c r="BF942" s="55"/>
      <c r="BG942" s="55"/>
    </row>
    <row r="943" spans="57:59" x14ac:dyDescent="0.25">
      <c r="BE943" s="55"/>
      <c r="BF943" s="55"/>
      <c r="BG943" s="55"/>
    </row>
    <row r="944" spans="57:59" x14ac:dyDescent="0.25">
      <c r="BE944" s="55"/>
      <c r="BF944" s="55"/>
      <c r="BG944" s="55"/>
    </row>
    <row r="945" spans="57:59" x14ac:dyDescent="0.25">
      <c r="BE945" s="55"/>
      <c r="BF945" s="55"/>
      <c r="BG945" s="55"/>
    </row>
    <row r="946" spans="57:59" x14ac:dyDescent="0.25">
      <c r="BE946" s="55"/>
      <c r="BF946" s="55"/>
      <c r="BG946" s="55"/>
    </row>
    <row r="947" spans="57:59" x14ac:dyDescent="0.25">
      <c r="BE947" s="55"/>
      <c r="BF947" s="55"/>
      <c r="BG947" s="55"/>
    </row>
    <row r="948" spans="57:59" x14ac:dyDescent="0.25">
      <c r="BE948" s="55"/>
      <c r="BF948" s="55"/>
      <c r="BG948" s="55"/>
    </row>
    <row r="949" spans="57:59" x14ac:dyDescent="0.25">
      <c r="BE949" s="55"/>
      <c r="BF949" s="55"/>
      <c r="BG949" s="55"/>
    </row>
    <row r="950" spans="57:59" x14ac:dyDescent="0.25">
      <c r="BE950" s="55"/>
      <c r="BF950" s="55"/>
      <c r="BG950" s="55"/>
    </row>
    <row r="951" spans="57:59" x14ac:dyDescent="0.25">
      <c r="BE951" s="55"/>
      <c r="BF951" s="55"/>
      <c r="BG951" s="55"/>
    </row>
    <row r="952" spans="57:59" x14ac:dyDescent="0.25">
      <c r="BE952" s="55"/>
      <c r="BF952" s="55"/>
      <c r="BG952" s="55"/>
    </row>
    <row r="953" spans="57:59" x14ac:dyDescent="0.25">
      <c r="BE953" s="55"/>
      <c r="BF953" s="55"/>
      <c r="BG953" s="55"/>
    </row>
    <row r="954" spans="57:59" x14ac:dyDescent="0.25">
      <c r="BE954" s="55"/>
      <c r="BF954" s="55"/>
      <c r="BG954" s="55"/>
    </row>
    <row r="955" spans="57:59" x14ac:dyDescent="0.25">
      <c r="BE955" s="55"/>
      <c r="BF955" s="55"/>
      <c r="BG955" s="55"/>
    </row>
    <row r="956" spans="57:59" x14ac:dyDescent="0.25">
      <c r="BE956" s="55"/>
      <c r="BF956" s="55"/>
      <c r="BG956" s="55"/>
    </row>
    <row r="957" spans="57:59" x14ac:dyDescent="0.25">
      <c r="BE957" s="55"/>
      <c r="BF957" s="55"/>
      <c r="BG957" s="55"/>
    </row>
    <row r="958" spans="57:59" x14ac:dyDescent="0.25">
      <c r="BE958" s="55"/>
      <c r="BF958" s="55"/>
      <c r="BG958" s="55"/>
    </row>
    <row r="959" spans="57:59" x14ac:dyDescent="0.25">
      <c r="BE959" s="55"/>
      <c r="BF959" s="55"/>
      <c r="BG959" s="55"/>
    </row>
    <row r="960" spans="57:59" x14ac:dyDescent="0.25">
      <c r="BE960" s="55"/>
      <c r="BF960" s="55"/>
      <c r="BG960" s="55"/>
    </row>
    <row r="961" spans="57:59" x14ac:dyDescent="0.25">
      <c r="BE961" s="55"/>
      <c r="BF961" s="55"/>
      <c r="BG961" s="55"/>
    </row>
    <row r="962" spans="57:59" x14ac:dyDescent="0.25">
      <c r="BE962" s="55"/>
      <c r="BF962" s="55"/>
      <c r="BG962" s="55"/>
    </row>
    <row r="963" spans="57:59" x14ac:dyDescent="0.25">
      <c r="BE963" s="55"/>
      <c r="BF963" s="55"/>
      <c r="BG963" s="55"/>
    </row>
    <row r="964" spans="57:59" x14ac:dyDescent="0.25">
      <c r="BE964" s="55"/>
      <c r="BF964" s="55"/>
      <c r="BG964" s="55"/>
    </row>
    <row r="965" spans="57:59" x14ac:dyDescent="0.25">
      <c r="BE965" s="55"/>
      <c r="BF965" s="55"/>
      <c r="BG965" s="55"/>
    </row>
    <row r="966" spans="57:59" x14ac:dyDescent="0.25">
      <c r="BE966" s="55"/>
      <c r="BF966" s="55"/>
      <c r="BG966" s="55"/>
    </row>
    <row r="967" spans="57:59" x14ac:dyDescent="0.25">
      <c r="BE967" s="55"/>
      <c r="BF967" s="55"/>
      <c r="BG967" s="55"/>
    </row>
    <row r="968" spans="57:59" x14ac:dyDescent="0.25">
      <c r="BE968" s="55"/>
      <c r="BF968" s="55"/>
      <c r="BG968" s="55"/>
    </row>
    <row r="969" spans="57:59" x14ac:dyDescent="0.25">
      <c r="BE969" s="55"/>
      <c r="BF969" s="55"/>
      <c r="BG969" s="55"/>
    </row>
    <row r="970" spans="57:59" x14ac:dyDescent="0.25">
      <c r="BE970" s="55"/>
      <c r="BF970" s="55"/>
      <c r="BG970" s="55"/>
    </row>
    <row r="971" spans="57:59" x14ac:dyDescent="0.25">
      <c r="BE971" s="55"/>
      <c r="BF971" s="55"/>
      <c r="BG971" s="55"/>
    </row>
    <row r="972" spans="57:59" x14ac:dyDescent="0.25">
      <c r="BE972" s="55"/>
      <c r="BF972" s="55"/>
      <c r="BG972" s="55"/>
    </row>
    <row r="973" spans="57:59" x14ac:dyDescent="0.25">
      <c r="BE973" s="55"/>
      <c r="BF973" s="55"/>
      <c r="BG973" s="55"/>
    </row>
    <row r="974" spans="57:59" x14ac:dyDescent="0.25">
      <c r="BE974" s="55"/>
      <c r="BF974" s="55"/>
      <c r="BG974" s="55"/>
    </row>
    <row r="975" spans="57:59" x14ac:dyDescent="0.25">
      <c r="BE975" s="55"/>
      <c r="BF975" s="55"/>
      <c r="BG975" s="55"/>
    </row>
    <row r="976" spans="57:59" x14ac:dyDescent="0.25">
      <c r="BE976" s="55"/>
      <c r="BF976" s="55"/>
      <c r="BG976" s="55"/>
    </row>
    <row r="977" spans="57:59" x14ac:dyDescent="0.25">
      <c r="BE977" s="55"/>
      <c r="BF977" s="55"/>
      <c r="BG977" s="55"/>
    </row>
    <row r="978" spans="57:59" x14ac:dyDescent="0.25">
      <c r="BE978" s="55"/>
      <c r="BF978" s="55"/>
      <c r="BG978" s="55"/>
    </row>
    <row r="979" spans="57:59" x14ac:dyDescent="0.25">
      <c r="BE979" s="55"/>
      <c r="BF979" s="55"/>
      <c r="BG979" s="55"/>
    </row>
    <row r="980" spans="57:59" x14ac:dyDescent="0.25">
      <c r="BE980" s="55"/>
      <c r="BF980" s="55"/>
      <c r="BG980" s="55"/>
    </row>
    <row r="981" spans="57:59" x14ac:dyDescent="0.25">
      <c r="BE981" s="55"/>
      <c r="BF981" s="55"/>
      <c r="BG981" s="55"/>
    </row>
    <row r="982" spans="57:59" x14ac:dyDescent="0.25">
      <c r="BE982" s="55"/>
      <c r="BF982" s="55"/>
      <c r="BG982" s="55"/>
    </row>
    <row r="983" spans="57:59" x14ac:dyDescent="0.25">
      <c r="BE983" s="55"/>
      <c r="BF983" s="55"/>
      <c r="BG983" s="55"/>
    </row>
    <row r="984" spans="57:59" x14ac:dyDescent="0.25">
      <c r="BE984" s="55"/>
      <c r="BF984" s="55"/>
      <c r="BG984" s="55"/>
    </row>
    <row r="985" spans="57:59" x14ac:dyDescent="0.25">
      <c r="BE985" s="55"/>
      <c r="BF985" s="55"/>
      <c r="BG985" s="55"/>
    </row>
    <row r="986" spans="57:59" x14ac:dyDescent="0.25">
      <c r="BE986" s="55"/>
      <c r="BF986" s="55"/>
      <c r="BG986" s="55"/>
    </row>
    <row r="987" spans="57:59" x14ac:dyDescent="0.25">
      <c r="BE987" s="55"/>
      <c r="BF987" s="55"/>
      <c r="BG987" s="55"/>
    </row>
    <row r="988" spans="57:59" x14ac:dyDescent="0.25">
      <c r="BE988" s="55"/>
      <c r="BF988" s="55"/>
      <c r="BG988" s="55"/>
    </row>
    <row r="989" spans="57:59" x14ac:dyDescent="0.25">
      <c r="BE989" s="55"/>
      <c r="BF989" s="55"/>
      <c r="BG989" s="55"/>
    </row>
    <row r="990" spans="57:59" x14ac:dyDescent="0.25">
      <c r="BE990" s="55"/>
      <c r="BF990" s="55"/>
      <c r="BG990" s="55"/>
    </row>
    <row r="991" spans="57:59" x14ac:dyDescent="0.25">
      <c r="BE991" s="55"/>
      <c r="BF991" s="55"/>
      <c r="BG991" s="55"/>
    </row>
    <row r="992" spans="57:59" x14ac:dyDescent="0.25">
      <c r="BE992" s="55"/>
      <c r="BF992" s="55"/>
      <c r="BG992" s="55"/>
    </row>
    <row r="993" spans="57:59" x14ac:dyDescent="0.25">
      <c r="BE993" s="55"/>
      <c r="BF993" s="55"/>
      <c r="BG993" s="55"/>
    </row>
    <row r="994" spans="57:59" x14ac:dyDescent="0.25">
      <c r="BE994" s="55"/>
      <c r="BF994" s="55"/>
      <c r="BG994" s="55"/>
    </row>
    <row r="995" spans="57:59" x14ac:dyDescent="0.25">
      <c r="BE995" s="55"/>
      <c r="BF995" s="55"/>
      <c r="BG995" s="55"/>
    </row>
    <row r="996" spans="57:59" x14ac:dyDescent="0.25">
      <c r="BE996" s="55"/>
      <c r="BF996" s="55"/>
      <c r="BG996" s="55"/>
    </row>
    <row r="997" spans="57:59" x14ac:dyDescent="0.25">
      <c r="BE997" s="55"/>
      <c r="BF997" s="55"/>
      <c r="BG997" s="55"/>
    </row>
    <row r="998" spans="57:59" x14ac:dyDescent="0.25">
      <c r="BE998" s="55"/>
      <c r="BF998" s="55"/>
      <c r="BG998" s="55"/>
    </row>
    <row r="999" spans="57:59" x14ac:dyDescent="0.25">
      <c r="BE999" s="55"/>
      <c r="BF999" s="55"/>
      <c r="BG999" s="55"/>
    </row>
    <row r="1000" spans="57:59" x14ac:dyDescent="0.25">
      <c r="BE1000" s="55"/>
      <c r="BF1000" s="55"/>
      <c r="BG1000" s="55"/>
    </row>
    <row r="1001" spans="57:59" x14ac:dyDescent="0.25">
      <c r="BE1001" s="55"/>
      <c r="BF1001" s="55"/>
      <c r="BG1001" s="55"/>
    </row>
    <row r="1002" spans="57:59" x14ac:dyDescent="0.25">
      <c r="BE1002" s="55"/>
      <c r="BF1002" s="55"/>
      <c r="BG1002" s="55"/>
    </row>
    <row r="1003" spans="57:59" x14ac:dyDescent="0.25">
      <c r="BE1003" s="55"/>
      <c r="BF1003" s="55"/>
      <c r="BG1003" s="55"/>
    </row>
    <row r="1004" spans="57:59" x14ac:dyDescent="0.25">
      <c r="BE1004" s="55"/>
      <c r="BF1004" s="55"/>
      <c r="BG1004" s="55"/>
    </row>
    <row r="1005" spans="57:59" x14ac:dyDescent="0.25">
      <c r="BE1005" s="55"/>
      <c r="BF1005" s="55"/>
      <c r="BG1005" s="55"/>
    </row>
    <row r="1006" spans="57:59" x14ac:dyDescent="0.25">
      <c r="BE1006" s="55"/>
      <c r="BF1006" s="55"/>
      <c r="BG1006" s="55"/>
    </row>
    <row r="1007" spans="57:59" x14ac:dyDescent="0.25">
      <c r="BE1007" s="55"/>
      <c r="BF1007" s="55"/>
      <c r="BG1007" s="55"/>
    </row>
    <row r="1008" spans="57:59" x14ac:dyDescent="0.25">
      <c r="BE1008" s="55"/>
      <c r="BF1008" s="55"/>
      <c r="BG1008" s="55"/>
    </row>
    <row r="1009" spans="57:59" x14ac:dyDescent="0.25">
      <c r="BE1009" s="55"/>
      <c r="BF1009" s="55"/>
      <c r="BG1009" s="55"/>
    </row>
    <row r="1010" spans="57:59" x14ac:dyDescent="0.25">
      <c r="BE1010" s="55"/>
      <c r="BF1010" s="55"/>
      <c r="BG1010" s="55"/>
    </row>
    <row r="1011" spans="57:59" x14ac:dyDescent="0.25">
      <c r="BE1011" s="55"/>
      <c r="BF1011" s="55"/>
      <c r="BG1011" s="55"/>
    </row>
    <row r="1012" spans="57:59" x14ac:dyDescent="0.25">
      <c r="BE1012" s="55"/>
      <c r="BF1012" s="55"/>
      <c r="BG1012" s="55"/>
    </row>
    <row r="1013" spans="57:59" x14ac:dyDescent="0.25">
      <c r="BE1013" s="55"/>
      <c r="BF1013" s="55"/>
      <c r="BG1013" s="55"/>
    </row>
    <row r="1014" spans="57:59" x14ac:dyDescent="0.25">
      <c r="BE1014" s="55"/>
      <c r="BF1014" s="55"/>
      <c r="BG1014" s="55"/>
    </row>
    <row r="1015" spans="57:59" x14ac:dyDescent="0.25">
      <c r="BE1015" s="55"/>
      <c r="BF1015" s="55"/>
      <c r="BG1015" s="55"/>
    </row>
    <row r="1016" spans="57:59" x14ac:dyDescent="0.25">
      <c r="BE1016" s="55"/>
      <c r="BF1016" s="55"/>
      <c r="BG1016" s="55"/>
    </row>
    <row r="1017" spans="57:59" x14ac:dyDescent="0.25">
      <c r="BE1017" s="55"/>
      <c r="BF1017" s="55"/>
      <c r="BG1017" s="55"/>
    </row>
    <row r="1018" spans="57:59" x14ac:dyDescent="0.25">
      <c r="BE1018" s="55"/>
      <c r="BF1018" s="55"/>
      <c r="BG1018" s="55"/>
    </row>
    <row r="1019" spans="57:59" x14ac:dyDescent="0.25">
      <c r="BE1019" s="55"/>
      <c r="BF1019" s="55"/>
      <c r="BG1019" s="55"/>
    </row>
    <row r="1020" spans="57:59" x14ac:dyDescent="0.25">
      <c r="BE1020" s="55"/>
      <c r="BF1020" s="55"/>
      <c r="BG1020" s="55"/>
    </row>
    <row r="1021" spans="57:59" x14ac:dyDescent="0.25">
      <c r="BE1021" s="55"/>
      <c r="BF1021" s="55"/>
      <c r="BG1021" s="55"/>
    </row>
    <row r="1022" spans="57:59" x14ac:dyDescent="0.25">
      <c r="BE1022" s="55"/>
      <c r="BF1022" s="55"/>
      <c r="BG1022" s="55"/>
    </row>
    <row r="1023" spans="57:59" x14ac:dyDescent="0.25">
      <c r="BE1023" s="55"/>
      <c r="BF1023" s="55"/>
      <c r="BG1023" s="55"/>
    </row>
    <row r="1024" spans="57:59" x14ac:dyDescent="0.25">
      <c r="BE1024" s="55"/>
      <c r="BF1024" s="55"/>
      <c r="BG1024" s="55"/>
    </row>
    <row r="1025" spans="57:59" x14ac:dyDescent="0.25">
      <c r="BE1025" s="55"/>
      <c r="BF1025" s="55"/>
      <c r="BG1025" s="55"/>
    </row>
    <row r="1026" spans="57:59" x14ac:dyDescent="0.25">
      <c r="BE1026" s="55"/>
      <c r="BF1026" s="55"/>
      <c r="BG1026" s="55"/>
    </row>
    <row r="1027" spans="57:59" x14ac:dyDescent="0.25">
      <c r="BE1027" s="55"/>
      <c r="BF1027" s="55"/>
      <c r="BG1027" s="55"/>
    </row>
    <row r="1028" spans="57:59" x14ac:dyDescent="0.25">
      <c r="BE1028" s="55"/>
      <c r="BF1028" s="55"/>
      <c r="BG1028" s="55"/>
    </row>
    <row r="1029" spans="57:59" x14ac:dyDescent="0.25">
      <c r="BE1029" s="55"/>
      <c r="BF1029" s="55"/>
      <c r="BG1029" s="55"/>
    </row>
    <row r="1030" spans="57:59" x14ac:dyDescent="0.25">
      <c r="BE1030" s="55"/>
      <c r="BF1030" s="55"/>
      <c r="BG1030" s="55"/>
    </row>
    <row r="1031" spans="57:59" x14ac:dyDescent="0.25">
      <c r="BE1031" s="55"/>
      <c r="BF1031" s="55"/>
      <c r="BG1031" s="55"/>
    </row>
    <row r="1032" spans="57:59" x14ac:dyDescent="0.25">
      <c r="BE1032" s="55"/>
      <c r="BF1032" s="55"/>
      <c r="BG1032" s="55"/>
    </row>
  </sheetData>
  <sheetProtection formatCells="0" formatRows="0" insertColumns="0" insertRows="0" insertHyperlinks="0" deleteColumns="0" deleteRows="0" sort="0" autoFilter="0" pivotTables="0"/>
  <dataValidations disablePrompts="1" count="3">
    <dataValidation type="list" allowBlank="1" showInputMessage="1" showErrorMessage="1" sqref="Z5" xr:uid="{56CAB428-336D-4AE4-A93C-06827CC827A9}">
      <formula1>$Y$5:$Y$5</formula1>
    </dataValidation>
    <dataValidation type="list" allowBlank="1" showInputMessage="1" showErrorMessage="1" sqref="B36" xr:uid="{6C706FA4-257F-40AD-B05A-18898DAFF3B9}">
      <formula1>$C$39:$F$39</formula1>
    </dataValidation>
    <dataValidation type="list" allowBlank="1" showInputMessage="1" showErrorMessage="1" sqref="C46" xr:uid="{1766A57E-CD0B-47AF-8CB5-7D4FA9B88012}">
      <formula1>$C$40:$S$40</formula1>
    </dataValidation>
  </dataValidations>
  <pageMargins left="0.7" right="0.7" top="0.75" bottom="0.75" header="0.3" footer="0.3"/>
  <ignoredErrors>
    <ignoredError sqref="B49 BK6" formula="1"/>
  </ignoredError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1">
    <tabColor theme="2" tint="-0.14999847407452621"/>
  </sheetPr>
  <dimension ref="A1:AD1939"/>
  <sheetViews>
    <sheetView topLeftCell="C1" workbookViewId="0">
      <pane ySplit="1" topLeftCell="A1214" activePane="bottomLeft" state="frozen"/>
      <selection pane="bottomLeft" activeCell="L1255" sqref="L1255"/>
    </sheetView>
  </sheetViews>
  <sheetFormatPr defaultColWidth="12.5703125" defaultRowHeight="15.75" customHeight="1" x14ac:dyDescent="0.2"/>
  <cols>
    <col min="1" max="1" width="14.28515625" style="47" customWidth="1"/>
    <col min="2" max="2" width="27.7109375" style="48" customWidth="1"/>
    <col min="3" max="3" width="15.7109375" style="48" customWidth="1"/>
    <col min="4" max="4" width="11" style="49" bestFit="1" customWidth="1"/>
    <col min="5" max="5" width="12.140625" style="50" bestFit="1" customWidth="1"/>
    <col min="6" max="6" width="16" style="50" bestFit="1" customWidth="1"/>
    <col min="7" max="7" width="13.7109375" style="51" customWidth="1"/>
    <col min="8" max="8" width="20.85546875" style="48" customWidth="1"/>
    <col min="9" max="9" width="19.140625" style="48" customWidth="1"/>
    <col min="10" max="10" width="30.28515625" style="48" customWidth="1"/>
    <col min="11" max="11" width="20" style="48" customWidth="1"/>
    <col min="12" max="12" width="92.42578125" style="37" customWidth="1"/>
    <col min="13" max="13" width="22.42578125" style="46" bestFit="1" customWidth="1"/>
    <col min="14" max="14" width="12.85546875" style="48" customWidth="1"/>
    <col min="15" max="15" width="9.7109375" style="48" customWidth="1"/>
    <col min="16" max="17" width="19.140625" style="48" customWidth="1"/>
    <col min="18" max="18" width="14.140625" style="52" customWidth="1"/>
    <col min="19" max="19" width="13.140625" style="53" customWidth="1"/>
    <col min="20" max="20" width="12.140625" style="53" customWidth="1"/>
    <col min="21" max="21" width="10.85546875" style="50" bestFit="1" customWidth="1"/>
    <col min="22" max="22" width="23.28515625" style="47" bestFit="1" customWidth="1"/>
    <col min="23" max="23" width="10.140625" style="50" bestFit="1" customWidth="1"/>
    <col min="24" max="24" width="10.85546875" style="47" bestFit="1" customWidth="1"/>
    <col min="25" max="25" width="15.85546875" style="50" bestFit="1" customWidth="1"/>
    <col min="26" max="26" width="11.28515625" style="48" customWidth="1"/>
    <col min="27" max="27" width="17.140625" style="46" bestFit="1" customWidth="1"/>
    <col min="28" max="28" width="16.42578125" style="46" bestFit="1" customWidth="1"/>
    <col min="29" max="29" width="13.7109375" style="46" bestFit="1" customWidth="1"/>
    <col min="30" max="30" width="17.85546875" style="46" bestFit="1" customWidth="1"/>
  </cols>
  <sheetData>
    <row r="1" spans="1:30" s="25" customFormat="1" ht="15.75" customHeight="1" x14ac:dyDescent="0.2">
      <c r="A1" s="19" t="s">
        <v>0</v>
      </c>
      <c r="B1" s="20" t="s">
        <v>1</v>
      </c>
      <c r="C1" s="20" t="s">
        <v>2</v>
      </c>
      <c r="D1" s="21" t="s">
        <v>3</v>
      </c>
      <c r="E1" s="22" t="s">
        <v>4</v>
      </c>
      <c r="F1" s="22" t="s">
        <v>5</v>
      </c>
      <c r="G1" s="20" t="s">
        <v>6</v>
      </c>
      <c r="H1" s="20" t="s">
        <v>7</v>
      </c>
      <c r="I1" s="20" t="s">
        <v>8</v>
      </c>
      <c r="J1" s="20" t="s">
        <v>9</v>
      </c>
      <c r="K1" s="20" t="s">
        <v>10</v>
      </c>
      <c r="L1" s="23" t="s">
        <v>11</v>
      </c>
      <c r="M1" s="23" t="s">
        <v>12</v>
      </c>
      <c r="N1" s="20" t="s">
        <v>13</v>
      </c>
      <c r="O1" s="20" t="s">
        <v>14</v>
      </c>
      <c r="P1" s="20" t="s">
        <v>15</v>
      </c>
      <c r="Q1" s="20" t="s">
        <v>16</v>
      </c>
      <c r="R1" s="19" t="s">
        <v>17</v>
      </c>
      <c r="S1" s="24" t="s">
        <v>18</v>
      </c>
      <c r="T1" s="24" t="s">
        <v>19</v>
      </c>
      <c r="U1" s="22" t="s">
        <v>20</v>
      </c>
      <c r="V1" s="19" t="s">
        <v>21</v>
      </c>
      <c r="W1" s="22" t="s">
        <v>22</v>
      </c>
      <c r="X1" s="19" t="s">
        <v>23</v>
      </c>
      <c r="Y1" s="22" t="s">
        <v>3051</v>
      </c>
      <c r="Z1" s="20" t="s">
        <v>24</v>
      </c>
      <c r="AA1" s="23" t="s">
        <v>3019</v>
      </c>
      <c r="AB1" s="23" t="s">
        <v>3050</v>
      </c>
      <c r="AC1" s="23" t="s">
        <v>3018</v>
      </c>
      <c r="AD1" s="23" t="s">
        <v>3020</v>
      </c>
    </row>
    <row r="2" spans="1:30" s="37" customFormat="1" ht="15.75" customHeight="1" x14ac:dyDescent="0.2">
      <c r="A2" s="26">
        <v>3275</v>
      </c>
      <c r="B2" s="27" t="s">
        <v>63</v>
      </c>
      <c r="C2" s="27" t="s">
        <v>48</v>
      </c>
      <c r="D2" s="28">
        <v>0.04</v>
      </c>
      <c r="E2" s="29">
        <v>449.99</v>
      </c>
      <c r="F2" s="29">
        <v>24.49</v>
      </c>
      <c r="G2" s="30" t="s">
        <v>39</v>
      </c>
      <c r="H2" s="27" t="s">
        <v>3095</v>
      </c>
      <c r="I2" s="27" t="s">
        <v>41</v>
      </c>
      <c r="J2" s="27" t="s">
        <v>64</v>
      </c>
      <c r="K2" s="27" t="s">
        <v>65</v>
      </c>
      <c r="L2" s="31" t="s">
        <v>66</v>
      </c>
      <c r="M2" s="32">
        <v>0.52</v>
      </c>
      <c r="N2" s="27" t="s">
        <v>33</v>
      </c>
      <c r="O2" s="27" t="s">
        <v>60</v>
      </c>
      <c r="P2" s="27" t="s">
        <v>67</v>
      </c>
      <c r="Q2" s="27" t="s">
        <v>68</v>
      </c>
      <c r="R2" s="33">
        <v>98273</v>
      </c>
      <c r="S2" s="34">
        <v>42005</v>
      </c>
      <c r="T2" s="34">
        <v>42009</v>
      </c>
      <c r="U2" s="29">
        <v>3576.8841000000002</v>
      </c>
      <c r="V2" s="26">
        <v>12</v>
      </c>
      <c r="W2" s="29">
        <v>5183.8900000000003</v>
      </c>
      <c r="X2" s="26">
        <v>86234</v>
      </c>
      <c r="Y2" s="35">
        <v>348.2</v>
      </c>
      <c r="Z2" s="1" t="s">
        <v>3013</v>
      </c>
      <c r="AA2" s="36">
        <v>215.99520000000001</v>
      </c>
      <c r="AB2" s="54">
        <v>2488.2672000000002</v>
      </c>
      <c r="AC2" s="54">
        <v>224.63523333333333</v>
      </c>
      <c r="AD2" s="36">
        <v>1366.5207000000005</v>
      </c>
    </row>
    <row r="3" spans="1:30" s="37" customFormat="1" ht="15.75" customHeight="1" x14ac:dyDescent="0.2">
      <c r="A3" s="26">
        <v>1425</v>
      </c>
      <c r="B3" s="27" t="s">
        <v>56</v>
      </c>
      <c r="C3" s="27" t="s">
        <v>48</v>
      </c>
      <c r="D3" s="28">
        <v>0.04</v>
      </c>
      <c r="E3" s="29">
        <v>2036.48</v>
      </c>
      <c r="F3" s="29">
        <v>14.7</v>
      </c>
      <c r="G3" s="30" t="s">
        <v>27</v>
      </c>
      <c r="H3" s="27" t="s">
        <v>3095</v>
      </c>
      <c r="I3" s="27" t="s">
        <v>41</v>
      </c>
      <c r="J3" s="27" t="s">
        <v>57</v>
      </c>
      <c r="K3" s="27" t="s">
        <v>58</v>
      </c>
      <c r="L3" s="31" t="s">
        <v>59</v>
      </c>
      <c r="M3" s="32">
        <v>0.55000000000000004</v>
      </c>
      <c r="N3" s="27" t="s">
        <v>33</v>
      </c>
      <c r="O3" s="27" t="s">
        <v>60</v>
      </c>
      <c r="P3" s="27" t="s">
        <v>61</v>
      </c>
      <c r="Q3" s="27" t="s">
        <v>62</v>
      </c>
      <c r="R3" s="33">
        <v>80525</v>
      </c>
      <c r="S3" s="34">
        <v>42005</v>
      </c>
      <c r="T3" s="34">
        <v>42010</v>
      </c>
      <c r="U3" s="29">
        <v>-4793.0039999999999</v>
      </c>
      <c r="V3" s="26">
        <v>1</v>
      </c>
      <c r="W3" s="29">
        <v>2013.67</v>
      </c>
      <c r="X3" s="26">
        <v>89450</v>
      </c>
      <c r="Y3" s="35">
        <v>45.15</v>
      </c>
      <c r="Z3" s="1" t="s">
        <v>3013</v>
      </c>
      <c r="AA3" s="36">
        <v>81.459199999999996</v>
      </c>
      <c r="AB3" s="54">
        <v>906.15149999999994</v>
      </c>
      <c r="AC3" s="54">
        <v>1107.5185000000001</v>
      </c>
      <c r="AD3" s="36">
        <v>6710.5147999999999</v>
      </c>
    </row>
    <row r="4" spans="1:30" s="37" customFormat="1" ht="15.75" customHeight="1" x14ac:dyDescent="0.2">
      <c r="A4" s="26">
        <v>1552</v>
      </c>
      <c r="B4" s="27" t="s">
        <v>25</v>
      </c>
      <c r="C4" s="27" t="s">
        <v>26</v>
      </c>
      <c r="D4" s="28">
        <v>0.01</v>
      </c>
      <c r="E4" s="29">
        <v>348.21</v>
      </c>
      <c r="F4" s="29">
        <v>40.19</v>
      </c>
      <c r="G4" s="30" t="s">
        <v>27</v>
      </c>
      <c r="H4" s="27" t="s">
        <v>3095</v>
      </c>
      <c r="I4" s="27" t="s">
        <v>29</v>
      </c>
      <c r="J4" s="27" t="s">
        <v>30</v>
      </c>
      <c r="K4" s="27" t="s">
        <v>31</v>
      </c>
      <c r="L4" s="31" t="s">
        <v>32</v>
      </c>
      <c r="M4" s="32">
        <v>0.62</v>
      </c>
      <c r="N4" s="27" t="s">
        <v>33</v>
      </c>
      <c r="O4" s="27" t="s">
        <v>34</v>
      </c>
      <c r="P4" s="27" t="s">
        <v>35</v>
      </c>
      <c r="Q4" s="27" t="s">
        <v>36</v>
      </c>
      <c r="R4" s="33">
        <v>39056</v>
      </c>
      <c r="S4" s="34">
        <v>42005</v>
      </c>
      <c r="T4" s="34">
        <v>42008</v>
      </c>
      <c r="U4" s="29">
        <v>-337.09199999999998</v>
      </c>
      <c r="V4" s="26">
        <v>2</v>
      </c>
      <c r="W4" s="29">
        <v>723.54</v>
      </c>
      <c r="X4" s="26">
        <v>87486</v>
      </c>
      <c r="Y4" s="35">
        <v>4.7699999999999996</v>
      </c>
      <c r="Z4" s="1" t="s">
        <v>3011</v>
      </c>
      <c r="AA4" s="36">
        <v>6.9641999999999999</v>
      </c>
      <c r="AB4" s="54">
        <v>274.9452</v>
      </c>
      <c r="AC4" s="54">
        <v>224.29739999999998</v>
      </c>
      <c r="AD4" s="36">
        <v>1013.4777999999999</v>
      </c>
    </row>
    <row r="5" spans="1:30" s="37" customFormat="1" ht="15.75" customHeight="1" x14ac:dyDescent="0.2">
      <c r="A5" s="26">
        <v>2124</v>
      </c>
      <c r="B5" s="27" t="s">
        <v>37</v>
      </c>
      <c r="C5" s="27" t="s">
        <v>38</v>
      </c>
      <c r="D5" s="28">
        <v>0.04</v>
      </c>
      <c r="E5" s="29">
        <v>45.19</v>
      </c>
      <c r="F5" s="29">
        <v>1.99</v>
      </c>
      <c r="G5" s="30" t="s">
        <v>39</v>
      </c>
      <c r="H5" s="27" t="s">
        <v>40</v>
      </c>
      <c r="I5" s="27" t="s">
        <v>41</v>
      </c>
      <c r="J5" s="27" t="s">
        <v>42</v>
      </c>
      <c r="K5" s="27" t="s">
        <v>43</v>
      </c>
      <c r="L5" s="31" t="s">
        <v>44</v>
      </c>
      <c r="M5" s="32">
        <v>0.55000000000000004</v>
      </c>
      <c r="N5" s="27" t="s">
        <v>33</v>
      </c>
      <c r="O5" s="27" t="s">
        <v>34</v>
      </c>
      <c r="P5" s="27" t="s">
        <v>45</v>
      </c>
      <c r="Q5" s="27" t="s">
        <v>46</v>
      </c>
      <c r="R5" s="33">
        <v>72301</v>
      </c>
      <c r="S5" s="34">
        <v>42005</v>
      </c>
      <c r="T5" s="34">
        <v>42006</v>
      </c>
      <c r="U5" s="29">
        <v>-61.194000000000003</v>
      </c>
      <c r="V5" s="26">
        <v>13</v>
      </c>
      <c r="W5" s="29">
        <v>609.09</v>
      </c>
      <c r="X5" s="26">
        <v>89665</v>
      </c>
      <c r="Y5" s="35">
        <v>2036.44</v>
      </c>
      <c r="Z5" s="1" t="s">
        <v>3011</v>
      </c>
      <c r="AA5" s="36">
        <v>23.498799999999999</v>
      </c>
      <c r="AB5" s="54">
        <v>274.09049999999996</v>
      </c>
      <c r="AC5" s="54">
        <v>25.769192307692311</v>
      </c>
      <c r="AD5" s="36">
        <v>644.79520000000002</v>
      </c>
    </row>
    <row r="6" spans="1:30" s="37" customFormat="1" ht="15.75" customHeight="1" x14ac:dyDescent="0.2">
      <c r="A6" s="26">
        <v>1910</v>
      </c>
      <c r="B6" s="27" t="s">
        <v>70</v>
      </c>
      <c r="C6" s="27" t="s">
        <v>3094</v>
      </c>
      <c r="D6" s="28">
        <v>0.02</v>
      </c>
      <c r="E6" s="29">
        <v>29.17</v>
      </c>
      <c r="F6" s="29">
        <v>6.27</v>
      </c>
      <c r="G6" s="30" t="s">
        <v>39</v>
      </c>
      <c r="H6" s="27" t="s">
        <v>71</v>
      </c>
      <c r="I6" s="27" t="s">
        <v>49</v>
      </c>
      <c r="J6" s="27" t="s">
        <v>72</v>
      </c>
      <c r="K6" s="27" t="s">
        <v>73</v>
      </c>
      <c r="L6" s="31" t="s">
        <v>74</v>
      </c>
      <c r="M6" s="32">
        <v>0.37</v>
      </c>
      <c r="N6" s="27" t="s">
        <v>33</v>
      </c>
      <c r="O6" s="27" t="s">
        <v>34</v>
      </c>
      <c r="P6" s="27" t="s">
        <v>75</v>
      </c>
      <c r="Q6" s="27" t="s">
        <v>76</v>
      </c>
      <c r="R6" s="33">
        <v>30269</v>
      </c>
      <c r="S6" s="34">
        <v>42005</v>
      </c>
      <c r="T6" s="34">
        <v>42006</v>
      </c>
      <c r="U6" s="29">
        <v>36.905999999999999</v>
      </c>
      <c r="V6" s="26">
        <v>2</v>
      </c>
      <c r="W6" s="29">
        <v>63.32</v>
      </c>
      <c r="X6" s="26">
        <v>91371</v>
      </c>
      <c r="Y6" s="35">
        <v>449.95</v>
      </c>
      <c r="Z6" s="1" t="s">
        <v>3011</v>
      </c>
      <c r="AA6" s="36">
        <v>1.1668000000000001</v>
      </c>
      <c r="AB6" s="54">
        <v>39.891600000000004</v>
      </c>
      <c r="AC6" s="54">
        <v>11.7142</v>
      </c>
      <c r="AD6" s="36">
        <v>18.977199999999996</v>
      </c>
    </row>
    <row r="7" spans="1:30" s="37" customFormat="1" ht="15.75" customHeight="1" x14ac:dyDescent="0.2">
      <c r="A7" s="26">
        <v>1418</v>
      </c>
      <c r="B7" s="27" t="s">
        <v>47</v>
      </c>
      <c r="C7" s="27" t="s">
        <v>48</v>
      </c>
      <c r="D7" s="28">
        <v>7.0000000000000007E-2</v>
      </c>
      <c r="E7" s="29">
        <v>4.84</v>
      </c>
      <c r="F7" s="29">
        <v>0.71</v>
      </c>
      <c r="G7" s="30" t="s">
        <v>39</v>
      </c>
      <c r="H7" s="27" t="s">
        <v>3095</v>
      </c>
      <c r="I7" s="27" t="s">
        <v>49</v>
      </c>
      <c r="J7" s="27" t="s">
        <v>50</v>
      </c>
      <c r="K7" s="27" t="s">
        <v>51</v>
      </c>
      <c r="L7" s="31" t="s">
        <v>52</v>
      </c>
      <c r="M7" s="32">
        <v>0.52</v>
      </c>
      <c r="N7" s="27" t="s">
        <v>33</v>
      </c>
      <c r="O7" s="27" t="s">
        <v>53</v>
      </c>
      <c r="P7" s="27" t="s">
        <v>54</v>
      </c>
      <c r="Q7" s="27" t="s">
        <v>55</v>
      </c>
      <c r="R7" s="33">
        <v>46901</v>
      </c>
      <c r="S7" s="34">
        <v>42005</v>
      </c>
      <c r="T7" s="34">
        <v>42007</v>
      </c>
      <c r="U7" s="29">
        <v>25.240200000000002</v>
      </c>
      <c r="V7" s="26">
        <v>8</v>
      </c>
      <c r="W7" s="29">
        <v>36.58</v>
      </c>
      <c r="X7" s="26">
        <v>90539</v>
      </c>
      <c r="Y7" s="35">
        <v>5.83</v>
      </c>
      <c r="Z7" s="1" t="s">
        <v>3012</v>
      </c>
      <c r="AA7" s="36">
        <v>2.7104000000000004</v>
      </c>
      <c r="AB7" s="54">
        <v>17.558399999999999</v>
      </c>
      <c r="AC7" s="54">
        <v>2.3776999999999999</v>
      </c>
      <c r="AD7" s="36">
        <v>7.919399999999996</v>
      </c>
    </row>
    <row r="8" spans="1:30" s="37" customFormat="1" ht="15.75" customHeight="1" x14ac:dyDescent="0.2">
      <c r="A8" s="26">
        <v>3275</v>
      </c>
      <c r="B8" s="27" t="s">
        <v>63</v>
      </c>
      <c r="C8" s="27" t="s">
        <v>48</v>
      </c>
      <c r="D8" s="28">
        <v>0.01</v>
      </c>
      <c r="E8" s="29">
        <v>5.84</v>
      </c>
      <c r="F8" s="29">
        <v>1.2</v>
      </c>
      <c r="G8" s="30" t="s">
        <v>39</v>
      </c>
      <c r="H8" s="27" t="s">
        <v>3095</v>
      </c>
      <c r="I8" s="27" t="s">
        <v>49</v>
      </c>
      <c r="J8" s="27" t="s">
        <v>50</v>
      </c>
      <c r="K8" s="27" t="s">
        <v>51</v>
      </c>
      <c r="L8" s="31" t="s">
        <v>69</v>
      </c>
      <c r="M8" s="32">
        <v>0.55000000000000004</v>
      </c>
      <c r="N8" s="27" t="s">
        <v>33</v>
      </c>
      <c r="O8" s="27" t="s">
        <v>60</v>
      </c>
      <c r="P8" s="27" t="s">
        <v>67</v>
      </c>
      <c r="Q8" s="27" t="s">
        <v>68</v>
      </c>
      <c r="R8" s="33">
        <v>98273</v>
      </c>
      <c r="S8" s="34">
        <v>42005</v>
      </c>
      <c r="T8" s="34">
        <v>42014</v>
      </c>
      <c r="U8" s="29">
        <v>20.38</v>
      </c>
      <c r="V8" s="26">
        <v>6</v>
      </c>
      <c r="W8" s="29">
        <v>36.090000000000003</v>
      </c>
      <c r="X8" s="26">
        <v>86234</v>
      </c>
      <c r="Y8" s="35">
        <v>29.150000000000002</v>
      </c>
      <c r="Z8" s="1" t="s">
        <v>3013</v>
      </c>
      <c r="AA8" s="36">
        <v>0.35039999999999999</v>
      </c>
      <c r="AB8" s="54">
        <v>16.240500000000001</v>
      </c>
      <c r="AC8" s="54">
        <v>3.3082500000000006</v>
      </c>
      <c r="AD8" s="36">
        <v>14.159600000000005</v>
      </c>
    </row>
    <row r="9" spans="1:30" s="37" customFormat="1" ht="15.75" customHeight="1" x14ac:dyDescent="0.2">
      <c r="A9" s="26">
        <v>349</v>
      </c>
      <c r="B9" s="27" t="s">
        <v>125</v>
      </c>
      <c r="C9" s="27" t="s">
        <v>116</v>
      </c>
      <c r="D9" s="28">
        <v>0.04</v>
      </c>
      <c r="E9" s="29">
        <v>99.23</v>
      </c>
      <c r="F9" s="29">
        <v>8.99</v>
      </c>
      <c r="G9" s="30" t="s">
        <v>39</v>
      </c>
      <c r="H9" s="27" t="s">
        <v>71</v>
      </c>
      <c r="I9" s="27" t="s">
        <v>29</v>
      </c>
      <c r="J9" s="27" t="s">
        <v>126</v>
      </c>
      <c r="K9" s="27" t="s">
        <v>43</v>
      </c>
      <c r="L9" s="31" t="s">
        <v>127</v>
      </c>
      <c r="M9" s="32">
        <v>0.35</v>
      </c>
      <c r="N9" s="27" t="s">
        <v>33</v>
      </c>
      <c r="O9" s="27" t="s">
        <v>34</v>
      </c>
      <c r="P9" s="27" t="s">
        <v>123</v>
      </c>
      <c r="Q9" s="27" t="s">
        <v>128</v>
      </c>
      <c r="R9" s="33">
        <v>33132</v>
      </c>
      <c r="S9" s="34">
        <v>42006</v>
      </c>
      <c r="T9" s="34">
        <v>42008</v>
      </c>
      <c r="U9" s="29">
        <v>1916.6757</v>
      </c>
      <c r="V9" s="26">
        <v>54</v>
      </c>
      <c r="W9" s="29">
        <v>5555.6</v>
      </c>
      <c r="X9" s="26">
        <v>11527</v>
      </c>
      <c r="Y9" s="35">
        <v>161.49</v>
      </c>
      <c r="Z9" s="1" t="s">
        <v>3011</v>
      </c>
      <c r="AA9" s="36">
        <v>214.33680000000001</v>
      </c>
      <c r="AB9" s="54">
        <v>3611.1400000000003</v>
      </c>
      <c r="AC9" s="54">
        <v>36.008518518518521</v>
      </c>
      <c r="AD9" s="36">
        <v>3415.5975000000003</v>
      </c>
    </row>
    <row r="10" spans="1:30" s="37" customFormat="1" ht="15.75" customHeight="1" x14ac:dyDescent="0.2">
      <c r="A10" s="26">
        <v>68</v>
      </c>
      <c r="B10" s="27" t="s">
        <v>108</v>
      </c>
      <c r="C10" s="27" t="s">
        <v>48</v>
      </c>
      <c r="D10" s="28">
        <v>0.05</v>
      </c>
      <c r="E10" s="29">
        <v>155.06</v>
      </c>
      <c r="F10" s="29">
        <v>7.07</v>
      </c>
      <c r="G10" s="30" t="s">
        <v>39</v>
      </c>
      <c r="H10" s="27" t="s">
        <v>94</v>
      </c>
      <c r="I10" s="27" t="s">
        <v>49</v>
      </c>
      <c r="J10" s="27" t="s">
        <v>78</v>
      </c>
      <c r="K10" s="27" t="s">
        <v>73</v>
      </c>
      <c r="L10" s="31" t="s">
        <v>106</v>
      </c>
      <c r="M10" s="32">
        <v>0.59</v>
      </c>
      <c r="N10" s="27" t="s">
        <v>33</v>
      </c>
      <c r="O10" s="27" t="s">
        <v>111</v>
      </c>
      <c r="P10" s="27" t="s">
        <v>112</v>
      </c>
      <c r="Q10" s="27" t="s">
        <v>113</v>
      </c>
      <c r="R10" s="33">
        <v>10177</v>
      </c>
      <c r="S10" s="34">
        <v>42006</v>
      </c>
      <c r="T10" s="34">
        <v>42013</v>
      </c>
      <c r="U10" s="29">
        <v>575.39599999999996</v>
      </c>
      <c r="V10" s="26">
        <v>32</v>
      </c>
      <c r="W10" s="29">
        <v>4902.38</v>
      </c>
      <c r="X10" s="26">
        <v>37537</v>
      </c>
      <c r="Y10" s="35">
        <v>40.919999999999995</v>
      </c>
      <c r="Z10" s="1" t="s">
        <v>3014</v>
      </c>
      <c r="AA10" s="36">
        <v>248.096</v>
      </c>
      <c r="AB10" s="54">
        <v>2009.9758000000002</v>
      </c>
      <c r="AC10" s="54">
        <v>90.387631249999998</v>
      </c>
      <c r="AD10" s="36">
        <v>4071.8180000000002</v>
      </c>
    </row>
    <row r="11" spans="1:30" s="37" customFormat="1" ht="15.75" customHeight="1" x14ac:dyDescent="0.2">
      <c r="A11" s="26">
        <v>68</v>
      </c>
      <c r="B11" s="27" t="s">
        <v>108</v>
      </c>
      <c r="C11" s="27" t="s">
        <v>48</v>
      </c>
      <c r="D11" s="28">
        <v>7.0000000000000007E-2</v>
      </c>
      <c r="E11" s="29">
        <v>100.98</v>
      </c>
      <c r="F11" s="29">
        <v>45</v>
      </c>
      <c r="G11" s="30" t="s">
        <v>27</v>
      </c>
      <c r="H11" s="27" t="s">
        <v>94</v>
      </c>
      <c r="I11" s="27" t="s">
        <v>29</v>
      </c>
      <c r="J11" s="27" t="s">
        <v>109</v>
      </c>
      <c r="K11" s="27" t="s">
        <v>58</v>
      </c>
      <c r="L11" s="31" t="s">
        <v>114</v>
      </c>
      <c r="M11" s="32">
        <v>0.69</v>
      </c>
      <c r="N11" s="27" t="s">
        <v>33</v>
      </c>
      <c r="O11" s="27" t="s">
        <v>111</v>
      </c>
      <c r="P11" s="27" t="s">
        <v>112</v>
      </c>
      <c r="Q11" s="27" t="s">
        <v>113</v>
      </c>
      <c r="R11" s="33">
        <v>10177</v>
      </c>
      <c r="S11" s="34">
        <v>42006</v>
      </c>
      <c r="T11" s="34">
        <v>42008</v>
      </c>
      <c r="U11" s="29">
        <v>-1679.76</v>
      </c>
      <c r="V11" s="26">
        <v>43</v>
      </c>
      <c r="W11" s="29">
        <v>4083.19</v>
      </c>
      <c r="X11" s="26">
        <v>37537</v>
      </c>
      <c r="Y11" s="35">
        <v>9.02</v>
      </c>
      <c r="Z11" s="1" t="s">
        <v>3014</v>
      </c>
      <c r="AA11" s="36">
        <v>303.94980000000004</v>
      </c>
      <c r="AB11" s="54">
        <v>1265.7889000000002</v>
      </c>
      <c r="AC11" s="54">
        <v>65.520955813953478</v>
      </c>
      <c r="AD11" s="36">
        <v>5414.0002000000004</v>
      </c>
    </row>
    <row r="12" spans="1:30" s="37" customFormat="1" ht="15.75" customHeight="1" x14ac:dyDescent="0.2">
      <c r="A12" s="26">
        <v>1136</v>
      </c>
      <c r="B12" s="27" t="s">
        <v>101</v>
      </c>
      <c r="C12" s="27" t="s">
        <v>38</v>
      </c>
      <c r="D12" s="28">
        <v>0.09</v>
      </c>
      <c r="E12" s="29">
        <v>270.97000000000003</v>
      </c>
      <c r="F12" s="29">
        <v>28.06</v>
      </c>
      <c r="G12" s="30" t="s">
        <v>27</v>
      </c>
      <c r="H12" s="27" t="s">
        <v>40</v>
      </c>
      <c r="I12" s="27" t="s">
        <v>41</v>
      </c>
      <c r="J12" s="27" t="s">
        <v>57</v>
      </c>
      <c r="K12" s="27" t="s">
        <v>58</v>
      </c>
      <c r="L12" s="31" t="s">
        <v>102</v>
      </c>
      <c r="M12" s="32">
        <v>0.56000000000000005</v>
      </c>
      <c r="N12" s="27" t="s">
        <v>33</v>
      </c>
      <c r="O12" s="27" t="s">
        <v>53</v>
      </c>
      <c r="P12" s="27" t="s">
        <v>103</v>
      </c>
      <c r="Q12" s="27" t="s">
        <v>104</v>
      </c>
      <c r="R12" s="33">
        <v>60188</v>
      </c>
      <c r="S12" s="34">
        <v>42006</v>
      </c>
      <c r="T12" s="34">
        <v>42008</v>
      </c>
      <c r="U12" s="29">
        <v>2660.1432</v>
      </c>
      <c r="V12" s="26">
        <v>15</v>
      </c>
      <c r="W12" s="29">
        <v>3855.28</v>
      </c>
      <c r="X12" s="26">
        <v>87940</v>
      </c>
      <c r="Y12" s="35">
        <v>14.959999999999999</v>
      </c>
      <c r="Z12" s="1" t="s">
        <v>3012</v>
      </c>
      <c r="AA12" s="36">
        <v>365.80950000000007</v>
      </c>
      <c r="AB12" s="54">
        <v>1696.3231999999998</v>
      </c>
      <c r="AC12" s="54">
        <v>143.93045333333333</v>
      </c>
      <c r="AD12" s="36">
        <v>801.26729999999998</v>
      </c>
    </row>
    <row r="13" spans="1:30" s="37" customFormat="1" ht="15.75" customHeight="1" x14ac:dyDescent="0.2">
      <c r="A13" s="26">
        <v>351</v>
      </c>
      <c r="B13" s="27" t="s">
        <v>129</v>
      </c>
      <c r="C13" s="27" t="s">
        <v>116</v>
      </c>
      <c r="D13" s="28">
        <v>0.04</v>
      </c>
      <c r="E13" s="29">
        <v>99.23</v>
      </c>
      <c r="F13" s="29">
        <v>8.99</v>
      </c>
      <c r="G13" s="30" t="s">
        <v>39</v>
      </c>
      <c r="H13" s="27" t="s">
        <v>71</v>
      </c>
      <c r="I13" s="27" t="s">
        <v>29</v>
      </c>
      <c r="J13" s="27" t="s">
        <v>126</v>
      </c>
      <c r="K13" s="27" t="s">
        <v>43</v>
      </c>
      <c r="L13" s="31" t="s">
        <v>127</v>
      </c>
      <c r="M13" s="32">
        <v>0.35</v>
      </c>
      <c r="N13" s="27" t="s">
        <v>33</v>
      </c>
      <c r="O13" s="27" t="s">
        <v>111</v>
      </c>
      <c r="P13" s="27" t="s">
        <v>112</v>
      </c>
      <c r="Q13" s="27" t="s">
        <v>130</v>
      </c>
      <c r="R13" s="33">
        <v>13601</v>
      </c>
      <c r="S13" s="34">
        <v>42006</v>
      </c>
      <c r="T13" s="34">
        <v>42008</v>
      </c>
      <c r="U13" s="29">
        <v>993.83460000000002</v>
      </c>
      <c r="V13" s="26">
        <v>14</v>
      </c>
      <c r="W13" s="29">
        <v>1440.34</v>
      </c>
      <c r="X13" s="26">
        <v>88686</v>
      </c>
      <c r="Y13" s="35">
        <v>60.9</v>
      </c>
      <c r="Z13" s="1" t="s">
        <v>3014</v>
      </c>
      <c r="AA13" s="36">
        <v>55.568800000000003</v>
      </c>
      <c r="AB13" s="54">
        <v>936.221</v>
      </c>
      <c r="AC13" s="54">
        <v>36.008499999999998</v>
      </c>
      <c r="AD13" s="36">
        <v>381.94659999999999</v>
      </c>
    </row>
    <row r="14" spans="1:30" s="37" customFormat="1" ht="15.75" customHeight="1" x14ac:dyDescent="0.2">
      <c r="A14" s="26">
        <v>68</v>
      </c>
      <c r="B14" s="27" t="s">
        <v>108</v>
      </c>
      <c r="C14" s="27" t="s">
        <v>48</v>
      </c>
      <c r="D14" s="28">
        <v>0</v>
      </c>
      <c r="E14" s="29">
        <v>291.73</v>
      </c>
      <c r="F14" s="29">
        <v>48.8</v>
      </c>
      <c r="G14" s="30" t="s">
        <v>27</v>
      </c>
      <c r="H14" s="27" t="s">
        <v>94</v>
      </c>
      <c r="I14" s="27" t="s">
        <v>29</v>
      </c>
      <c r="J14" s="27" t="s">
        <v>109</v>
      </c>
      <c r="K14" s="27" t="s">
        <v>58</v>
      </c>
      <c r="L14" s="31" t="s">
        <v>110</v>
      </c>
      <c r="M14" s="32">
        <v>0.56000000000000005</v>
      </c>
      <c r="N14" s="27" t="s">
        <v>33</v>
      </c>
      <c r="O14" s="27" t="s">
        <v>111</v>
      </c>
      <c r="P14" s="27" t="s">
        <v>112</v>
      </c>
      <c r="Q14" s="27" t="s">
        <v>113</v>
      </c>
      <c r="R14" s="33">
        <v>10177</v>
      </c>
      <c r="S14" s="34">
        <v>42006</v>
      </c>
      <c r="T14" s="34">
        <v>42006</v>
      </c>
      <c r="U14" s="29">
        <v>-308.928</v>
      </c>
      <c r="V14" s="26">
        <v>4</v>
      </c>
      <c r="W14" s="29">
        <v>1239.06</v>
      </c>
      <c r="X14" s="26">
        <v>37537</v>
      </c>
      <c r="Y14" s="35">
        <v>40.919999999999995</v>
      </c>
      <c r="Z14" s="1" t="s">
        <v>3014</v>
      </c>
      <c r="AA14" s="36">
        <v>0</v>
      </c>
      <c r="AB14" s="54">
        <v>545.18639999999994</v>
      </c>
      <c r="AC14" s="54">
        <v>173.4684</v>
      </c>
      <c r="AD14" s="36">
        <v>1499.1879999999999</v>
      </c>
    </row>
    <row r="15" spans="1:30" s="37" customFormat="1" ht="15.75" customHeight="1" x14ac:dyDescent="0.2">
      <c r="A15" s="26">
        <v>67</v>
      </c>
      <c r="B15" s="27" t="s">
        <v>105</v>
      </c>
      <c r="C15" s="27" t="s">
        <v>48</v>
      </c>
      <c r="D15" s="28">
        <v>0.05</v>
      </c>
      <c r="E15" s="29">
        <v>155.06</v>
      </c>
      <c r="F15" s="29">
        <v>7.07</v>
      </c>
      <c r="G15" s="30" t="s">
        <v>39</v>
      </c>
      <c r="H15" s="27" t="s">
        <v>94</v>
      </c>
      <c r="I15" s="27" t="s">
        <v>49</v>
      </c>
      <c r="J15" s="27" t="s">
        <v>78</v>
      </c>
      <c r="K15" s="27" t="s">
        <v>73</v>
      </c>
      <c r="L15" s="31" t="s">
        <v>106</v>
      </c>
      <c r="M15" s="32">
        <v>0.59</v>
      </c>
      <c r="N15" s="27" t="s">
        <v>33</v>
      </c>
      <c r="O15" s="27" t="s">
        <v>60</v>
      </c>
      <c r="P15" s="27" t="s">
        <v>90</v>
      </c>
      <c r="Q15" s="27" t="s">
        <v>107</v>
      </c>
      <c r="R15" s="33">
        <v>94559</v>
      </c>
      <c r="S15" s="34">
        <v>42006</v>
      </c>
      <c r="T15" s="34">
        <v>42013</v>
      </c>
      <c r="U15" s="29">
        <v>845.66399999999999</v>
      </c>
      <c r="V15" s="26">
        <v>8</v>
      </c>
      <c r="W15" s="29">
        <v>1225.5999999999999</v>
      </c>
      <c r="X15" s="26">
        <v>87946</v>
      </c>
      <c r="Y15" s="35">
        <v>270.88000000000005</v>
      </c>
      <c r="Z15" s="1" t="s">
        <v>3013</v>
      </c>
      <c r="AA15" s="36">
        <v>62.024000000000001</v>
      </c>
      <c r="AB15" s="54">
        <v>502.49599999999998</v>
      </c>
      <c r="AC15" s="54">
        <v>90.387999999999991</v>
      </c>
      <c r="AD15" s="36">
        <v>310.84199999999987</v>
      </c>
    </row>
    <row r="16" spans="1:30" s="37" customFormat="1" ht="15.75" customHeight="1" x14ac:dyDescent="0.2">
      <c r="A16" s="26">
        <v>164</v>
      </c>
      <c r="B16" s="27" t="s">
        <v>115</v>
      </c>
      <c r="C16" s="27" t="s">
        <v>116</v>
      </c>
      <c r="D16" s="28">
        <v>0.05</v>
      </c>
      <c r="E16" s="29">
        <v>100.98</v>
      </c>
      <c r="F16" s="29">
        <v>35.840000000000003</v>
      </c>
      <c r="G16" s="30" t="s">
        <v>27</v>
      </c>
      <c r="H16" s="27" t="s">
        <v>71</v>
      </c>
      <c r="I16" s="27" t="s">
        <v>29</v>
      </c>
      <c r="J16" s="27" t="s">
        <v>117</v>
      </c>
      <c r="K16" s="27" t="s">
        <v>31</v>
      </c>
      <c r="L16" s="31" t="s">
        <v>118</v>
      </c>
      <c r="M16" s="32">
        <v>0.62</v>
      </c>
      <c r="N16" s="27" t="s">
        <v>33</v>
      </c>
      <c r="O16" s="27" t="s">
        <v>60</v>
      </c>
      <c r="P16" s="27" t="s">
        <v>67</v>
      </c>
      <c r="Q16" s="27" t="s">
        <v>119</v>
      </c>
      <c r="R16" s="33">
        <v>99352</v>
      </c>
      <c r="S16" s="34">
        <v>42006</v>
      </c>
      <c r="T16" s="34">
        <v>42008</v>
      </c>
      <c r="U16" s="29">
        <v>-111.4</v>
      </c>
      <c r="V16" s="26">
        <v>7</v>
      </c>
      <c r="W16" s="29">
        <v>715.55</v>
      </c>
      <c r="X16" s="26">
        <v>89961</v>
      </c>
      <c r="Y16" s="35">
        <v>155.01</v>
      </c>
      <c r="Z16" s="1" t="s">
        <v>3013</v>
      </c>
      <c r="AA16" s="36">
        <v>35.343000000000004</v>
      </c>
      <c r="AB16" s="54">
        <v>271.90899999999999</v>
      </c>
      <c r="AC16" s="54">
        <v>63.377285714285705</v>
      </c>
      <c r="AD16" s="36">
        <v>755.76699999999994</v>
      </c>
    </row>
    <row r="17" spans="1:30" s="37" customFormat="1" ht="15.75" customHeight="1" x14ac:dyDescent="0.2">
      <c r="A17" s="26">
        <v>674</v>
      </c>
      <c r="B17" s="27" t="s">
        <v>77</v>
      </c>
      <c r="C17" s="27" t="s">
        <v>26</v>
      </c>
      <c r="D17" s="28">
        <v>0.06</v>
      </c>
      <c r="E17" s="29">
        <v>161.55000000000001</v>
      </c>
      <c r="F17" s="29">
        <v>19.989999999999998</v>
      </c>
      <c r="G17" s="30" t="s">
        <v>39</v>
      </c>
      <c r="H17" s="27" t="s">
        <v>3095</v>
      </c>
      <c r="I17" s="27" t="s">
        <v>49</v>
      </c>
      <c r="J17" s="27" t="s">
        <v>78</v>
      </c>
      <c r="K17" s="27" t="s">
        <v>73</v>
      </c>
      <c r="L17" s="31" t="s">
        <v>79</v>
      </c>
      <c r="M17" s="32">
        <v>0.66</v>
      </c>
      <c r="N17" s="27" t="s">
        <v>33</v>
      </c>
      <c r="O17" s="27" t="s">
        <v>53</v>
      </c>
      <c r="P17" s="27" t="s">
        <v>80</v>
      </c>
      <c r="Q17" s="27" t="s">
        <v>81</v>
      </c>
      <c r="R17" s="33">
        <v>64133</v>
      </c>
      <c r="S17" s="34">
        <v>42006</v>
      </c>
      <c r="T17" s="34">
        <v>42007</v>
      </c>
      <c r="U17" s="29">
        <v>-7.58</v>
      </c>
      <c r="V17" s="26">
        <v>3</v>
      </c>
      <c r="W17" s="29">
        <v>485.01</v>
      </c>
      <c r="X17" s="26">
        <v>88174</v>
      </c>
      <c r="Y17" s="35">
        <v>291.73</v>
      </c>
      <c r="Z17" s="1" t="s">
        <v>3012</v>
      </c>
      <c r="AA17" s="36">
        <v>29.079000000000001</v>
      </c>
      <c r="AB17" s="54">
        <v>164.90339999999998</v>
      </c>
      <c r="AC17" s="54">
        <v>106.70219999999999</v>
      </c>
      <c r="AD17" s="36">
        <v>443.52100000000002</v>
      </c>
    </row>
    <row r="18" spans="1:30" s="37" customFormat="1" ht="15.75" customHeight="1" x14ac:dyDescent="0.2">
      <c r="A18" s="26">
        <v>2256</v>
      </c>
      <c r="B18" s="27" t="s">
        <v>93</v>
      </c>
      <c r="C18" s="27" t="s">
        <v>26</v>
      </c>
      <c r="D18" s="28">
        <v>7.0000000000000007E-2</v>
      </c>
      <c r="E18" s="29">
        <v>60.97</v>
      </c>
      <c r="F18" s="29">
        <v>4.5</v>
      </c>
      <c r="G18" s="30" t="s">
        <v>87</v>
      </c>
      <c r="H18" s="27" t="s">
        <v>94</v>
      </c>
      <c r="I18" s="27" t="s">
        <v>49</v>
      </c>
      <c r="J18" s="27" t="s">
        <v>95</v>
      </c>
      <c r="K18" s="27" t="s">
        <v>73</v>
      </c>
      <c r="L18" s="31" t="s">
        <v>96</v>
      </c>
      <c r="M18" s="32">
        <v>0.56000000000000005</v>
      </c>
      <c r="N18" s="27" t="s">
        <v>33</v>
      </c>
      <c r="O18" s="27" t="s">
        <v>34</v>
      </c>
      <c r="P18" s="27" t="s">
        <v>97</v>
      </c>
      <c r="Q18" s="27" t="s">
        <v>98</v>
      </c>
      <c r="R18" s="33">
        <v>28560</v>
      </c>
      <c r="S18" s="34">
        <v>42006</v>
      </c>
      <c r="T18" s="34">
        <v>42008</v>
      </c>
      <c r="U18" s="29">
        <v>-42.588000000000001</v>
      </c>
      <c r="V18" s="26">
        <v>6</v>
      </c>
      <c r="W18" s="29">
        <v>361.72</v>
      </c>
      <c r="X18" s="26">
        <v>87963</v>
      </c>
      <c r="Y18" s="35">
        <v>100.91000000000001</v>
      </c>
      <c r="Z18" s="1" t="s">
        <v>3011</v>
      </c>
      <c r="AA18" s="36">
        <v>25.607399999999998</v>
      </c>
      <c r="AB18" s="54">
        <v>159.1568</v>
      </c>
      <c r="AC18" s="54">
        <v>33.760533333333335</v>
      </c>
      <c r="AD18" s="36">
        <v>374.20060000000001</v>
      </c>
    </row>
    <row r="19" spans="1:30" s="37" customFormat="1" ht="15.75" customHeight="1" x14ac:dyDescent="0.2">
      <c r="A19" s="26">
        <v>1155</v>
      </c>
      <c r="B19" s="27" t="s">
        <v>86</v>
      </c>
      <c r="C19" s="27" t="s">
        <v>26</v>
      </c>
      <c r="D19" s="28">
        <v>0.08</v>
      </c>
      <c r="E19" s="29">
        <v>15.04</v>
      </c>
      <c r="F19" s="29">
        <v>1.97</v>
      </c>
      <c r="G19" s="30" t="s">
        <v>39</v>
      </c>
      <c r="H19" s="27" t="s">
        <v>40</v>
      </c>
      <c r="I19" s="27" t="s">
        <v>49</v>
      </c>
      <c r="J19" s="27" t="s">
        <v>88</v>
      </c>
      <c r="K19" s="27" t="s">
        <v>51</v>
      </c>
      <c r="L19" s="31" t="s">
        <v>92</v>
      </c>
      <c r="M19" s="32">
        <v>0.39</v>
      </c>
      <c r="N19" s="27" t="s">
        <v>33</v>
      </c>
      <c r="O19" s="27" t="s">
        <v>60</v>
      </c>
      <c r="P19" s="27" t="s">
        <v>90</v>
      </c>
      <c r="Q19" s="27" t="s">
        <v>91</v>
      </c>
      <c r="R19" s="33">
        <v>90640</v>
      </c>
      <c r="S19" s="34">
        <v>42006</v>
      </c>
      <c r="T19" s="34">
        <v>42006</v>
      </c>
      <c r="U19" s="29">
        <v>108.5163</v>
      </c>
      <c r="V19" s="26">
        <v>11</v>
      </c>
      <c r="W19" s="29">
        <v>157.27000000000001</v>
      </c>
      <c r="X19" s="26">
        <v>90853</v>
      </c>
      <c r="Y19" s="35">
        <v>155.01</v>
      </c>
      <c r="Z19" s="1" t="s">
        <v>3013</v>
      </c>
      <c r="AA19" s="36">
        <v>13.235200000000001</v>
      </c>
      <c r="AB19" s="54">
        <v>95.934700000000007</v>
      </c>
      <c r="AC19" s="54">
        <v>5.5759363636363641</v>
      </c>
      <c r="AD19" s="36">
        <v>33.548500000000004</v>
      </c>
    </row>
    <row r="20" spans="1:30" s="37" customFormat="1" ht="15.75" customHeight="1" x14ac:dyDescent="0.2">
      <c r="A20" s="26">
        <v>949</v>
      </c>
      <c r="B20" s="27" t="s">
        <v>99</v>
      </c>
      <c r="C20" s="27" t="s">
        <v>26</v>
      </c>
      <c r="D20" s="28">
        <v>0.06</v>
      </c>
      <c r="E20" s="29">
        <v>40.98</v>
      </c>
      <c r="F20" s="29">
        <v>2.99</v>
      </c>
      <c r="G20" s="30" t="s">
        <v>39</v>
      </c>
      <c r="H20" s="27" t="s">
        <v>40</v>
      </c>
      <c r="I20" s="27" t="s">
        <v>49</v>
      </c>
      <c r="J20" s="27" t="s">
        <v>72</v>
      </c>
      <c r="K20" s="27" t="s">
        <v>73</v>
      </c>
      <c r="L20" s="31" t="s">
        <v>83</v>
      </c>
      <c r="M20" s="32">
        <v>0.36</v>
      </c>
      <c r="N20" s="27" t="s">
        <v>33</v>
      </c>
      <c r="O20" s="27" t="s">
        <v>60</v>
      </c>
      <c r="P20" s="27" t="s">
        <v>90</v>
      </c>
      <c r="Q20" s="27" t="s">
        <v>100</v>
      </c>
      <c r="R20" s="33">
        <v>90049</v>
      </c>
      <c r="S20" s="34">
        <v>42006</v>
      </c>
      <c r="T20" s="34">
        <v>42008</v>
      </c>
      <c r="U20" s="29">
        <v>-19.0992</v>
      </c>
      <c r="V20" s="26">
        <v>3</v>
      </c>
      <c r="W20" s="29">
        <v>124.81</v>
      </c>
      <c r="X20" s="26">
        <v>9285</v>
      </c>
      <c r="Y20" s="35">
        <v>100.93</v>
      </c>
      <c r="Z20" s="1" t="s">
        <v>3013</v>
      </c>
      <c r="AA20" s="36">
        <v>7.3763999999999985</v>
      </c>
      <c r="AB20" s="54">
        <v>79.878399999999999</v>
      </c>
      <c r="AC20" s="54">
        <v>14.977199999999998</v>
      </c>
      <c r="AD20" s="36">
        <v>133.5428</v>
      </c>
    </row>
    <row r="21" spans="1:30" s="37" customFormat="1" ht="15.75" customHeight="1" x14ac:dyDescent="0.2">
      <c r="A21" s="26">
        <v>258</v>
      </c>
      <c r="B21" s="27" t="s">
        <v>121</v>
      </c>
      <c r="C21" s="27" t="s">
        <v>116</v>
      </c>
      <c r="D21" s="28">
        <v>0.05</v>
      </c>
      <c r="E21" s="29">
        <v>17.48</v>
      </c>
      <c r="F21" s="29">
        <v>1.99</v>
      </c>
      <c r="G21" s="30" t="s">
        <v>39</v>
      </c>
      <c r="H21" s="27" t="s">
        <v>40</v>
      </c>
      <c r="I21" s="27" t="s">
        <v>41</v>
      </c>
      <c r="J21" s="27" t="s">
        <v>42</v>
      </c>
      <c r="K21" s="27" t="s">
        <v>43</v>
      </c>
      <c r="L21" s="31" t="s">
        <v>122</v>
      </c>
      <c r="M21" s="32">
        <v>0.45</v>
      </c>
      <c r="N21" s="27" t="s">
        <v>33</v>
      </c>
      <c r="O21" s="27" t="s">
        <v>34</v>
      </c>
      <c r="P21" s="27" t="s">
        <v>123</v>
      </c>
      <c r="Q21" s="27" t="s">
        <v>124</v>
      </c>
      <c r="R21" s="33">
        <v>33772</v>
      </c>
      <c r="S21" s="34">
        <v>42006</v>
      </c>
      <c r="T21" s="34">
        <v>42008</v>
      </c>
      <c r="U21" s="29">
        <v>-127.008</v>
      </c>
      <c r="V21" s="26">
        <v>3</v>
      </c>
      <c r="W21" s="29">
        <v>52.47</v>
      </c>
      <c r="X21" s="26">
        <v>85858</v>
      </c>
      <c r="Y21" s="35">
        <v>4.9600000000000009</v>
      </c>
      <c r="Z21" s="1" t="s">
        <v>3011</v>
      </c>
      <c r="AA21" s="36">
        <v>2.6220000000000003</v>
      </c>
      <c r="AB21" s="54">
        <v>28.858500000000003</v>
      </c>
      <c r="AC21" s="54">
        <v>7.8704999999999998</v>
      </c>
      <c r="AD21" s="36">
        <v>174.86599999999999</v>
      </c>
    </row>
    <row r="22" spans="1:30" s="37" customFormat="1" ht="15.75" customHeight="1" x14ac:dyDescent="0.2">
      <c r="A22" s="26">
        <v>164</v>
      </c>
      <c r="B22" s="27" t="s">
        <v>115</v>
      </c>
      <c r="C22" s="27" t="s">
        <v>116</v>
      </c>
      <c r="D22" s="28">
        <v>0.02</v>
      </c>
      <c r="E22" s="29">
        <v>4.9800000000000004</v>
      </c>
      <c r="F22" s="29">
        <v>5.49</v>
      </c>
      <c r="G22" s="30" t="s">
        <v>39</v>
      </c>
      <c r="H22" s="27" t="s">
        <v>71</v>
      </c>
      <c r="I22" s="27" t="s">
        <v>49</v>
      </c>
      <c r="J22" s="27" t="s">
        <v>88</v>
      </c>
      <c r="K22" s="27" t="s">
        <v>73</v>
      </c>
      <c r="L22" s="31" t="s">
        <v>120</v>
      </c>
      <c r="M22" s="32">
        <v>0.38</v>
      </c>
      <c r="N22" s="27" t="s">
        <v>33</v>
      </c>
      <c r="O22" s="27" t="s">
        <v>60</v>
      </c>
      <c r="P22" s="27" t="s">
        <v>67</v>
      </c>
      <c r="Q22" s="27" t="s">
        <v>119</v>
      </c>
      <c r="R22" s="33">
        <v>99352</v>
      </c>
      <c r="S22" s="34">
        <v>42006</v>
      </c>
      <c r="T22" s="34">
        <v>42007</v>
      </c>
      <c r="U22" s="29">
        <v>-77.03</v>
      </c>
      <c r="V22" s="26">
        <v>9</v>
      </c>
      <c r="W22" s="29">
        <v>45.63</v>
      </c>
      <c r="X22" s="26">
        <v>89961</v>
      </c>
      <c r="Y22" s="35">
        <v>17.43</v>
      </c>
      <c r="Z22" s="1" t="s">
        <v>3013</v>
      </c>
      <c r="AA22" s="36">
        <v>0.89640000000000009</v>
      </c>
      <c r="AB22" s="54">
        <v>28.290600000000001</v>
      </c>
      <c r="AC22" s="54">
        <v>1.9266000000000001</v>
      </c>
      <c r="AD22" s="36">
        <v>116.27360000000002</v>
      </c>
    </row>
    <row r="23" spans="1:30" s="37" customFormat="1" ht="15.75" customHeight="1" x14ac:dyDescent="0.2">
      <c r="A23" s="26">
        <v>950</v>
      </c>
      <c r="B23" s="27" t="s">
        <v>82</v>
      </c>
      <c r="C23" s="27" t="s">
        <v>26</v>
      </c>
      <c r="D23" s="28">
        <v>0.06</v>
      </c>
      <c r="E23" s="29">
        <v>40.98</v>
      </c>
      <c r="F23" s="29">
        <v>2.99</v>
      </c>
      <c r="G23" s="30" t="s">
        <v>39</v>
      </c>
      <c r="H23" s="27" t="s">
        <v>40</v>
      </c>
      <c r="I23" s="27" t="s">
        <v>49</v>
      </c>
      <c r="J23" s="27" t="s">
        <v>72</v>
      </c>
      <c r="K23" s="27" t="s">
        <v>73</v>
      </c>
      <c r="L23" s="31" t="s">
        <v>83</v>
      </c>
      <c r="M23" s="32">
        <v>0.36</v>
      </c>
      <c r="N23" s="27" t="s">
        <v>33</v>
      </c>
      <c r="O23" s="27" t="s">
        <v>53</v>
      </c>
      <c r="P23" s="27" t="s">
        <v>84</v>
      </c>
      <c r="Q23" s="27" t="s">
        <v>85</v>
      </c>
      <c r="R23" s="33">
        <v>55372</v>
      </c>
      <c r="S23" s="34">
        <v>42006</v>
      </c>
      <c r="T23" s="34">
        <v>42008</v>
      </c>
      <c r="U23" s="29">
        <v>-14.801880000000001</v>
      </c>
      <c r="V23" s="26">
        <v>1</v>
      </c>
      <c r="W23" s="29">
        <v>41.6</v>
      </c>
      <c r="X23" s="26">
        <v>89083</v>
      </c>
      <c r="Y23" s="35">
        <v>99.19</v>
      </c>
      <c r="Z23" s="1" t="s">
        <v>3012</v>
      </c>
      <c r="AA23" s="36">
        <v>2.4587999999999997</v>
      </c>
      <c r="AB23" s="54">
        <v>26.624000000000002</v>
      </c>
      <c r="AC23" s="54">
        <v>14.975999999999999</v>
      </c>
      <c r="AD23" s="36">
        <v>50.95308</v>
      </c>
    </row>
    <row r="24" spans="1:30" s="37" customFormat="1" ht="15.75" customHeight="1" x14ac:dyDescent="0.2">
      <c r="A24" s="26">
        <v>1155</v>
      </c>
      <c r="B24" s="27" t="s">
        <v>86</v>
      </c>
      <c r="C24" s="27" t="s">
        <v>26</v>
      </c>
      <c r="D24" s="28">
        <v>0.09</v>
      </c>
      <c r="E24" s="29">
        <v>9.11</v>
      </c>
      <c r="F24" s="29">
        <v>2.15</v>
      </c>
      <c r="G24" s="30" t="s">
        <v>87</v>
      </c>
      <c r="H24" s="27" t="s">
        <v>40</v>
      </c>
      <c r="I24" s="27" t="s">
        <v>49</v>
      </c>
      <c r="J24" s="27" t="s">
        <v>88</v>
      </c>
      <c r="K24" s="27" t="s">
        <v>51</v>
      </c>
      <c r="L24" s="31" t="s">
        <v>89</v>
      </c>
      <c r="M24" s="32">
        <v>0.4</v>
      </c>
      <c r="N24" s="27" t="s">
        <v>33</v>
      </c>
      <c r="O24" s="27" t="s">
        <v>60</v>
      </c>
      <c r="P24" s="27" t="s">
        <v>90</v>
      </c>
      <c r="Q24" s="27" t="s">
        <v>91</v>
      </c>
      <c r="R24" s="33">
        <v>90640</v>
      </c>
      <c r="S24" s="34">
        <v>42006</v>
      </c>
      <c r="T24" s="34">
        <v>42008</v>
      </c>
      <c r="U24" s="29">
        <v>20.299600000000002</v>
      </c>
      <c r="V24" s="26">
        <v>4</v>
      </c>
      <c r="W24" s="29">
        <v>34.409999999999997</v>
      </c>
      <c r="X24" s="26">
        <v>90853</v>
      </c>
      <c r="Y24" s="35">
        <v>99.19</v>
      </c>
      <c r="Z24" s="1" t="s">
        <v>3013</v>
      </c>
      <c r="AA24" s="36">
        <v>3.2795999999999998</v>
      </c>
      <c r="AB24" s="54">
        <v>20.645999999999997</v>
      </c>
      <c r="AC24" s="54">
        <v>3.4409999999999998</v>
      </c>
      <c r="AD24" s="36">
        <v>8.6807999999999979</v>
      </c>
    </row>
    <row r="25" spans="1:30" s="37" customFormat="1" ht="15.75" customHeight="1" x14ac:dyDescent="0.2">
      <c r="A25" s="26">
        <v>169</v>
      </c>
      <c r="B25" s="27" t="s">
        <v>166</v>
      </c>
      <c r="C25" s="27" t="s">
        <v>48</v>
      </c>
      <c r="D25" s="28">
        <v>0.05</v>
      </c>
      <c r="E25" s="29">
        <v>574.74</v>
      </c>
      <c r="F25" s="29">
        <v>24.49</v>
      </c>
      <c r="G25" s="30" t="s">
        <v>39</v>
      </c>
      <c r="H25" s="27" t="s">
        <v>94</v>
      </c>
      <c r="I25" s="27" t="s">
        <v>41</v>
      </c>
      <c r="J25" s="27" t="s">
        <v>57</v>
      </c>
      <c r="K25" s="27" t="s">
        <v>65</v>
      </c>
      <c r="L25" s="31" t="s">
        <v>170</v>
      </c>
      <c r="M25" s="32">
        <v>0.37</v>
      </c>
      <c r="N25" s="27" t="s">
        <v>33</v>
      </c>
      <c r="O25" s="27" t="s">
        <v>34</v>
      </c>
      <c r="P25" s="27" t="s">
        <v>168</v>
      </c>
      <c r="Q25" s="27" t="s">
        <v>169</v>
      </c>
      <c r="R25" s="33">
        <v>70802</v>
      </c>
      <c r="S25" s="34">
        <v>42007</v>
      </c>
      <c r="T25" s="34">
        <v>42014</v>
      </c>
      <c r="U25" s="29">
        <v>-112.4263</v>
      </c>
      <c r="V25" s="26">
        <v>12</v>
      </c>
      <c r="W25" s="29">
        <v>6945.16</v>
      </c>
      <c r="X25" s="26">
        <v>87463</v>
      </c>
      <c r="Y25" s="35">
        <v>5.25</v>
      </c>
      <c r="Z25" s="1" t="s">
        <v>3011</v>
      </c>
      <c r="AA25" s="36">
        <v>344.84400000000005</v>
      </c>
      <c r="AB25" s="54">
        <v>4375.4507999999996</v>
      </c>
      <c r="AC25" s="54">
        <v>214.14243333333332</v>
      </c>
      <c r="AD25" s="36">
        <v>6688.2523000000001</v>
      </c>
    </row>
    <row r="26" spans="1:30" s="37" customFormat="1" ht="15.75" customHeight="1" x14ac:dyDescent="0.2">
      <c r="A26" s="26">
        <v>2303</v>
      </c>
      <c r="B26" s="27" t="s">
        <v>156</v>
      </c>
      <c r="C26" s="27" t="s">
        <v>38</v>
      </c>
      <c r="D26" s="28">
        <v>0.1</v>
      </c>
      <c r="E26" s="29">
        <v>146.34</v>
      </c>
      <c r="F26" s="29">
        <v>43.75</v>
      </c>
      <c r="G26" s="30" t="s">
        <v>27</v>
      </c>
      <c r="H26" s="27" t="s">
        <v>94</v>
      </c>
      <c r="I26" s="27" t="s">
        <v>29</v>
      </c>
      <c r="J26" s="27" t="s">
        <v>30</v>
      </c>
      <c r="K26" s="27" t="s">
        <v>31</v>
      </c>
      <c r="L26" s="31" t="s">
        <v>155</v>
      </c>
      <c r="M26" s="32">
        <v>0.64</v>
      </c>
      <c r="N26" s="27" t="s">
        <v>33</v>
      </c>
      <c r="O26" s="27" t="s">
        <v>111</v>
      </c>
      <c r="P26" s="27" t="s">
        <v>112</v>
      </c>
      <c r="Q26" s="27" t="s">
        <v>113</v>
      </c>
      <c r="R26" s="33">
        <v>10011</v>
      </c>
      <c r="S26" s="34">
        <v>42007</v>
      </c>
      <c r="T26" s="34">
        <v>42008</v>
      </c>
      <c r="U26" s="29">
        <v>-270.85000000000002</v>
      </c>
      <c r="V26" s="26">
        <v>6</v>
      </c>
      <c r="W26" s="29">
        <v>850.64</v>
      </c>
      <c r="X26" s="26">
        <v>37987</v>
      </c>
      <c r="Y26" s="35">
        <v>110.97999999999999</v>
      </c>
      <c r="Z26" s="1" t="s">
        <v>3014</v>
      </c>
      <c r="AA26" s="36">
        <v>87.804000000000002</v>
      </c>
      <c r="AB26" s="54">
        <v>306.23039999999997</v>
      </c>
      <c r="AC26" s="54">
        <v>90.734933333333345</v>
      </c>
      <c r="AD26" s="36">
        <v>989.93600000000004</v>
      </c>
    </row>
    <row r="27" spans="1:30" s="37" customFormat="1" ht="15.75" customHeight="1" x14ac:dyDescent="0.2">
      <c r="A27" s="26">
        <v>2460</v>
      </c>
      <c r="B27" s="27" t="s">
        <v>160</v>
      </c>
      <c r="C27" s="27" t="s">
        <v>38</v>
      </c>
      <c r="D27" s="28">
        <v>7.0000000000000007E-2</v>
      </c>
      <c r="E27" s="29">
        <v>9.93</v>
      </c>
      <c r="F27" s="29">
        <v>1.0900000000000001</v>
      </c>
      <c r="G27" s="30" t="s">
        <v>39</v>
      </c>
      <c r="H27" s="27" t="s">
        <v>71</v>
      </c>
      <c r="I27" s="27" t="s">
        <v>49</v>
      </c>
      <c r="J27" s="27" t="s">
        <v>50</v>
      </c>
      <c r="K27" s="27" t="s">
        <v>51</v>
      </c>
      <c r="L27" s="31" t="s">
        <v>161</v>
      </c>
      <c r="M27" s="32">
        <v>0.43</v>
      </c>
      <c r="N27" s="27" t="s">
        <v>33</v>
      </c>
      <c r="O27" s="27" t="s">
        <v>111</v>
      </c>
      <c r="P27" s="27" t="s">
        <v>112</v>
      </c>
      <c r="Q27" s="27" t="s">
        <v>113</v>
      </c>
      <c r="R27" s="33">
        <v>10035</v>
      </c>
      <c r="S27" s="34">
        <v>42007</v>
      </c>
      <c r="T27" s="34">
        <v>42010</v>
      </c>
      <c r="U27" s="29">
        <v>149.53</v>
      </c>
      <c r="V27" s="26">
        <v>46</v>
      </c>
      <c r="W27" s="29">
        <v>451.61</v>
      </c>
      <c r="X27" s="26">
        <v>30785</v>
      </c>
      <c r="Y27" s="35">
        <v>4.2299999999999995</v>
      </c>
      <c r="Z27" s="1" t="s">
        <v>3014</v>
      </c>
      <c r="AA27" s="36">
        <v>31.974600000000002</v>
      </c>
      <c r="AB27" s="54">
        <v>257.41770000000002</v>
      </c>
      <c r="AC27" s="54">
        <v>4.221571739130435</v>
      </c>
      <c r="AD27" s="36">
        <v>269.0154</v>
      </c>
    </row>
    <row r="28" spans="1:30" s="37" customFormat="1" ht="15.75" customHeight="1" x14ac:dyDescent="0.2">
      <c r="A28" s="26">
        <v>2131</v>
      </c>
      <c r="B28" s="27" t="s">
        <v>148</v>
      </c>
      <c r="C28" s="27" t="s">
        <v>38</v>
      </c>
      <c r="D28" s="28">
        <v>0.09</v>
      </c>
      <c r="E28" s="29">
        <v>150.97999999999999</v>
      </c>
      <c r="F28" s="29">
        <v>66.27</v>
      </c>
      <c r="G28" s="30" t="s">
        <v>27</v>
      </c>
      <c r="H28" s="27" t="s">
        <v>71</v>
      </c>
      <c r="I28" s="27" t="s">
        <v>29</v>
      </c>
      <c r="J28" s="27" t="s">
        <v>117</v>
      </c>
      <c r="K28" s="27" t="s">
        <v>31</v>
      </c>
      <c r="L28" s="31" t="s">
        <v>149</v>
      </c>
      <c r="M28" s="32">
        <v>0.65</v>
      </c>
      <c r="N28" s="27" t="s">
        <v>33</v>
      </c>
      <c r="O28" s="27" t="s">
        <v>53</v>
      </c>
      <c r="P28" s="27" t="s">
        <v>80</v>
      </c>
      <c r="Q28" s="27" t="s">
        <v>150</v>
      </c>
      <c r="R28" s="33">
        <v>64118</v>
      </c>
      <c r="S28" s="34">
        <v>42007</v>
      </c>
      <c r="T28" s="34">
        <v>42008</v>
      </c>
      <c r="U28" s="29">
        <v>-407.85</v>
      </c>
      <c r="V28" s="26">
        <v>2</v>
      </c>
      <c r="W28" s="29">
        <v>302.33999999999997</v>
      </c>
      <c r="X28" s="26">
        <v>90079</v>
      </c>
      <c r="Y28" s="35">
        <v>4.2299999999999995</v>
      </c>
      <c r="Z28" s="1" t="s">
        <v>3012</v>
      </c>
      <c r="AA28" s="36">
        <v>27.176399999999997</v>
      </c>
      <c r="AB28" s="54">
        <v>105.81899999999999</v>
      </c>
      <c r="AC28" s="54">
        <v>98.260499999999993</v>
      </c>
      <c r="AD28" s="36">
        <v>616.74360000000001</v>
      </c>
    </row>
    <row r="29" spans="1:30" s="37" customFormat="1" ht="15.75" customHeight="1" x14ac:dyDescent="0.2">
      <c r="A29" s="26">
        <v>2302</v>
      </c>
      <c r="B29" s="27" t="s">
        <v>151</v>
      </c>
      <c r="C29" s="27" t="s">
        <v>38</v>
      </c>
      <c r="D29" s="28">
        <v>0.1</v>
      </c>
      <c r="E29" s="29">
        <v>146.34</v>
      </c>
      <c r="F29" s="29">
        <v>43.75</v>
      </c>
      <c r="G29" s="30" t="s">
        <v>27</v>
      </c>
      <c r="H29" s="27" t="s">
        <v>94</v>
      </c>
      <c r="I29" s="27" t="s">
        <v>29</v>
      </c>
      <c r="J29" s="27" t="s">
        <v>30</v>
      </c>
      <c r="K29" s="27" t="s">
        <v>31</v>
      </c>
      <c r="L29" s="31" t="s">
        <v>155</v>
      </c>
      <c r="M29" s="32">
        <v>0.64</v>
      </c>
      <c r="N29" s="27" t="s">
        <v>33</v>
      </c>
      <c r="O29" s="27" t="s">
        <v>34</v>
      </c>
      <c r="P29" s="27" t="s">
        <v>123</v>
      </c>
      <c r="Q29" s="27" t="s">
        <v>154</v>
      </c>
      <c r="R29" s="33">
        <v>32404</v>
      </c>
      <c r="S29" s="34">
        <v>42007</v>
      </c>
      <c r="T29" s="34">
        <v>42008</v>
      </c>
      <c r="U29" s="29">
        <v>-473.57799999999997</v>
      </c>
      <c r="V29" s="26">
        <v>2</v>
      </c>
      <c r="W29" s="29">
        <v>283.55</v>
      </c>
      <c r="X29" s="26">
        <v>87696</v>
      </c>
      <c r="Y29" s="35">
        <v>20.93</v>
      </c>
      <c r="Z29" s="1" t="s">
        <v>3011</v>
      </c>
      <c r="AA29" s="36">
        <v>29.268000000000001</v>
      </c>
      <c r="AB29" s="54">
        <v>102.078</v>
      </c>
      <c r="AC29" s="54">
        <v>90.736000000000004</v>
      </c>
      <c r="AD29" s="36">
        <v>684.1099999999999</v>
      </c>
    </row>
    <row r="30" spans="1:30" s="37" customFormat="1" ht="15.75" customHeight="1" x14ac:dyDescent="0.2">
      <c r="A30" s="26">
        <v>193</v>
      </c>
      <c r="B30" s="27" t="s">
        <v>179</v>
      </c>
      <c r="C30" s="27" t="s">
        <v>3094</v>
      </c>
      <c r="D30" s="28">
        <v>0</v>
      </c>
      <c r="E30" s="29">
        <v>213.45</v>
      </c>
      <c r="F30" s="29">
        <v>14.7</v>
      </c>
      <c r="G30" s="30" t="s">
        <v>27</v>
      </c>
      <c r="H30" s="27" t="s">
        <v>94</v>
      </c>
      <c r="I30" s="27" t="s">
        <v>41</v>
      </c>
      <c r="J30" s="27" t="s">
        <v>57</v>
      </c>
      <c r="K30" s="27" t="s">
        <v>58</v>
      </c>
      <c r="L30" s="31" t="s">
        <v>180</v>
      </c>
      <c r="M30" s="32">
        <v>0.59</v>
      </c>
      <c r="N30" s="27" t="s">
        <v>33</v>
      </c>
      <c r="O30" s="27" t="s">
        <v>60</v>
      </c>
      <c r="P30" s="27" t="s">
        <v>146</v>
      </c>
      <c r="Q30" s="27" t="s">
        <v>181</v>
      </c>
      <c r="R30" s="33">
        <v>84041</v>
      </c>
      <c r="S30" s="34">
        <v>42007</v>
      </c>
      <c r="T30" s="34">
        <v>42009</v>
      </c>
      <c r="U30" s="29">
        <v>-560.81417999999996</v>
      </c>
      <c r="V30" s="26">
        <v>1</v>
      </c>
      <c r="W30" s="29">
        <v>224.12</v>
      </c>
      <c r="X30" s="26">
        <v>90430</v>
      </c>
      <c r="Y30" s="35">
        <v>150.88999999999999</v>
      </c>
      <c r="Z30" s="1" t="s">
        <v>3013</v>
      </c>
      <c r="AA30" s="36">
        <v>0</v>
      </c>
      <c r="AB30" s="54">
        <v>91.889200000000002</v>
      </c>
      <c r="AC30" s="54">
        <v>132.23079999999999</v>
      </c>
      <c r="AD30" s="36">
        <v>770.23417999999992</v>
      </c>
    </row>
    <row r="31" spans="1:30" s="37" customFormat="1" ht="15.75" customHeight="1" x14ac:dyDescent="0.2">
      <c r="A31" s="26">
        <v>388</v>
      </c>
      <c r="B31" s="27" t="s">
        <v>131</v>
      </c>
      <c r="C31" s="27" t="s">
        <v>26</v>
      </c>
      <c r="D31" s="28">
        <v>0.01</v>
      </c>
      <c r="E31" s="29">
        <v>110.99</v>
      </c>
      <c r="F31" s="29">
        <v>2.5</v>
      </c>
      <c r="G31" s="30" t="s">
        <v>39</v>
      </c>
      <c r="H31" s="27" t="s">
        <v>94</v>
      </c>
      <c r="I31" s="27" t="s">
        <v>41</v>
      </c>
      <c r="J31" s="27" t="s">
        <v>135</v>
      </c>
      <c r="K31" s="27" t="s">
        <v>73</v>
      </c>
      <c r="L31" s="31" t="s">
        <v>136</v>
      </c>
      <c r="M31" s="32">
        <v>0.56999999999999995</v>
      </c>
      <c r="N31" s="27" t="s">
        <v>33</v>
      </c>
      <c r="O31" s="27" t="s">
        <v>53</v>
      </c>
      <c r="P31" s="27" t="s">
        <v>133</v>
      </c>
      <c r="Q31" s="27" t="s">
        <v>134</v>
      </c>
      <c r="R31" s="33">
        <v>68847</v>
      </c>
      <c r="S31" s="34">
        <v>42007</v>
      </c>
      <c r="T31" s="34">
        <v>42010</v>
      </c>
      <c r="U31" s="29">
        <v>-263.56572</v>
      </c>
      <c r="V31" s="26">
        <v>2</v>
      </c>
      <c r="W31" s="29">
        <v>188.66</v>
      </c>
      <c r="X31" s="26">
        <v>90337</v>
      </c>
      <c r="Y31" s="35">
        <v>12.43</v>
      </c>
      <c r="Z31" s="1" t="s">
        <v>3012</v>
      </c>
      <c r="AA31" s="36">
        <v>2.2197999999999998</v>
      </c>
      <c r="AB31" s="54">
        <v>81.123800000000003</v>
      </c>
      <c r="AC31" s="54">
        <v>53.768099999999997</v>
      </c>
      <c r="AD31" s="36">
        <v>447.50591999999995</v>
      </c>
    </row>
    <row r="32" spans="1:30" s="37" customFormat="1" ht="15.75" customHeight="1" x14ac:dyDescent="0.2">
      <c r="A32" s="26">
        <v>2579</v>
      </c>
      <c r="B32" s="27" t="s">
        <v>162</v>
      </c>
      <c r="C32" s="27" t="s">
        <v>38</v>
      </c>
      <c r="D32" s="28">
        <v>0.09</v>
      </c>
      <c r="E32" s="29">
        <v>212.6</v>
      </c>
      <c r="F32" s="29">
        <v>52.2</v>
      </c>
      <c r="G32" s="30" t="s">
        <v>27</v>
      </c>
      <c r="H32" s="27" t="s">
        <v>71</v>
      </c>
      <c r="I32" s="27" t="s">
        <v>29</v>
      </c>
      <c r="J32" s="27" t="s">
        <v>30</v>
      </c>
      <c r="K32" s="27" t="s">
        <v>31</v>
      </c>
      <c r="L32" s="31" t="s">
        <v>163</v>
      </c>
      <c r="M32" s="32">
        <v>0.64</v>
      </c>
      <c r="N32" s="27" t="s">
        <v>33</v>
      </c>
      <c r="O32" s="27" t="s">
        <v>34</v>
      </c>
      <c r="P32" s="27" t="s">
        <v>164</v>
      </c>
      <c r="Q32" s="27" t="s">
        <v>165</v>
      </c>
      <c r="R32" s="33">
        <v>36869</v>
      </c>
      <c r="S32" s="34">
        <v>42007</v>
      </c>
      <c r="T32" s="34">
        <v>42008</v>
      </c>
      <c r="U32" s="29">
        <v>-274.49799999999999</v>
      </c>
      <c r="V32" s="26">
        <v>1</v>
      </c>
      <c r="W32" s="29">
        <v>174.5</v>
      </c>
      <c r="X32" s="26">
        <v>88296</v>
      </c>
      <c r="Y32" s="35">
        <v>146.24</v>
      </c>
      <c r="Z32" s="1" t="s">
        <v>3011</v>
      </c>
      <c r="AA32" s="36">
        <v>19.134</v>
      </c>
      <c r="AB32" s="54">
        <v>62.82</v>
      </c>
      <c r="AC32" s="54">
        <v>111.68</v>
      </c>
      <c r="AD32" s="36">
        <v>377.66399999999999</v>
      </c>
    </row>
    <row r="33" spans="1:30" s="37" customFormat="1" ht="15.75" customHeight="1" x14ac:dyDescent="0.2">
      <c r="A33" s="26">
        <v>1777</v>
      </c>
      <c r="B33" s="27" t="s">
        <v>172</v>
      </c>
      <c r="C33" s="27" t="s">
        <v>48</v>
      </c>
      <c r="D33" s="28">
        <v>0.02</v>
      </c>
      <c r="E33" s="29">
        <v>10.06</v>
      </c>
      <c r="F33" s="29">
        <v>2.06</v>
      </c>
      <c r="G33" s="30" t="s">
        <v>39</v>
      </c>
      <c r="H33" s="27" t="s">
        <v>40</v>
      </c>
      <c r="I33" s="27" t="s">
        <v>49</v>
      </c>
      <c r="J33" s="27" t="s">
        <v>88</v>
      </c>
      <c r="K33" s="27" t="s">
        <v>51</v>
      </c>
      <c r="L33" s="31" t="s">
        <v>173</v>
      </c>
      <c r="M33" s="32">
        <v>0.39</v>
      </c>
      <c r="N33" s="27" t="s">
        <v>33</v>
      </c>
      <c r="O33" s="27" t="s">
        <v>53</v>
      </c>
      <c r="P33" s="27" t="s">
        <v>54</v>
      </c>
      <c r="Q33" s="27" t="s">
        <v>174</v>
      </c>
      <c r="R33" s="33">
        <v>46383</v>
      </c>
      <c r="S33" s="34">
        <v>42007</v>
      </c>
      <c r="T33" s="34">
        <v>42012</v>
      </c>
      <c r="U33" s="29">
        <v>90.624600000000001</v>
      </c>
      <c r="V33" s="26">
        <v>13</v>
      </c>
      <c r="W33" s="29">
        <v>131.34</v>
      </c>
      <c r="X33" s="26">
        <v>89940</v>
      </c>
      <c r="Y33" s="35">
        <v>146.24</v>
      </c>
      <c r="Z33" s="1" t="s">
        <v>3012</v>
      </c>
      <c r="AA33" s="36">
        <v>2.6156000000000001</v>
      </c>
      <c r="AB33" s="54">
        <v>80.117400000000004</v>
      </c>
      <c r="AC33" s="54">
        <v>3.9401999999999999</v>
      </c>
      <c r="AD33" s="36">
        <v>36.0398</v>
      </c>
    </row>
    <row r="34" spans="1:30" s="37" customFormat="1" ht="15.75" customHeight="1" x14ac:dyDescent="0.2">
      <c r="A34" s="26">
        <v>169</v>
      </c>
      <c r="B34" s="27" t="s">
        <v>166</v>
      </c>
      <c r="C34" s="27" t="s">
        <v>48</v>
      </c>
      <c r="D34" s="28">
        <v>0.08</v>
      </c>
      <c r="E34" s="29">
        <v>43.22</v>
      </c>
      <c r="F34" s="29">
        <v>16.71</v>
      </c>
      <c r="G34" s="30" t="s">
        <v>39</v>
      </c>
      <c r="H34" s="27" t="s">
        <v>94</v>
      </c>
      <c r="I34" s="27" t="s">
        <v>41</v>
      </c>
      <c r="J34" s="27" t="s">
        <v>42</v>
      </c>
      <c r="K34" s="27" t="s">
        <v>73</v>
      </c>
      <c r="L34" s="31" t="s">
        <v>167</v>
      </c>
      <c r="M34" s="32">
        <v>0.66</v>
      </c>
      <c r="N34" s="27" t="s">
        <v>33</v>
      </c>
      <c r="O34" s="27" t="s">
        <v>34</v>
      </c>
      <c r="P34" s="27" t="s">
        <v>168</v>
      </c>
      <c r="Q34" s="27" t="s">
        <v>169</v>
      </c>
      <c r="R34" s="33">
        <v>70802</v>
      </c>
      <c r="S34" s="34">
        <v>42007</v>
      </c>
      <c r="T34" s="34">
        <v>42009</v>
      </c>
      <c r="U34" s="29">
        <v>280.27458000000001</v>
      </c>
      <c r="V34" s="26">
        <v>3</v>
      </c>
      <c r="W34" s="29">
        <v>130.62</v>
      </c>
      <c r="X34" s="26">
        <v>87463</v>
      </c>
      <c r="Y34" s="35">
        <v>6.45</v>
      </c>
      <c r="Z34" s="1" t="s">
        <v>3011</v>
      </c>
      <c r="AA34" s="36">
        <v>10.3728</v>
      </c>
      <c r="AB34" s="54">
        <v>44.410799999999995</v>
      </c>
      <c r="AC34" s="54">
        <v>28.7364</v>
      </c>
      <c r="AD34" s="36">
        <v>-176.73737999999997</v>
      </c>
    </row>
    <row r="35" spans="1:30" s="37" customFormat="1" ht="15.75" customHeight="1" x14ac:dyDescent="0.2">
      <c r="A35" s="26">
        <v>117</v>
      </c>
      <c r="B35" s="27" t="s">
        <v>141</v>
      </c>
      <c r="C35" s="27" t="s">
        <v>38</v>
      </c>
      <c r="D35" s="28">
        <v>0.03</v>
      </c>
      <c r="E35" s="29">
        <v>4.26</v>
      </c>
      <c r="F35" s="29">
        <v>1.2</v>
      </c>
      <c r="G35" s="30" t="s">
        <v>39</v>
      </c>
      <c r="H35" s="27" t="s">
        <v>71</v>
      </c>
      <c r="I35" s="27" t="s">
        <v>49</v>
      </c>
      <c r="J35" s="27" t="s">
        <v>50</v>
      </c>
      <c r="K35" s="27" t="s">
        <v>51</v>
      </c>
      <c r="L35" s="31" t="s">
        <v>138</v>
      </c>
      <c r="M35" s="32">
        <v>0.44</v>
      </c>
      <c r="N35" s="27" t="s">
        <v>33</v>
      </c>
      <c r="O35" s="27" t="s">
        <v>60</v>
      </c>
      <c r="P35" s="27" t="s">
        <v>67</v>
      </c>
      <c r="Q35" s="27" t="s">
        <v>142</v>
      </c>
      <c r="R35" s="33">
        <v>98103</v>
      </c>
      <c r="S35" s="34">
        <v>42007</v>
      </c>
      <c r="T35" s="34">
        <v>42008</v>
      </c>
      <c r="U35" s="29">
        <v>9.82</v>
      </c>
      <c r="V35" s="26">
        <v>29</v>
      </c>
      <c r="W35" s="29">
        <v>122.23</v>
      </c>
      <c r="X35" s="26">
        <v>7909</v>
      </c>
      <c r="Y35" s="35">
        <v>6.45</v>
      </c>
      <c r="Z35" s="1" t="s">
        <v>3013</v>
      </c>
      <c r="AA35" s="36">
        <v>3.7061999999999999</v>
      </c>
      <c r="AB35" s="54">
        <v>68.448800000000006</v>
      </c>
      <c r="AC35" s="54">
        <v>1.8545241379310347</v>
      </c>
      <c r="AD35" s="36">
        <v>107.50380000000001</v>
      </c>
    </row>
    <row r="36" spans="1:30" s="37" customFormat="1" ht="15.75" customHeight="1" x14ac:dyDescent="0.2">
      <c r="A36" s="26">
        <v>2302</v>
      </c>
      <c r="B36" s="27" t="s">
        <v>151</v>
      </c>
      <c r="C36" s="27" t="s">
        <v>38</v>
      </c>
      <c r="D36" s="28">
        <v>0.1</v>
      </c>
      <c r="E36" s="29">
        <v>12.53</v>
      </c>
      <c r="F36" s="29">
        <v>0.49</v>
      </c>
      <c r="G36" s="30" t="s">
        <v>39</v>
      </c>
      <c r="H36" s="27" t="s">
        <v>94</v>
      </c>
      <c r="I36" s="27" t="s">
        <v>49</v>
      </c>
      <c r="J36" s="27" t="s">
        <v>152</v>
      </c>
      <c r="K36" s="27" t="s">
        <v>73</v>
      </c>
      <c r="L36" s="31" t="s">
        <v>153</v>
      </c>
      <c r="M36" s="32">
        <v>0.38</v>
      </c>
      <c r="N36" s="27" t="s">
        <v>33</v>
      </c>
      <c r="O36" s="27" t="s">
        <v>34</v>
      </c>
      <c r="P36" s="27" t="s">
        <v>123</v>
      </c>
      <c r="Q36" s="27" t="s">
        <v>154</v>
      </c>
      <c r="R36" s="33">
        <v>32404</v>
      </c>
      <c r="S36" s="34">
        <v>42007</v>
      </c>
      <c r="T36" s="34">
        <v>42008</v>
      </c>
      <c r="U36" s="29">
        <v>244.464</v>
      </c>
      <c r="V36" s="26">
        <v>8</v>
      </c>
      <c r="W36" s="29">
        <v>92.02</v>
      </c>
      <c r="X36" s="26">
        <v>87696</v>
      </c>
      <c r="Y36" s="35">
        <v>9.86</v>
      </c>
      <c r="Z36" s="1" t="s">
        <v>3011</v>
      </c>
      <c r="AA36" s="36">
        <v>10.024000000000001</v>
      </c>
      <c r="AB36" s="54">
        <v>57.052399999999999</v>
      </c>
      <c r="AC36" s="54">
        <v>4.3709499999999997</v>
      </c>
      <c r="AD36" s="36">
        <v>-162.95800000000003</v>
      </c>
    </row>
    <row r="37" spans="1:30" s="37" customFormat="1" ht="15.75" customHeight="1" x14ac:dyDescent="0.2">
      <c r="A37" s="26">
        <v>1988</v>
      </c>
      <c r="B37" s="27" t="s">
        <v>143</v>
      </c>
      <c r="C37" s="27" t="s">
        <v>38</v>
      </c>
      <c r="D37" s="28">
        <v>0.05</v>
      </c>
      <c r="E37" s="29">
        <v>20.98</v>
      </c>
      <c r="F37" s="29">
        <v>21.2</v>
      </c>
      <c r="G37" s="30" t="s">
        <v>39</v>
      </c>
      <c r="H37" s="27" t="s">
        <v>71</v>
      </c>
      <c r="I37" s="27" t="s">
        <v>29</v>
      </c>
      <c r="J37" s="27" t="s">
        <v>126</v>
      </c>
      <c r="K37" s="27" t="s">
        <v>144</v>
      </c>
      <c r="L37" s="31" t="s">
        <v>145</v>
      </c>
      <c r="M37" s="32">
        <v>0.78</v>
      </c>
      <c r="N37" s="27" t="s">
        <v>33</v>
      </c>
      <c r="O37" s="27" t="s">
        <v>60</v>
      </c>
      <c r="P37" s="27" t="s">
        <v>146</v>
      </c>
      <c r="Q37" s="27" t="s">
        <v>147</v>
      </c>
      <c r="R37" s="33">
        <v>84020</v>
      </c>
      <c r="S37" s="34">
        <v>42007</v>
      </c>
      <c r="T37" s="34">
        <v>42008</v>
      </c>
      <c r="U37" s="29">
        <v>-181.102</v>
      </c>
      <c r="V37" s="26">
        <v>3</v>
      </c>
      <c r="W37" s="29">
        <v>65.69</v>
      </c>
      <c r="X37" s="26">
        <v>89999</v>
      </c>
      <c r="Y37" s="35">
        <v>212.51</v>
      </c>
      <c r="Z37" s="1" t="s">
        <v>3013</v>
      </c>
      <c r="AA37" s="36">
        <v>3.1470000000000002</v>
      </c>
      <c r="AB37" s="54">
        <v>14.451799999999997</v>
      </c>
      <c r="AC37" s="54">
        <v>17.0794</v>
      </c>
      <c r="AD37" s="36">
        <v>222.44500000000002</v>
      </c>
    </row>
    <row r="38" spans="1:30" s="37" customFormat="1" ht="15.75" customHeight="1" x14ac:dyDescent="0.2">
      <c r="A38" s="26">
        <v>2460</v>
      </c>
      <c r="B38" s="27" t="s">
        <v>160</v>
      </c>
      <c r="C38" s="27" t="s">
        <v>38</v>
      </c>
      <c r="D38" s="28">
        <v>0.03</v>
      </c>
      <c r="E38" s="29">
        <v>6.48</v>
      </c>
      <c r="F38" s="29">
        <v>8.73</v>
      </c>
      <c r="G38" s="30" t="s">
        <v>39</v>
      </c>
      <c r="H38" s="27" t="s">
        <v>71</v>
      </c>
      <c r="I38" s="27" t="s">
        <v>49</v>
      </c>
      <c r="J38" s="27" t="s">
        <v>88</v>
      </c>
      <c r="K38" s="27" t="s">
        <v>73</v>
      </c>
      <c r="L38" s="31" t="s">
        <v>158</v>
      </c>
      <c r="M38" s="32">
        <v>0.37</v>
      </c>
      <c r="N38" s="27" t="s">
        <v>33</v>
      </c>
      <c r="O38" s="27" t="s">
        <v>111</v>
      </c>
      <c r="P38" s="27" t="s">
        <v>112</v>
      </c>
      <c r="Q38" s="27" t="s">
        <v>113</v>
      </c>
      <c r="R38" s="33">
        <v>10035</v>
      </c>
      <c r="S38" s="34">
        <v>42007</v>
      </c>
      <c r="T38" s="34">
        <v>42009</v>
      </c>
      <c r="U38" s="29">
        <v>-35.04</v>
      </c>
      <c r="V38" s="26">
        <v>8</v>
      </c>
      <c r="W38" s="29">
        <v>63.78</v>
      </c>
      <c r="X38" s="26">
        <v>30785</v>
      </c>
      <c r="Y38" s="35">
        <v>43.14</v>
      </c>
      <c r="Z38" s="1" t="s">
        <v>3014</v>
      </c>
      <c r="AA38" s="36">
        <v>1.5552000000000001</v>
      </c>
      <c r="AB38" s="54">
        <v>40.181400000000004</v>
      </c>
      <c r="AC38" s="54">
        <v>2.9498250000000001</v>
      </c>
      <c r="AD38" s="36">
        <v>88.534800000000004</v>
      </c>
    </row>
    <row r="39" spans="1:30" s="37" customFormat="1" ht="15.75" customHeight="1" x14ac:dyDescent="0.2">
      <c r="A39" s="26">
        <v>169</v>
      </c>
      <c r="B39" s="27" t="s">
        <v>166</v>
      </c>
      <c r="C39" s="27" t="s">
        <v>48</v>
      </c>
      <c r="D39" s="28">
        <v>0.04</v>
      </c>
      <c r="E39" s="29">
        <v>10.14</v>
      </c>
      <c r="F39" s="29">
        <v>2.27</v>
      </c>
      <c r="G39" s="30" t="s">
        <v>39</v>
      </c>
      <c r="H39" s="27" t="s">
        <v>94</v>
      </c>
      <c r="I39" s="27" t="s">
        <v>49</v>
      </c>
      <c r="J39" s="27" t="s">
        <v>88</v>
      </c>
      <c r="K39" s="27" t="s">
        <v>51</v>
      </c>
      <c r="L39" s="31" t="s">
        <v>171</v>
      </c>
      <c r="M39" s="32">
        <v>0.36</v>
      </c>
      <c r="N39" s="27" t="s">
        <v>33</v>
      </c>
      <c r="O39" s="27" t="s">
        <v>34</v>
      </c>
      <c r="P39" s="27" t="s">
        <v>168</v>
      </c>
      <c r="Q39" s="27" t="s">
        <v>169</v>
      </c>
      <c r="R39" s="33">
        <v>70802</v>
      </c>
      <c r="S39" s="34">
        <v>42007</v>
      </c>
      <c r="T39" s="34">
        <v>42011</v>
      </c>
      <c r="U39" s="29">
        <v>24.923999999999999</v>
      </c>
      <c r="V39" s="26">
        <v>3</v>
      </c>
      <c r="W39" s="29">
        <v>30.94</v>
      </c>
      <c r="X39" s="26">
        <v>87463</v>
      </c>
      <c r="Y39" s="35">
        <v>574.69000000000005</v>
      </c>
      <c r="Z39" s="1" t="s">
        <v>3011</v>
      </c>
      <c r="AA39" s="36">
        <v>1.2168000000000001</v>
      </c>
      <c r="AB39" s="54">
        <v>19.801600000000001</v>
      </c>
      <c r="AC39" s="54">
        <v>3.7128000000000001</v>
      </c>
      <c r="AD39" s="36">
        <v>2.529200000000003</v>
      </c>
    </row>
    <row r="40" spans="1:30" s="37" customFormat="1" ht="15.75" customHeight="1" x14ac:dyDescent="0.2">
      <c r="A40" s="26">
        <v>114</v>
      </c>
      <c r="B40" s="27" t="s">
        <v>137</v>
      </c>
      <c r="C40" s="27" t="s">
        <v>38</v>
      </c>
      <c r="D40" s="28">
        <v>0.03</v>
      </c>
      <c r="E40" s="29">
        <v>4.26</v>
      </c>
      <c r="F40" s="29">
        <v>1.2</v>
      </c>
      <c r="G40" s="30" t="s">
        <v>39</v>
      </c>
      <c r="H40" s="27" t="s">
        <v>71</v>
      </c>
      <c r="I40" s="27" t="s">
        <v>49</v>
      </c>
      <c r="J40" s="27" t="s">
        <v>50</v>
      </c>
      <c r="K40" s="27" t="s">
        <v>51</v>
      </c>
      <c r="L40" s="31" t="s">
        <v>138</v>
      </c>
      <c r="M40" s="32">
        <v>0.44</v>
      </c>
      <c r="N40" s="27" t="s">
        <v>33</v>
      </c>
      <c r="O40" s="27" t="s">
        <v>60</v>
      </c>
      <c r="P40" s="27" t="s">
        <v>139</v>
      </c>
      <c r="Q40" s="27" t="s">
        <v>140</v>
      </c>
      <c r="R40" s="33">
        <v>97035</v>
      </c>
      <c r="S40" s="34">
        <v>42007</v>
      </c>
      <c r="T40" s="34">
        <v>42008</v>
      </c>
      <c r="U40" s="29">
        <v>18.658000000000001</v>
      </c>
      <c r="V40" s="26">
        <v>7</v>
      </c>
      <c r="W40" s="29">
        <v>29.5</v>
      </c>
      <c r="X40" s="26">
        <v>89583</v>
      </c>
      <c r="Y40" s="35">
        <v>10.100000000000001</v>
      </c>
      <c r="Z40" s="1" t="s">
        <v>3013</v>
      </c>
      <c r="AA40" s="36">
        <v>0.89459999999999995</v>
      </c>
      <c r="AB40" s="54">
        <v>16.520000000000003</v>
      </c>
      <c r="AC40" s="54">
        <v>1.8542857142857143</v>
      </c>
      <c r="AD40" s="36">
        <v>8.747399999999999</v>
      </c>
    </row>
    <row r="41" spans="1:30" s="37" customFormat="1" ht="15.75" customHeight="1" x14ac:dyDescent="0.2">
      <c r="A41" s="26">
        <v>388</v>
      </c>
      <c r="B41" s="27" t="s">
        <v>131</v>
      </c>
      <c r="C41" s="27" t="s">
        <v>26</v>
      </c>
      <c r="D41" s="28">
        <v>0.03</v>
      </c>
      <c r="E41" s="29">
        <v>5.28</v>
      </c>
      <c r="F41" s="29">
        <v>5.66</v>
      </c>
      <c r="G41" s="30" t="s">
        <v>39</v>
      </c>
      <c r="H41" s="27" t="s">
        <v>94</v>
      </c>
      <c r="I41" s="27" t="s">
        <v>49</v>
      </c>
      <c r="J41" s="27" t="s">
        <v>88</v>
      </c>
      <c r="K41" s="27" t="s">
        <v>73</v>
      </c>
      <c r="L41" s="31" t="s">
        <v>132</v>
      </c>
      <c r="M41" s="32">
        <v>0.4</v>
      </c>
      <c r="N41" s="27" t="s">
        <v>33</v>
      </c>
      <c r="O41" s="27" t="s">
        <v>53</v>
      </c>
      <c r="P41" s="27" t="s">
        <v>133</v>
      </c>
      <c r="Q41" s="27" t="s">
        <v>134</v>
      </c>
      <c r="R41" s="33">
        <v>68847</v>
      </c>
      <c r="S41" s="34">
        <v>42007</v>
      </c>
      <c r="T41" s="34">
        <v>42009</v>
      </c>
      <c r="U41" s="29">
        <v>-51.559199999999997</v>
      </c>
      <c r="V41" s="26">
        <v>4</v>
      </c>
      <c r="W41" s="29">
        <v>22.82</v>
      </c>
      <c r="X41" s="26">
        <v>90337</v>
      </c>
      <c r="Y41" s="35">
        <v>10.040000000000001</v>
      </c>
      <c r="Z41" s="1" t="s">
        <v>3012</v>
      </c>
      <c r="AA41" s="36">
        <v>0.63360000000000005</v>
      </c>
      <c r="AB41" s="54">
        <v>13.692</v>
      </c>
      <c r="AC41" s="54">
        <v>2.282</v>
      </c>
      <c r="AD41" s="36">
        <v>68.085599999999999</v>
      </c>
    </row>
    <row r="42" spans="1:30" s="37" customFormat="1" ht="15.75" customHeight="1" x14ac:dyDescent="0.2">
      <c r="A42" s="26">
        <v>2458</v>
      </c>
      <c r="B42" s="27" t="s">
        <v>157</v>
      </c>
      <c r="C42" s="27" t="s">
        <v>38</v>
      </c>
      <c r="D42" s="28">
        <v>0.03</v>
      </c>
      <c r="E42" s="29">
        <v>6.48</v>
      </c>
      <c r="F42" s="29">
        <v>8.73</v>
      </c>
      <c r="G42" s="30" t="s">
        <v>39</v>
      </c>
      <c r="H42" s="27" t="s">
        <v>71</v>
      </c>
      <c r="I42" s="27" t="s">
        <v>49</v>
      </c>
      <c r="J42" s="27" t="s">
        <v>88</v>
      </c>
      <c r="K42" s="27" t="s">
        <v>73</v>
      </c>
      <c r="L42" s="31" t="s">
        <v>158</v>
      </c>
      <c r="M42" s="32">
        <v>0.37</v>
      </c>
      <c r="N42" s="27" t="s">
        <v>33</v>
      </c>
      <c r="O42" s="27" t="s">
        <v>53</v>
      </c>
      <c r="P42" s="27" t="s">
        <v>84</v>
      </c>
      <c r="Q42" s="27" t="s">
        <v>159</v>
      </c>
      <c r="R42" s="33">
        <v>55410</v>
      </c>
      <c r="S42" s="34">
        <v>42007</v>
      </c>
      <c r="T42" s="34">
        <v>42009</v>
      </c>
      <c r="U42" s="29">
        <v>-35.04</v>
      </c>
      <c r="V42" s="26">
        <v>2</v>
      </c>
      <c r="W42" s="29">
        <v>15.95</v>
      </c>
      <c r="X42" s="26">
        <v>91285</v>
      </c>
      <c r="Y42" s="35">
        <v>1.39</v>
      </c>
      <c r="Z42" s="1" t="s">
        <v>3012</v>
      </c>
      <c r="AA42" s="36">
        <v>0.38880000000000003</v>
      </c>
      <c r="AB42" s="54">
        <v>10.048499999999999</v>
      </c>
      <c r="AC42" s="54">
        <v>2.9507499999999998</v>
      </c>
      <c r="AD42" s="36">
        <v>41.871200000000002</v>
      </c>
    </row>
    <row r="43" spans="1:30" s="37" customFormat="1" ht="15.75" customHeight="1" x14ac:dyDescent="0.2">
      <c r="A43" s="26">
        <v>2081</v>
      </c>
      <c r="B43" s="27" t="s">
        <v>175</v>
      </c>
      <c r="C43" s="27" t="s">
        <v>48</v>
      </c>
      <c r="D43" s="28">
        <v>0.09</v>
      </c>
      <c r="E43" s="29">
        <v>1.48</v>
      </c>
      <c r="F43" s="29">
        <v>0.7</v>
      </c>
      <c r="G43" s="30" t="s">
        <v>39</v>
      </c>
      <c r="H43" s="27" t="s">
        <v>94</v>
      </c>
      <c r="I43" s="27" t="s">
        <v>49</v>
      </c>
      <c r="J43" s="27" t="s">
        <v>176</v>
      </c>
      <c r="K43" s="27" t="s">
        <v>51</v>
      </c>
      <c r="L43" s="31" t="s">
        <v>177</v>
      </c>
      <c r="M43" s="32">
        <v>0.37</v>
      </c>
      <c r="N43" s="27" t="s">
        <v>33</v>
      </c>
      <c r="O43" s="27" t="s">
        <v>111</v>
      </c>
      <c r="P43" s="27" t="s">
        <v>112</v>
      </c>
      <c r="Q43" s="27" t="s">
        <v>178</v>
      </c>
      <c r="R43" s="33">
        <v>14853</v>
      </c>
      <c r="S43" s="34">
        <v>42007</v>
      </c>
      <c r="T43" s="34">
        <v>42009</v>
      </c>
      <c r="U43" s="29">
        <v>1.68</v>
      </c>
      <c r="V43" s="26">
        <v>6</v>
      </c>
      <c r="W43" s="29">
        <v>8.9499999999999993</v>
      </c>
      <c r="X43" s="26">
        <v>86092</v>
      </c>
      <c r="Y43" s="35">
        <v>213.45</v>
      </c>
      <c r="Z43" s="1" t="s">
        <v>3014</v>
      </c>
      <c r="AA43" s="36">
        <v>0.79919999999999991</v>
      </c>
      <c r="AB43" s="54">
        <v>5.6384999999999996</v>
      </c>
      <c r="AC43" s="54">
        <v>0.55191666666666661</v>
      </c>
      <c r="AD43" s="36">
        <v>5.7707999999999995</v>
      </c>
    </row>
    <row r="44" spans="1:30" s="37" customFormat="1" ht="15.75" customHeight="1" x14ac:dyDescent="0.2">
      <c r="A44" s="26">
        <v>1142</v>
      </c>
      <c r="B44" s="27" t="s">
        <v>198</v>
      </c>
      <c r="C44" s="27" t="s">
        <v>116</v>
      </c>
      <c r="D44" s="28">
        <v>0.05</v>
      </c>
      <c r="E44" s="29">
        <v>363.25</v>
      </c>
      <c r="F44" s="29">
        <v>19.989999999999998</v>
      </c>
      <c r="G44" s="30" t="s">
        <v>39</v>
      </c>
      <c r="H44" s="27" t="s">
        <v>71</v>
      </c>
      <c r="I44" s="27" t="s">
        <v>49</v>
      </c>
      <c r="J44" s="27" t="s">
        <v>95</v>
      </c>
      <c r="K44" s="27" t="s">
        <v>73</v>
      </c>
      <c r="L44" s="31" t="s">
        <v>199</v>
      </c>
      <c r="M44" s="32">
        <v>0.56999999999999995</v>
      </c>
      <c r="N44" s="27" t="s">
        <v>33</v>
      </c>
      <c r="O44" s="27" t="s">
        <v>53</v>
      </c>
      <c r="P44" s="27" t="s">
        <v>187</v>
      </c>
      <c r="Q44" s="27" t="s">
        <v>200</v>
      </c>
      <c r="R44" s="33">
        <v>76706</v>
      </c>
      <c r="S44" s="34">
        <v>42008</v>
      </c>
      <c r="T44" s="34">
        <v>42010</v>
      </c>
      <c r="U44" s="29">
        <v>1766.7795000000001</v>
      </c>
      <c r="V44" s="26">
        <v>7</v>
      </c>
      <c r="W44" s="29">
        <v>2560.5500000000002</v>
      </c>
      <c r="X44" s="26">
        <v>86573</v>
      </c>
      <c r="Y44" s="35">
        <v>399.95000000000005</v>
      </c>
      <c r="Z44" s="1" t="s">
        <v>3012</v>
      </c>
      <c r="AA44" s="36">
        <v>127.13750000000002</v>
      </c>
      <c r="AB44" s="54">
        <v>1101.0365000000002</v>
      </c>
      <c r="AC44" s="54">
        <v>208.50192857142855</v>
      </c>
      <c r="AD44" s="36">
        <v>646.64300000000003</v>
      </c>
    </row>
    <row r="45" spans="1:30" s="37" customFormat="1" ht="15.75" customHeight="1" x14ac:dyDescent="0.2">
      <c r="A45" s="26">
        <v>2393</v>
      </c>
      <c r="B45" s="27" t="s">
        <v>193</v>
      </c>
      <c r="C45" s="27" t="s">
        <v>38</v>
      </c>
      <c r="D45" s="28">
        <v>0.06</v>
      </c>
      <c r="E45" s="29">
        <v>105.29</v>
      </c>
      <c r="F45" s="29">
        <v>10.119999999999999</v>
      </c>
      <c r="G45" s="30" t="s">
        <v>39</v>
      </c>
      <c r="H45" s="27" t="s">
        <v>94</v>
      </c>
      <c r="I45" s="27" t="s">
        <v>29</v>
      </c>
      <c r="J45" s="27" t="s">
        <v>126</v>
      </c>
      <c r="K45" s="27" t="s">
        <v>65</v>
      </c>
      <c r="L45" s="31" t="s">
        <v>194</v>
      </c>
      <c r="M45" s="32">
        <v>0.79</v>
      </c>
      <c r="N45" s="27" t="s">
        <v>33</v>
      </c>
      <c r="O45" s="27" t="s">
        <v>34</v>
      </c>
      <c r="P45" s="27" t="s">
        <v>75</v>
      </c>
      <c r="Q45" s="27" t="s">
        <v>195</v>
      </c>
      <c r="R45" s="33">
        <v>30076</v>
      </c>
      <c r="S45" s="34">
        <v>42008</v>
      </c>
      <c r="T45" s="34">
        <v>42010</v>
      </c>
      <c r="U45" s="29">
        <v>-45.01</v>
      </c>
      <c r="V45" s="26">
        <v>12</v>
      </c>
      <c r="W45" s="29">
        <v>1202.6600000000001</v>
      </c>
      <c r="X45" s="26">
        <v>86951</v>
      </c>
      <c r="Y45" s="35">
        <v>3.33</v>
      </c>
      <c r="Z45" s="1" t="s">
        <v>3011</v>
      </c>
      <c r="AA45" s="36">
        <v>75.808800000000005</v>
      </c>
      <c r="AB45" s="54">
        <v>252.55859999999998</v>
      </c>
      <c r="AC45" s="54">
        <v>79.175116666666682</v>
      </c>
      <c r="AD45" s="36">
        <v>1161.7412000000002</v>
      </c>
    </row>
    <row r="46" spans="1:30" s="37" customFormat="1" ht="15.75" customHeight="1" x14ac:dyDescent="0.2">
      <c r="A46" s="26">
        <v>2203</v>
      </c>
      <c r="B46" s="27" t="s">
        <v>182</v>
      </c>
      <c r="C46" s="27" t="s">
        <v>26</v>
      </c>
      <c r="D46" s="28">
        <v>0.03</v>
      </c>
      <c r="E46" s="29">
        <v>399.98</v>
      </c>
      <c r="F46" s="29">
        <v>12.06</v>
      </c>
      <c r="G46" s="30" t="s">
        <v>27</v>
      </c>
      <c r="H46" s="27" t="s">
        <v>71</v>
      </c>
      <c r="I46" s="27" t="s">
        <v>41</v>
      </c>
      <c r="J46" s="27" t="s">
        <v>57</v>
      </c>
      <c r="K46" s="27" t="s">
        <v>31</v>
      </c>
      <c r="L46" s="31" t="s">
        <v>183</v>
      </c>
      <c r="M46" s="32">
        <v>0.56000000000000005</v>
      </c>
      <c r="N46" s="27" t="s">
        <v>33</v>
      </c>
      <c r="O46" s="27" t="s">
        <v>53</v>
      </c>
      <c r="P46" s="27" t="s">
        <v>84</v>
      </c>
      <c r="Q46" s="27" t="s">
        <v>184</v>
      </c>
      <c r="R46" s="33">
        <v>55445</v>
      </c>
      <c r="S46" s="34">
        <v>42008</v>
      </c>
      <c r="T46" s="34">
        <v>42010</v>
      </c>
      <c r="U46" s="29">
        <v>-663.51419999999996</v>
      </c>
      <c r="V46" s="26">
        <v>2</v>
      </c>
      <c r="W46" s="29">
        <v>807</v>
      </c>
      <c r="X46" s="26">
        <v>86052</v>
      </c>
      <c r="Y46" s="35">
        <v>3.64</v>
      </c>
      <c r="Z46" s="1" t="s">
        <v>3012</v>
      </c>
      <c r="AA46" s="36">
        <v>23.998799999999999</v>
      </c>
      <c r="AB46" s="54">
        <v>355.08</v>
      </c>
      <c r="AC46" s="54">
        <v>225.96</v>
      </c>
      <c r="AD46" s="36">
        <v>1434.4554000000001</v>
      </c>
    </row>
    <row r="47" spans="1:30" s="37" customFormat="1" ht="15.75" customHeight="1" x14ac:dyDescent="0.2">
      <c r="A47" s="26">
        <v>916</v>
      </c>
      <c r="B47" s="27" t="s">
        <v>196</v>
      </c>
      <c r="C47" s="27" t="s">
        <v>48</v>
      </c>
      <c r="D47" s="28">
        <v>0.05</v>
      </c>
      <c r="E47" s="29">
        <v>161.55000000000001</v>
      </c>
      <c r="F47" s="29">
        <v>19.989999999999998</v>
      </c>
      <c r="G47" s="30" t="s">
        <v>39</v>
      </c>
      <c r="H47" s="27" t="s">
        <v>94</v>
      </c>
      <c r="I47" s="27" t="s">
        <v>49</v>
      </c>
      <c r="J47" s="27" t="s">
        <v>78</v>
      </c>
      <c r="K47" s="27" t="s">
        <v>73</v>
      </c>
      <c r="L47" s="31" t="s">
        <v>79</v>
      </c>
      <c r="M47" s="32">
        <v>0.66</v>
      </c>
      <c r="N47" s="27" t="s">
        <v>33</v>
      </c>
      <c r="O47" s="27" t="s">
        <v>53</v>
      </c>
      <c r="P47" s="27" t="s">
        <v>187</v>
      </c>
      <c r="Q47" s="27" t="s">
        <v>197</v>
      </c>
      <c r="R47" s="33">
        <v>76028</v>
      </c>
      <c r="S47" s="34">
        <v>42008</v>
      </c>
      <c r="T47" s="34">
        <v>42015</v>
      </c>
      <c r="U47" s="29">
        <v>35.31</v>
      </c>
      <c r="V47" s="26">
        <v>3</v>
      </c>
      <c r="W47" s="29">
        <v>499.31</v>
      </c>
      <c r="X47" s="26">
        <v>86357</v>
      </c>
      <c r="Y47" s="35">
        <v>350.92</v>
      </c>
      <c r="Z47" s="1" t="s">
        <v>3012</v>
      </c>
      <c r="AA47" s="36">
        <v>24.232500000000002</v>
      </c>
      <c r="AB47" s="54">
        <v>169.76539999999997</v>
      </c>
      <c r="AC47" s="54">
        <v>109.84820000000001</v>
      </c>
      <c r="AD47" s="36">
        <v>419.77750000000003</v>
      </c>
    </row>
    <row r="48" spans="1:30" s="37" customFormat="1" ht="15.75" customHeight="1" x14ac:dyDescent="0.2">
      <c r="A48" s="26">
        <v>915</v>
      </c>
      <c r="B48" s="27" t="s">
        <v>190</v>
      </c>
      <c r="C48" s="27" t="s">
        <v>38</v>
      </c>
      <c r="D48" s="28">
        <v>0.06</v>
      </c>
      <c r="E48" s="29">
        <v>350.98</v>
      </c>
      <c r="F48" s="29">
        <v>30</v>
      </c>
      <c r="G48" s="30" t="s">
        <v>27</v>
      </c>
      <c r="H48" s="27" t="s">
        <v>71</v>
      </c>
      <c r="I48" s="27" t="s">
        <v>29</v>
      </c>
      <c r="J48" s="27" t="s">
        <v>109</v>
      </c>
      <c r="K48" s="27" t="s">
        <v>58</v>
      </c>
      <c r="L48" s="31" t="s">
        <v>191</v>
      </c>
      <c r="M48" s="32">
        <v>0.61</v>
      </c>
      <c r="N48" s="27" t="s">
        <v>33</v>
      </c>
      <c r="O48" s="27" t="s">
        <v>53</v>
      </c>
      <c r="P48" s="27" t="s">
        <v>187</v>
      </c>
      <c r="Q48" s="27" t="s">
        <v>192</v>
      </c>
      <c r="R48" s="33">
        <v>77803</v>
      </c>
      <c r="S48" s="34">
        <v>42008</v>
      </c>
      <c r="T48" s="34">
        <v>42009</v>
      </c>
      <c r="U48" s="29">
        <v>-489.41559999999998</v>
      </c>
      <c r="V48" s="26">
        <v>1</v>
      </c>
      <c r="W48" s="29">
        <v>346.52</v>
      </c>
      <c r="X48" s="26">
        <v>86356</v>
      </c>
      <c r="Y48" s="35">
        <v>105.23</v>
      </c>
      <c r="Z48" s="1" t="s">
        <v>3012</v>
      </c>
      <c r="AA48" s="36">
        <v>21.058800000000002</v>
      </c>
      <c r="AB48" s="54">
        <v>135.14279999999999</v>
      </c>
      <c r="AC48" s="54">
        <v>211.37719999999999</v>
      </c>
      <c r="AD48" s="36">
        <v>784.8768</v>
      </c>
    </row>
    <row r="49" spans="1:30" s="37" customFormat="1" ht="15.75" customHeight="1" x14ac:dyDescent="0.2">
      <c r="A49" s="26">
        <v>3146</v>
      </c>
      <c r="B49" s="27" t="s">
        <v>185</v>
      </c>
      <c r="C49" s="27" t="s">
        <v>26</v>
      </c>
      <c r="D49" s="28">
        <v>7.0000000000000007E-2</v>
      </c>
      <c r="E49" s="29">
        <v>3.71</v>
      </c>
      <c r="F49" s="29">
        <v>1.93</v>
      </c>
      <c r="G49" s="30" t="s">
        <v>87</v>
      </c>
      <c r="H49" s="27" t="s">
        <v>94</v>
      </c>
      <c r="I49" s="27" t="s">
        <v>49</v>
      </c>
      <c r="J49" s="27" t="s">
        <v>88</v>
      </c>
      <c r="K49" s="27" t="s">
        <v>51</v>
      </c>
      <c r="L49" s="31" t="s">
        <v>189</v>
      </c>
      <c r="M49" s="32">
        <v>0.35</v>
      </c>
      <c r="N49" s="27" t="s">
        <v>33</v>
      </c>
      <c r="O49" s="27" t="s">
        <v>53</v>
      </c>
      <c r="P49" s="27" t="s">
        <v>187</v>
      </c>
      <c r="Q49" s="27" t="s">
        <v>188</v>
      </c>
      <c r="R49" s="33">
        <v>78577</v>
      </c>
      <c r="S49" s="34">
        <v>42008</v>
      </c>
      <c r="T49" s="34">
        <v>42010</v>
      </c>
      <c r="U49" s="29">
        <v>6.3308</v>
      </c>
      <c r="V49" s="26">
        <v>11</v>
      </c>
      <c r="W49" s="29">
        <v>39.64</v>
      </c>
      <c r="X49" s="26">
        <v>85850</v>
      </c>
      <c r="Y49" s="35">
        <v>161.5</v>
      </c>
      <c r="Z49" s="1" t="s">
        <v>3012</v>
      </c>
      <c r="AA49" s="36">
        <v>2.8567000000000005</v>
      </c>
      <c r="AB49" s="54">
        <v>25.766000000000002</v>
      </c>
      <c r="AC49" s="54">
        <v>1.2612727272727271</v>
      </c>
      <c r="AD49" s="36">
        <v>28.522500000000001</v>
      </c>
    </row>
    <row r="50" spans="1:30" s="37" customFormat="1" ht="15.75" customHeight="1" x14ac:dyDescent="0.2">
      <c r="A50" s="26">
        <v>3146</v>
      </c>
      <c r="B50" s="27" t="s">
        <v>185</v>
      </c>
      <c r="C50" s="27" t="s">
        <v>26</v>
      </c>
      <c r="D50" s="28">
        <v>0.03</v>
      </c>
      <c r="E50" s="29">
        <v>3.36</v>
      </c>
      <c r="F50" s="29">
        <v>6.27</v>
      </c>
      <c r="G50" s="30" t="s">
        <v>39</v>
      </c>
      <c r="H50" s="27" t="s">
        <v>94</v>
      </c>
      <c r="I50" s="27" t="s">
        <v>49</v>
      </c>
      <c r="J50" s="27" t="s">
        <v>72</v>
      </c>
      <c r="K50" s="27" t="s">
        <v>73</v>
      </c>
      <c r="L50" s="31" t="s">
        <v>186</v>
      </c>
      <c r="M50" s="32">
        <v>0.4</v>
      </c>
      <c r="N50" s="27" t="s">
        <v>33</v>
      </c>
      <c r="O50" s="27" t="s">
        <v>53</v>
      </c>
      <c r="P50" s="27" t="s">
        <v>187</v>
      </c>
      <c r="Q50" s="27" t="s">
        <v>188</v>
      </c>
      <c r="R50" s="33">
        <v>78577</v>
      </c>
      <c r="S50" s="34">
        <v>42008</v>
      </c>
      <c r="T50" s="34">
        <v>42009</v>
      </c>
      <c r="U50" s="29">
        <v>-94.258600000000001</v>
      </c>
      <c r="V50" s="26">
        <v>4</v>
      </c>
      <c r="W50" s="29">
        <v>14.9</v>
      </c>
      <c r="X50" s="26">
        <v>85850</v>
      </c>
      <c r="Y50" s="35">
        <v>363.2</v>
      </c>
      <c r="Z50" s="1" t="s">
        <v>3012</v>
      </c>
      <c r="AA50" s="36">
        <v>0.40319999999999995</v>
      </c>
      <c r="AB50" s="54">
        <v>8.94</v>
      </c>
      <c r="AC50" s="54">
        <v>1.4900000000000002</v>
      </c>
      <c r="AD50" s="36">
        <v>102.48540000000001</v>
      </c>
    </row>
    <row r="51" spans="1:30" s="37" customFormat="1" ht="15.75" customHeight="1" x14ac:dyDescent="0.2">
      <c r="A51" s="26">
        <v>1314</v>
      </c>
      <c r="B51" s="27" t="s">
        <v>223</v>
      </c>
      <c r="C51" s="27" t="s">
        <v>48</v>
      </c>
      <c r="D51" s="28">
        <v>0.05</v>
      </c>
      <c r="E51" s="29">
        <v>279.48</v>
      </c>
      <c r="F51" s="29">
        <v>35</v>
      </c>
      <c r="G51" s="30" t="s">
        <v>39</v>
      </c>
      <c r="H51" s="27" t="s">
        <v>71</v>
      </c>
      <c r="I51" s="27" t="s">
        <v>49</v>
      </c>
      <c r="J51" s="27" t="s">
        <v>78</v>
      </c>
      <c r="K51" s="27" t="s">
        <v>65</v>
      </c>
      <c r="L51" s="31" t="s">
        <v>225</v>
      </c>
      <c r="M51" s="32">
        <v>0.8</v>
      </c>
      <c r="N51" s="27" t="s">
        <v>33</v>
      </c>
      <c r="O51" s="27" t="s">
        <v>60</v>
      </c>
      <c r="P51" s="27" t="s">
        <v>90</v>
      </c>
      <c r="Q51" s="27" t="s">
        <v>100</v>
      </c>
      <c r="R51" s="33">
        <v>90058</v>
      </c>
      <c r="S51" s="34">
        <v>42009</v>
      </c>
      <c r="T51" s="34">
        <v>42009</v>
      </c>
      <c r="U51" s="29">
        <v>-274.95</v>
      </c>
      <c r="V51" s="26">
        <v>31</v>
      </c>
      <c r="W51" s="29">
        <v>8354.73</v>
      </c>
      <c r="X51" s="26">
        <v>27013</v>
      </c>
      <c r="Y51" s="35">
        <v>1.73</v>
      </c>
      <c r="Z51" s="1" t="s">
        <v>3013</v>
      </c>
      <c r="AA51" s="36">
        <v>433.19400000000007</v>
      </c>
      <c r="AB51" s="54">
        <v>1670.9459999999995</v>
      </c>
      <c r="AC51" s="54">
        <v>215.60593548387098</v>
      </c>
      <c r="AD51" s="36">
        <v>8161.4859999999999</v>
      </c>
    </row>
    <row r="52" spans="1:30" s="37" customFormat="1" ht="15.75" customHeight="1" x14ac:dyDescent="0.2">
      <c r="A52" s="26">
        <v>1314</v>
      </c>
      <c r="B52" s="27" t="s">
        <v>223</v>
      </c>
      <c r="C52" s="27" t="s">
        <v>48</v>
      </c>
      <c r="D52" s="28">
        <v>0.05</v>
      </c>
      <c r="E52" s="29">
        <v>80.98</v>
      </c>
      <c r="F52" s="29">
        <v>35</v>
      </c>
      <c r="G52" s="30" t="s">
        <v>39</v>
      </c>
      <c r="H52" s="27" t="s">
        <v>71</v>
      </c>
      <c r="I52" s="27" t="s">
        <v>49</v>
      </c>
      <c r="J52" s="27" t="s">
        <v>78</v>
      </c>
      <c r="K52" s="27" t="s">
        <v>65</v>
      </c>
      <c r="L52" s="31" t="s">
        <v>224</v>
      </c>
      <c r="M52" s="32">
        <v>0.81</v>
      </c>
      <c r="N52" s="27" t="s">
        <v>33</v>
      </c>
      <c r="O52" s="27" t="s">
        <v>60</v>
      </c>
      <c r="P52" s="27" t="s">
        <v>90</v>
      </c>
      <c r="Q52" s="27" t="s">
        <v>100</v>
      </c>
      <c r="R52" s="33">
        <v>90058</v>
      </c>
      <c r="S52" s="34">
        <v>42009</v>
      </c>
      <c r="T52" s="34">
        <v>42013</v>
      </c>
      <c r="U52" s="29">
        <v>-746.44</v>
      </c>
      <c r="V52" s="26">
        <v>34</v>
      </c>
      <c r="W52" s="29">
        <v>2710.47</v>
      </c>
      <c r="X52" s="26">
        <v>27013</v>
      </c>
      <c r="Y52" s="35">
        <v>125.94999999999999</v>
      </c>
      <c r="Z52" s="1" t="s">
        <v>3013</v>
      </c>
      <c r="AA52" s="36">
        <v>137.66600000000003</v>
      </c>
      <c r="AB52" s="54">
        <v>514.98929999999984</v>
      </c>
      <c r="AC52" s="54">
        <v>64.57296176470588</v>
      </c>
      <c r="AD52" s="36">
        <v>3284.2439999999997</v>
      </c>
    </row>
    <row r="53" spans="1:30" s="37" customFormat="1" ht="15.75" customHeight="1" x14ac:dyDescent="0.2">
      <c r="A53" s="26">
        <v>2630</v>
      </c>
      <c r="B53" s="27" t="s">
        <v>205</v>
      </c>
      <c r="C53" s="27" t="s">
        <v>26</v>
      </c>
      <c r="D53" s="28">
        <v>0.02</v>
      </c>
      <c r="E53" s="29">
        <v>209.84</v>
      </c>
      <c r="F53" s="29">
        <v>21.21</v>
      </c>
      <c r="G53" s="30" t="s">
        <v>39</v>
      </c>
      <c r="H53" s="27" t="s">
        <v>3095</v>
      </c>
      <c r="I53" s="27" t="s">
        <v>29</v>
      </c>
      <c r="J53" s="27" t="s">
        <v>126</v>
      </c>
      <c r="K53" s="27" t="s">
        <v>65</v>
      </c>
      <c r="L53" s="31" t="s">
        <v>209</v>
      </c>
      <c r="M53" s="32">
        <v>0.59</v>
      </c>
      <c r="N53" s="27" t="s">
        <v>33</v>
      </c>
      <c r="O53" s="27" t="s">
        <v>53</v>
      </c>
      <c r="P53" s="27" t="s">
        <v>207</v>
      </c>
      <c r="Q53" s="27" t="s">
        <v>208</v>
      </c>
      <c r="R53" s="33">
        <v>73071</v>
      </c>
      <c r="S53" s="34">
        <v>42009</v>
      </c>
      <c r="T53" s="34">
        <v>42010</v>
      </c>
      <c r="U53" s="29">
        <v>1507.6431</v>
      </c>
      <c r="V53" s="26">
        <v>10</v>
      </c>
      <c r="W53" s="29">
        <v>2184.9899999999998</v>
      </c>
      <c r="X53" s="26">
        <v>85914</v>
      </c>
      <c r="Y53" s="35">
        <v>194.29000000000002</v>
      </c>
      <c r="Z53" s="1" t="s">
        <v>3012</v>
      </c>
      <c r="AA53" s="36">
        <v>41.968000000000004</v>
      </c>
      <c r="AB53" s="54">
        <v>895.84590000000003</v>
      </c>
      <c r="AC53" s="54">
        <v>128.91440999999998</v>
      </c>
      <c r="AD53" s="36">
        <v>614.16889999999967</v>
      </c>
    </row>
    <row r="54" spans="1:30" s="37" customFormat="1" ht="15.75" customHeight="1" x14ac:dyDescent="0.2">
      <c r="A54" s="26">
        <v>1316</v>
      </c>
      <c r="B54" s="27" t="s">
        <v>226</v>
      </c>
      <c r="C54" s="27" t="s">
        <v>48</v>
      </c>
      <c r="D54" s="28">
        <v>0.05</v>
      </c>
      <c r="E54" s="29">
        <v>279.48</v>
      </c>
      <c r="F54" s="29">
        <v>35</v>
      </c>
      <c r="G54" s="30" t="s">
        <v>39</v>
      </c>
      <c r="H54" s="27" t="s">
        <v>71</v>
      </c>
      <c r="I54" s="27" t="s">
        <v>49</v>
      </c>
      <c r="J54" s="27" t="s">
        <v>78</v>
      </c>
      <c r="K54" s="27" t="s">
        <v>65</v>
      </c>
      <c r="L54" s="31" t="s">
        <v>225</v>
      </c>
      <c r="M54" s="32">
        <v>0.8</v>
      </c>
      <c r="N54" s="27" t="s">
        <v>33</v>
      </c>
      <c r="O54" s="27" t="s">
        <v>60</v>
      </c>
      <c r="P54" s="27" t="s">
        <v>61</v>
      </c>
      <c r="Q54" s="27" t="s">
        <v>227</v>
      </c>
      <c r="R54" s="33">
        <v>80022</v>
      </c>
      <c r="S54" s="34">
        <v>42009</v>
      </c>
      <c r="T54" s="34">
        <v>42009</v>
      </c>
      <c r="U54" s="29">
        <v>-274.95</v>
      </c>
      <c r="V54" s="26">
        <v>8</v>
      </c>
      <c r="W54" s="29">
        <v>2156.06</v>
      </c>
      <c r="X54" s="26">
        <v>87603</v>
      </c>
      <c r="Y54" s="35">
        <v>209.82</v>
      </c>
      <c r="Z54" s="1" t="s">
        <v>3013</v>
      </c>
      <c r="AA54" s="36">
        <v>111.79200000000002</v>
      </c>
      <c r="AB54" s="54">
        <v>431.21199999999988</v>
      </c>
      <c r="AC54" s="54">
        <v>215.60599999999999</v>
      </c>
      <c r="AD54" s="36">
        <v>2284.2179999999998</v>
      </c>
    </row>
    <row r="55" spans="1:30" s="37" customFormat="1" ht="15.75" customHeight="1" x14ac:dyDescent="0.2">
      <c r="A55" s="26">
        <v>2630</v>
      </c>
      <c r="B55" s="27" t="s">
        <v>205</v>
      </c>
      <c r="C55" s="27" t="s">
        <v>26</v>
      </c>
      <c r="D55" s="28">
        <v>0</v>
      </c>
      <c r="E55" s="29">
        <v>145.44999999999999</v>
      </c>
      <c r="F55" s="29">
        <v>17.850000000000001</v>
      </c>
      <c r="G55" s="30" t="s">
        <v>27</v>
      </c>
      <c r="H55" s="27" t="s">
        <v>3095</v>
      </c>
      <c r="I55" s="27" t="s">
        <v>41</v>
      </c>
      <c r="J55" s="27" t="s">
        <v>57</v>
      </c>
      <c r="K55" s="27" t="s">
        <v>58</v>
      </c>
      <c r="L55" s="31" t="s">
        <v>210</v>
      </c>
      <c r="M55" s="32">
        <v>0.56000000000000005</v>
      </c>
      <c r="N55" s="27" t="s">
        <v>33</v>
      </c>
      <c r="O55" s="27" t="s">
        <v>53</v>
      </c>
      <c r="P55" s="27" t="s">
        <v>207</v>
      </c>
      <c r="Q55" s="27" t="s">
        <v>208</v>
      </c>
      <c r="R55" s="33">
        <v>73071</v>
      </c>
      <c r="S55" s="34">
        <v>42009</v>
      </c>
      <c r="T55" s="34">
        <v>42011</v>
      </c>
      <c r="U55" s="29">
        <v>801.74680000000001</v>
      </c>
      <c r="V55" s="26">
        <v>8</v>
      </c>
      <c r="W55" s="29">
        <v>1191.2</v>
      </c>
      <c r="X55" s="26">
        <v>85914</v>
      </c>
      <c r="Y55" s="35">
        <v>145.44999999999999</v>
      </c>
      <c r="Z55" s="1" t="s">
        <v>3012</v>
      </c>
      <c r="AA55" s="36">
        <v>0</v>
      </c>
      <c r="AB55" s="54">
        <v>524.12799999999993</v>
      </c>
      <c r="AC55" s="54">
        <v>83.384000000000015</v>
      </c>
      <c r="AD55" s="36">
        <v>371.60320000000002</v>
      </c>
    </row>
    <row r="56" spans="1:30" s="37" customFormat="1" ht="15.75" customHeight="1" x14ac:dyDescent="0.2">
      <c r="A56" s="26">
        <v>2630</v>
      </c>
      <c r="B56" s="27" t="s">
        <v>205</v>
      </c>
      <c r="C56" s="27" t="s">
        <v>26</v>
      </c>
      <c r="D56" s="28">
        <v>0.01</v>
      </c>
      <c r="E56" s="29">
        <v>194.3</v>
      </c>
      <c r="F56" s="29">
        <v>11.54</v>
      </c>
      <c r="G56" s="30" t="s">
        <v>39</v>
      </c>
      <c r="H56" s="27" t="s">
        <v>3095</v>
      </c>
      <c r="I56" s="27" t="s">
        <v>29</v>
      </c>
      <c r="J56" s="27" t="s">
        <v>126</v>
      </c>
      <c r="K56" s="27" t="s">
        <v>65</v>
      </c>
      <c r="L56" s="31" t="s">
        <v>206</v>
      </c>
      <c r="M56" s="32">
        <v>0.59</v>
      </c>
      <c r="N56" s="27" t="s">
        <v>33</v>
      </c>
      <c r="O56" s="27" t="s">
        <v>53</v>
      </c>
      <c r="P56" s="27" t="s">
        <v>207</v>
      </c>
      <c r="Q56" s="27" t="s">
        <v>208</v>
      </c>
      <c r="R56" s="33">
        <v>73071</v>
      </c>
      <c r="S56" s="34">
        <v>42009</v>
      </c>
      <c r="T56" s="34">
        <v>42011</v>
      </c>
      <c r="U56" s="29">
        <v>690.17939999999999</v>
      </c>
      <c r="V56" s="26">
        <v>5</v>
      </c>
      <c r="W56" s="29">
        <v>1000.26</v>
      </c>
      <c r="X56" s="26">
        <v>85914</v>
      </c>
      <c r="Y56" s="35">
        <v>28.45</v>
      </c>
      <c r="Z56" s="1" t="s">
        <v>3012</v>
      </c>
      <c r="AA56" s="36">
        <v>9.7149999999999999</v>
      </c>
      <c r="AB56" s="54">
        <v>410.10660000000001</v>
      </c>
      <c r="AC56" s="54">
        <v>118.03067999999999</v>
      </c>
      <c r="AD56" s="36">
        <v>288.82560000000001</v>
      </c>
    </row>
    <row r="57" spans="1:30" s="37" customFormat="1" ht="15.75" customHeight="1" x14ac:dyDescent="0.2">
      <c r="A57" s="26">
        <v>890</v>
      </c>
      <c r="B57" s="27" t="s">
        <v>201</v>
      </c>
      <c r="C57" s="27" t="s">
        <v>26</v>
      </c>
      <c r="D57" s="28">
        <v>0.04</v>
      </c>
      <c r="E57" s="29">
        <v>125.99</v>
      </c>
      <c r="F57" s="29">
        <v>5.26</v>
      </c>
      <c r="G57" s="30" t="s">
        <v>39</v>
      </c>
      <c r="H57" s="27" t="s">
        <v>40</v>
      </c>
      <c r="I57" s="27" t="s">
        <v>41</v>
      </c>
      <c r="J57" s="27" t="s">
        <v>135</v>
      </c>
      <c r="K57" s="27" t="s">
        <v>73</v>
      </c>
      <c r="L57" s="31" t="s">
        <v>204</v>
      </c>
      <c r="M57" s="32">
        <v>0.55000000000000004</v>
      </c>
      <c r="N57" s="27" t="s">
        <v>33</v>
      </c>
      <c r="O57" s="27" t="s">
        <v>53</v>
      </c>
      <c r="P57" s="27" t="s">
        <v>187</v>
      </c>
      <c r="Q57" s="27" t="s">
        <v>203</v>
      </c>
      <c r="R57" s="33">
        <v>76021</v>
      </c>
      <c r="S57" s="34">
        <v>42009</v>
      </c>
      <c r="T57" s="34">
        <v>42009</v>
      </c>
      <c r="U57" s="29">
        <v>455.42070000000001</v>
      </c>
      <c r="V57" s="26">
        <v>6</v>
      </c>
      <c r="W57" s="29">
        <v>660.03</v>
      </c>
      <c r="X57" s="26">
        <v>89536</v>
      </c>
      <c r="Y57" s="35">
        <v>205.98000000000002</v>
      </c>
      <c r="Z57" s="1" t="s">
        <v>3012</v>
      </c>
      <c r="AA57" s="36">
        <v>30.2376</v>
      </c>
      <c r="AB57" s="54">
        <v>297.01349999999996</v>
      </c>
      <c r="AC57" s="54">
        <v>60.502749999999999</v>
      </c>
      <c r="AD57" s="36">
        <v>169.11169999999998</v>
      </c>
    </row>
    <row r="58" spans="1:30" s="37" customFormat="1" ht="15.75" customHeight="1" x14ac:dyDescent="0.2">
      <c r="A58" s="26">
        <v>1316</v>
      </c>
      <c r="B58" s="27" t="s">
        <v>226</v>
      </c>
      <c r="C58" s="27" t="s">
        <v>48</v>
      </c>
      <c r="D58" s="28">
        <v>0.05</v>
      </c>
      <c r="E58" s="29">
        <v>80.98</v>
      </c>
      <c r="F58" s="29">
        <v>35</v>
      </c>
      <c r="G58" s="30" t="s">
        <v>39</v>
      </c>
      <c r="H58" s="27" t="s">
        <v>71</v>
      </c>
      <c r="I58" s="27" t="s">
        <v>49</v>
      </c>
      <c r="J58" s="27" t="s">
        <v>78</v>
      </c>
      <c r="K58" s="27" t="s">
        <v>65</v>
      </c>
      <c r="L58" s="31" t="s">
        <v>224</v>
      </c>
      <c r="M58" s="32">
        <v>0.81</v>
      </c>
      <c r="N58" s="27" t="s">
        <v>33</v>
      </c>
      <c r="O58" s="27" t="s">
        <v>60</v>
      </c>
      <c r="P58" s="27" t="s">
        <v>61</v>
      </c>
      <c r="Q58" s="27" t="s">
        <v>227</v>
      </c>
      <c r="R58" s="33">
        <v>80022</v>
      </c>
      <c r="S58" s="34">
        <v>42009</v>
      </c>
      <c r="T58" s="34">
        <v>42013</v>
      </c>
      <c r="U58" s="29">
        <v>-746.44</v>
      </c>
      <c r="V58" s="26">
        <v>8</v>
      </c>
      <c r="W58" s="29">
        <v>637.76</v>
      </c>
      <c r="X58" s="26">
        <v>87603</v>
      </c>
      <c r="Y58" s="35">
        <v>120.89</v>
      </c>
      <c r="Z58" s="1" t="s">
        <v>3013</v>
      </c>
      <c r="AA58" s="36">
        <v>32.392000000000003</v>
      </c>
      <c r="AB58" s="54">
        <v>121.17439999999996</v>
      </c>
      <c r="AC58" s="54">
        <v>64.5732</v>
      </c>
      <c r="AD58" s="36">
        <v>1316.808</v>
      </c>
    </row>
    <row r="59" spans="1:30" s="37" customFormat="1" ht="15.75" customHeight="1" x14ac:dyDescent="0.2">
      <c r="A59" s="26">
        <v>2206</v>
      </c>
      <c r="B59" s="27" t="s">
        <v>211</v>
      </c>
      <c r="C59" s="27" t="s">
        <v>38</v>
      </c>
      <c r="D59" s="28">
        <v>0.01</v>
      </c>
      <c r="E59" s="29">
        <v>205.99</v>
      </c>
      <c r="F59" s="29">
        <v>5.99</v>
      </c>
      <c r="G59" s="30" t="s">
        <v>39</v>
      </c>
      <c r="H59" s="27" t="s">
        <v>40</v>
      </c>
      <c r="I59" s="27" t="s">
        <v>41</v>
      </c>
      <c r="J59" s="27" t="s">
        <v>135</v>
      </c>
      <c r="K59" s="27" t="s">
        <v>73</v>
      </c>
      <c r="L59" s="31" t="s">
        <v>215</v>
      </c>
      <c r="M59" s="32">
        <v>0.59</v>
      </c>
      <c r="N59" s="27" t="s">
        <v>33</v>
      </c>
      <c r="O59" s="27" t="s">
        <v>53</v>
      </c>
      <c r="P59" s="27" t="s">
        <v>213</v>
      </c>
      <c r="Q59" s="27" t="s">
        <v>214</v>
      </c>
      <c r="R59" s="33">
        <v>50501</v>
      </c>
      <c r="S59" s="34">
        <v>42009</v>
      </c>
      <c r="T59" s="34">
        <v>42011</v>
      </c>
      <c r="U59" s="29">
        <v>-74.883600000000001</v>
      </c>
      <c r="V59" s="26">
        <v>3</v>
      </c>
      <c r="W59" s="29">
        <v>551.22</v>
      </c>
      <c r="X59" s="26">
        <v>86258</v>
      </c>
      <c r="Y59" s="35">
        <v>8.870000000000001</v>
      </c>
      <c r="Z59" s="1" t="s">
        <v>3012</v>
      </c>
      <c r="AA59" s="36">
        <v>6.1797000000000004</v>
      </c>
      <c r="AB59" s="54">
        <v>226.00020000000004</v>
      </c>
      <c r="AC59" s="54">
        <v>108.4066</v>
      </c>
      <c r="AD59" s="36">
        <v>613.93389999999999</v>
      </c>
    </row>
    <row r="60" spans="1:30" s="37" customFormat="1" ht="15.75" customHeight="1" x14ac:dyDescent="0.2">
      <c r="A60" s="26">
        <v>2151</v>
      </c>
      <c r="B60" s="27" t="s">
        <v>234</v>
      </c>
      <c r="C60" s="27" t="s">
        <v>3094</v>
      </c>
      <c r="D60" s="28">
        <v>0.08</v>
      </c>
      <c r="E60" s="29">
        <v>243.98</v>
      </c>
      <c r="F60" s="29">
        <v>43.32</v>
      </c>
      <c r="G60" s="30" t="s">
        <v>27</v>
      </c>
      <c r="H60" s="27" t="s">
        <v>94</v>
      </c>
      <c r="I60" s="27" t="s">
        <v>29</v>
      </c>
      <c r="J60" s="27" t="s">
        <v>109</v>
      </c>
      <c r="K60" s="27" t="s">
        <v>58</v>
      </c>
      <c r="L60" s="31" t="s">
        <v>235</v>
      </c>
      <c r="M60" s="32">
        <v>0.55000000000000004</v>
      </c>
      <c r="N60" s="27" t="s">
        <v>33</v>
      </c>
      <c r="O60" s="27" t="s">
        <v>53</v>
      </c>
      <c r="P60" s="27" t="s">
        <v>213</v>
      </c>
      <c r="Q60" s="27" t="s">
        <v>236</v>
      </c>
      <c r="R60" s="33">
        <v>52001</v>
      </c>
      <c r="S60" s="34">
        <v>42009</v>
      </c>
      <c r="T60" s="34">
        <v>42010</v>
      </c>
      <c r="U60" s="29">
        <v>-162.8244</v>
      </c>
      <c r="V60" s="26">
        <v>1</v>
      </c>
      <c r="W60" s="29">
        <v>248.84</v>
      </c>
      <c r="X60" s="26">
        <v>90404</v>
      </c>
      <c r="Y60" s="35">
        <v>2.82</v>
      </c>
      <c r="Z60" s="1" t="s">
        <v>3012</v>
      </c>
      <c r="AA60" s="36">
        <v>19.5184</v>
      </c>
      <c r="AB60" s="54">
        <v>111.97799999999999</v>
      </c>
      <c r="AC60" s="54">
        <v>136.86200000000002</v>
      </c>
      <c r="AD60" s="36">
        <v>348.82600000000002</v>
      </c>
    </row>
    <row r="61" spans="1:30" s="37" customFormat="1" ht="15.75" customHeight="1" x14ac:dyDescent="0.2">
      <c r="A61" s="26">
        <v>3125</v>
      </c>
      <c r="B61" s="27" t="s">
        <v>216</v>
      </c>
      <c r="C61" s="27" t="s">
        <v>38</v>
      </c>
      <c r="D61" s="28">
        <v>0.08</v>
      </c>
      <c r="E61" s="29">
        <v>120.97</v>
      </c>
      <c r="F61" s="29">
        <v>26.3</v>
      </c>
      <c r="G61" s="30" t="s">
        <v>27</v>
      </c>
      <c r="H61" s="27" t="s">
        <v>71</v>
      </c>
      <c r="I61" s="27" t="s">
        <v>41</v>
      </c>
      <c r="J61" s="27" t="s">
        <v>57</v>
      </c>
      <c r="K61" s="27" t="s">
        <v>58</v>
      </c>
      <c r="L61" s="31" t="s">
        <v>217</v>
      </c>
      <c r="M61" s="32">
        <v>0.38</v>
      </c>
      <c r="N61" s="27" t="s">
        <v>33</v>
      </c>
      <c r="O61" s="27" t="s">
        <v>53</v>
      </c>
      <c r="P61" s="27" t="s">
        <v>103</v>
      </c>
      <c r="Q61" s="27" t="s">
        <v>218</v>
      </c>
      <c r="R61" s="33">
        <v>60056</v>
      </c>
      <c r="S61" s="34">
        <v>42009</v>
      </c>
      <c r="T61" s="34">
        <v>42011</v>
      </c>
      <c r="U61" s="29">
        <v>-233.840688</v>
      </c>
      <c r="V61" s="26">
        <v>2</v>
      </c>
      <c r="W61" s="29">
        <v>233.58</v>
      </c>
      <c r="X61" s="26">
        <v>87285</v>
      </c>
      <c r="Y61" s="35">
        <v>80.930000000000007</v>
      </c>
      <c r="Z61" s="1" t="s">
        <v>3012</v>
      </c>
      <c r="AA61" s="36">
        <v>19.3552</v>
      </c>
      <c r="AB61" s="54">
        <v>144.81960000000001</v>
      </c>
      <c r="AC61" s="54">
        <v>44.380200000000002</v>
      </c>
      <c r="AD61" s="36">
        <v>421.765488</v>
      </c>
    </row>
    <row r="62" spans="1:30" s="37" customFormat="1" ht="15.75" customHeight="1" x14ac:dyDescent="0.2">
      <c r="A62" s="26">
        <v>3331</v>
      </c>
      <c r="B62" s="27" t="s">
        <v>228</v>
      </c>
      <c r="C62" s="27" t="s">
        <v>116</v>
      </c>
      <c r="D62" s="28">
        <v>0.09</v>
      </c>
      <c r="E62" s="29">
        <v>5.98</v>
      </c>
      <c r="F62" s="29">
        <v>4.6900000000000004</v>
      </c>
      <c r="G62" s="30" t="s">
        <v>39</v>
      </c>
      <c r="H62" s="27" t="s">
        <v>94</v>
      </c>
      <c r="I62" s="27" t="s">
        <v>49</v>
      </c>
      <c r="J62" s="27" t="s">
        <v>78</v>
      </c>
      <c r="K62" s="27" t="s">
        <v>73</v>
      </c>
      <c r="L62" s="31" t="s">
        <v>229</v>
      </c>
      <c r="M62" s="32">
        <v>0.68</v>
      </c>
      <c r="N62" s="27" t="s">
        <v>33</v>
      </c>
      <c r="O62" s="27" t="s">
        <v>34</v>
      </c>
      <c r="P62" s="27" t="s">
        <v>123</v>
      </c>
      <c r="Q62" s="27" t="s">
        <v>230</v>
      </c>
      <c r="R62" s="33">
        <v>32174</v>
      </c>
      <c r="S62" s="34">
        <v>42009</v>
      </c>
      <c r="T62" s="34">
        <v>42010</v>
      </c>
      <c r="U62" s="29">
        <v>-781.13419999999996</v>
      </c>
      <c r="V62" s="26">
        <v>11</v>
      </c>
      <c r="W62" s="29">
        <v>65.849999999999994</v>
      </c>
      <c r="X62" s="26">
        <v>86283</v>
      </c>
      <c r="Y62" s="35">
        <v>279.43</v>
      </c>
      <c r="Z62" s="1" t="s">
        <v>3011</v>
      </c>
      <c r="AA62" s="36">
        <v>5.9202000000000004</v>
      </c>
      <c r="AB62" s="54">
        <v>21.071999999999996</v>
      </c>
      <c r="AC62" s="54">
        <v>4.0707272727272725</v>
      </c>
      <c r="AD62" s="36">
        <v>836.37399999999991</v>
      </c>
    </row>
    <row r="63" spans="1:30" s="37" customFormat="1" ht="15.75" customHeight="1" x14ac:dyDescent="0.2">
      <c r="A63" s="26">
        <v>2206</v>
      </c>
      <c r="B63" s="27" t="s">
        <v>211</v>
      </c>
      <c r="C63" s="27" t="s">
        <v>38</v>
      </c>
      <c r="D63" s="28">
        <v>0.03</v>
      </c>
      <c r="E63" s="29">
        <v>28.48</v>
      </c>
      <c r="F63" s="29">
        <v>1.99</v>
      </c>
      <c r="G63" s="30" t="s">
        <v>39</v>
      </c>
      <c r="H63" s="27" t="s">
        <v>40</v>
      </c>
      <c r="I63" s="27" t="s">
        <v>41</v>
      </c>
      <c r="J63" s="27" t="s">
        <v>42</v>
      </c>
      <c r="K63" s="27" t="s">
        <v>43</v>
      </c>
      <c r="L63" s="31" t="s">
        <v>212</v>
      </c>
      <c r="M63" s="32">
        <v>0.4</v>
      </c>
      <c r="N63" s="27" t="s">
        <v>33</v>
      </c>
      <c r="O63" s="27" t="s">
        <v>53</v>
      </c>
      <c r="P63" s="27" t="s">
        <v>213</v>
      </c>
      <c r="Q63" s="27" t="s">
        <v>214</v>
      </c>
      <c r="R63" s="33">
        <v>50501</v>
      </c>
      <c r="S63" s="34">
        <v>42009</v>
      </c>
      <c r="T63" s="34">
        <v>42010</v>
      </c>
      <c r="U63" s="29">
        <v>-35.290399999999998</v>
      </c>
      <c r="V63" s="26">
        <v>2</v>
      </c>
      <c r="W63" s="29">
        <v>55.25</v>
      </c>
      <c r="X63" s="26">
        <v>86258</v>
      </c>
      <c r="Y63" s="35">
        <v>80.930000000000007</v>
      </c>
      <c r="Z63" s="1" t="s">
        <v>3012</v>
      </c>
      <c r="AA63" s="36">
        <v>1.7087999999999999</v>
      </c>
      <c r="AB63" s="54">
        <v>33.15</v>
      </c>
      <c r="AC63" s="54">
        <v>11.05</v>
      </c>
      <c r="AD63" s="36">
        <v>86.8416</v>
      </c>
    </row>
    <row r="64" spans="1:30" s="37" customFormat="1" ht="15.75" customHeight="1" x14ac:dyDescent="0.2">
      <c r="A64" s="26">
        <v>1085</v>
      </c>
      <c r="B64" s="27" t="s">
        <v>231</v>
      </c>
      <c r="C64" s="27" t="s">
        <v>3094</v>
      </c>
      <c r="D64" s="28">
        <v>0.05</v>
      </c>
      <c r="E64" s="29">
        <v>7.64</v>
      </c>
      <c r="F64" s="29">
        <v>5.83</v>
      </c>
      <c r="G64" s="30" t="s">
        <v>39</v>
      </c>
      <c r="H64" s="27" t="s">
        <v>71</v>
      </c>
      <c r="I64" s="27" t="s">
        <v>49</v>
      </c>
      <c r="J64" s="27" t="s">
        <v>88</v>
      </c>
      <c r="K64" s="27" t="s">
        <v>51</v>
      </c>
      <c r="L64" s="31" t="s">
        <v>232</v>
      </c>
      <c r="M64" s="32">
        <v>0.36</v>
      </c>
      <c r="N64" s="27" t="s">
        <v>33</v>
      </c>
      <c r="O64" s="27" t="s">
        <v>111</v>
      </c>
      <c r="P64" s="27" t="s">
        <v>112</v>
      </c>
      <c r="Q64" s="27" t="s">
        <v>233</v>
      </c>
      <c r="R64" s="33">
        <v>11729</v>
      </c>
      <c r="S64" s="34">
        <v>42009</v>
      </c>
      <c r="T64" s="34">
        <v>42010</v>
      </c>
      <c r="U64" s="29">
        <v>-40.275199999999998</v>
      </c>
      <c r="V64" s="26">
        <v>6</v>
      </c>
      <c r="W64" s="29">
        <v>47.18</v>
      </c>
      <c r="X64" s="26">
        <v>86122</v>
      </c>
      <c r="Y64" s="35">
        <v>279.43</v>
      </c>
      <c r="Z64" s="1" t="s">
        <v>3014</v>
      </c>
      <c r="AA64" s="36">
        <v>2.2919999999999998</v>
      </c>
      <c r="AB64" s="54">
        <v>30.1952</v>
      </c>
      <c r="AC64" s="54">
        <v>2.8308</v>
      </c>
      <c r="AD64" s="36">
        <v>79.333200000000005</v>
      </c>
    </row>
    <row r="65" spans="1:30" s="37" customFormat="1" ht="15.75" customHeight="1" x14ac:dyDescent="0.2">
      <c r="A65" s="26">
        <v>451</v>
      </c>
      <c r="B65" s="27" t="s">
        <v>219</v>
      </c>
      <c r="C65" s="27" t="s">
        <v>48</v>
      </c>
      <c r="D65" s="28">
        <v>0.06</v>
      </c>
      <c r="E65" s="29">
        <v>2.88</v>
      </c>
      <c r="F65" s="29">
        <v>0.99</v>
      </c>
      <c r="G65" s="30" t="s">
        <v>39</v>
      </c>
      <c r="H65" s="27" t="s">
        <v>71</v>
      </c>
      <c r="I65" s="27" t="s">
        <v>49</v>
      </c>
      <c r="J65" s="27" t="s">
        <v>152</v>
      </c>
      <c r="K65" s="27" t="s">
        <v>73</v>
      </c>
      <c r="L65" s="31" t="s">
        <v>222</v>
      </c>
      <c r="M65" s="32">
        <v>0.36</v>
      </c>
      <c r="N65" s="27" t="s">
        <v>33</v>
      </c>
      <c r="O65" s="27" t="s">
        <v>60</v>
      </c>
      <c r="P65" s="27" t="s">
        <v>90</v>
      </c>
      <c r="Q65" s="27" t="s">
        <v>221</v>
      </c>
      <c r="R65" s="33">
        <v>94024</v>
      </c>
      <c r="S65" s="34">
        <v>42009</v>
      </c>
      <c r="T65" s="34">
        <v>42018</v>
      </c>
      <c r="U65" s="29">
        <v>16.049399999999999</v>
      </c>
      <c r="V65" s="26">
        <v>8</v>
      </c>
      <c r="W65" s="29">
        <v>23.26</v>
      </c>
      <c r="X65" s="26">
        <v>86013</v>
      </c>
      <c r="Y65" s="35">
        <v>5.8900000000000006</v>
      </c>
      <c r="Z65" s="1" t="s">
        <v>3013</v>
      </c>
      <c r="AA65" s="36">
        <v>1.3823999999999999</v>
      </c>
      <c r="AB65" s="54">
        <v>14.886400000000002</v>
      </c>
      <c r="AC65" s="54">
        <v>1.0467</v>
      </c>
      <c r="AD65" s="36">
        <v>4.8382000000000041</v>
      </c>
    </row>
    <row r="66" spans="1:30" s="37" customFormat="1" ht="15.75" customHeight="1" x14ac:dyDescent="0.2">
      <c r="A66" s="26">
        <v>890</v>
      </c>
      <c r="B66" s="27" t="s">
        <v>201</v>
      </c>
      <c r="C66" s="27" t="s">
        <v>26</v>
      </c>
      <c r="D66" s="28">
        <v>0.08</v>
      </c>
      <c r="E66" s="29">
        <v>1.81</v>
      </c>
      <c r="F66" s="29">
        <v>0.75</v>
      </c>
      <c r="G66" s="30" t="s">
        <v>39</v>
      </c>
      <c r="H66" s="27" t="s">
        <v>40</v>
      </c>
      <c r="I66" s="27" t="s">
        <v>29</v>
      </c>
      <c r="J66" s="27" t="s">
        <v>109</v>
      </c>
      <c r="K66" s="27" t="s">
        <v>58</v>
      </c>
      <c r="L66" s="31" t="s">
        <v>202</v>
      </c>
      <c r="M66" s="32">
        <v>0.57999999999999996</v>
      </c>
      <c r="N66" s="27" t="s">
        <v>33</v>
      </c>
      <c r="O66" s="27" t="s">
        <v>53</v>
      </c>
      <c r="P66" s="27" t="s">
        <v>187</v>
      </c>
      <c r="Q66" s="27" t="s">
        <v>203</v>
      </c>
      <c r="R66" s="33">
        <v>76021</v>
      </c>
      <c r="S66" s="34">
        <v>42009</v>
      </c>
      <c r="T66" s="34">
        <v>42010</v>
      </c>
      <c r="U66" s="29">
        <v>1.3224</v>
      </c>
      <c r="V66" s="26">
        <v>11</v>
      </c>
      <c r="W66" s="29">
        <v>19.97</v>
      </c>
      <c r="X66" s="26">
        <v>89536</v>
      </c>
      <c r="Y66" s="35">
        <v>7.59</v>
      </c>
      <c r="Z66" s="1" t="s">
        <v>3012</v>
      </c>
      <c r="AA66" s="36">
        <v>1.5928000000000002</v>
      </c>
      <c r="AB66" s="54">
        <v>8.3873999999999995</v>
      </c>
      <c r="AC66" s="54">
        <v>1.0529636363636363</v>
      </c>
      <c r="AD66" s="36">
        <v>16.3048</v>
      </c>
    </row>
    <row r="67" spans="1:30" s="37" customFormat="1" ht="15.75" customHeight="1" x14ac:dyDescent="0.2">
      <c r="A67" s="26">
        <v>451</v>
      </c>
      <c r="B67" s="27" t="s">
        <v>219</v>
      </c>
      <c r="C67" s="27" t="s">
        <v>48</v>
      </c>
      <c r="D67" s="28">
        <v>0.01</v>
      </c>
      <c r="E67" s="29">
        <v>8.8800000000000008</v>
      </c>
      <c r="F67" s="29">
        <v>6.28</v>
      </c>
      <c r="G67" s="30" t="s">
        <v>39</v>
      </c>
      <c r="H67" s="27" t="s">
        <v>71</v>
      </c>
      <c r="I67" s="27" t="s">
        <v>49</v>
      </c>
      <c r="J67" s="27" t="s">
        <v>72</v>
      </c>
      <c r="K67" s="27" t="s">
        <v>73</v>
      </c>
      <c r="L67" s="31" t="s">
        <v>220</v>
      </c>
      <c r="M67" s="32">
        <v>0.35</v>
      </c>
      <c r="N67" s="27" t="s">
        <v>33</v>
      </c>
      <c r="O67" s="27" t="s">
        <v>60</v>
      </c>
      <c r="P67" s="27" t="s">
        <v>90</v>
      </c>
      <c r="Q67" s="27" t="s">
        <v>221</v>
      </c>
      <c r="R67" s="33">
        <v>94024</v>
      </c>
      <c r="S67" s="34">
        <v>42009</v>
      </c>
      <c r="T67" s="34">
        <v>42014</v>
      </c>
      <c r="U67" s="29">
        <v>-15.456</v>
      </c>
      <c r="V67" s="26">
        <v>2</v>
      </c>
      <c r="W67" s="29">
        <v>19.86</v>
      </c>
      <c r="X67" s="26">
        <v>86013</v>
      </c>
      <c r="Y67" s="35">
        <v>243.89999999999998</v>
      </c>
      <c r="Z67" s="1" t="s">
        <v>3013</v>
      </c>
      <c r="AA67" s="36">
        <v>0.17760000000000001</v>
      </c>
      <c r="AB67" s="54">
        <v>12.909000000000001</v>
      </c>
      <c r="AC67" s="54">
        <v>3.4754999999999998</v>
      </c>
      <c r="AD67" s="36">
        <v>28.858399999999996</v>
      </c>
    </row>
    <row r="68" spans="1:30" s="37" customFormat="1" ht="15.75" customHeight="1" x14ac:dyDescent="0.2">
      <c r="A68" s="26">
        <v>1793</v>
      </c>
      <c r="B68" s="27" t="s">
        <v>237</v>
      </c>
      <c r="C68" s="27" t="s">
        <v>26</v>
      </c>
      <c r="D68" s="28">
        <v>0.04</v>
      </c>
      <c r="E68" s="29">
        <v>880.98</v>
      </c>
      <c r="F68" s="29">
        <v>44.55</v>
      </c>
      <c r="G68" s="30" t="s">
        <v>27</v>
      </c>
      <c r="H68" s="27" t="s">
        <v>71</v>
      </c>
      <c r="I68" s="27" t="s">
        <v>29</v>
      </c>
      <c r="J68" s="27" t="s">
        <v>117</v>
      </c>
      <c r="K68" s="27" t="s">
        <v>31</v>
      </c>
      <c r="L68" s="31" t="s">
        <v>238</v>
      </c>
      <c r="M68" s="32">
        <v>0.62</v>
      </c>
      <c r="N68" s="27" t="s">
        <v>33</v>
      </c>
      <c r="O68" s="27" t="s">
        <v>53</v>
      </c>
      <c r="P68" s="27" t="s">
        <v>103</v>
      </c>
      <c r="Q68" s="27" t="s">
        <v>239</v>
      </c>
      <c r="R68" s="33">
        <v>61401</v>
      </c>
      <c r="S68" s="34">
        <v>42010</v>
      </c>
      <c r="T68" s="34">
        <v>42011</v>
      </c>
      <c r="U68" s="29">
        <v>-13706.464</v>
      </c>
      <c r="V68" s="26">
        <v>8</v>
      </c>
      <c r="W68" s="29">
        <v>6968.9</v>
      </c>
      <c r="X68" s="26">
        <v>87853</v>
      </c>
      <c r="Y68" s="35">
        <v>880.94</v>
      </c>
      <c r="Z68" s="1" t="s">
        <v>3012</v>
      </c>
      <c r="AA68" s="36">
        <v>281.91360000000003</v>
      </c>
      <c r="AB68" s="54">
        <v>2648.1819999999998</v>
      </c>
      <c r="AC68" s="54">
        <v>540.08974999999998</v>
      </c>
      <c r="AD68" s="36">
        <v>20348.900399999999</v>
      </c>
    </row>
    <row r="69" spans="1:30" s="37" customFormat="1" ht="15.75" customHeight="1" x14ac:dyDescent="0.2">
      <c r="A69" s="26">
        <v>799</v>
      </c>
      <c r="B69" s="27" t="s">
        <v>269</v>
      </c>
      <c r="C69" s="27" t="s">
        <v>3094</v>
      </c>
      <c r="D69" s="28">
        <v>0.01</v>
      </c>
      <c r="E69" s="29">
        <v>150.97999999999999</v>
      </c>
      <c r="F69" s="29">
        <v>30</v>
      </c>
      <c r="G69" s="30" t="s">
        <v>27</v>
      </c>
      <c r="H69" s="27" t="s">
        <v>40</v>
      </c>
      <c r="I69" s="27" t="s">
        <v>29</v>
      </c>
      <c r="J69" s="27" t="s">
        <v>109</v>
      </c>
      <c r="K69" s="27" t="s">
        <v>58</v>
      </c>
      <c r="L69" s="31" t="s">
        <v>270</v>
      </c>
      <c r="M69" s="32">
        <v>0.74</v>
      </c>
      <c r="N69" s="27" t="s">
        <v>33</v>
      </c>
      <c r="O69" s="27" t="s">
        <v>34</v>
      </c>
      <c r="P69" s="27" t="s">
        <v>271</v>
      </c>
      <c r="Q69" s="27" t="s">
        <v>272</v>
      </c>
      <c r="R69" s="33">
        <v>29915</v>
      </c>
      <c r="S69" s="34">
        <v>42010</v>
      </c>
      <c r="T69" s="34">
        <v>42012</v>
      </c>
      <c r="U69" s="29">
        <v>131.38200000000001</v>
      </c>
      <c r="V69" s="26">
        <v>6</v>
      </c>
      <c r="W69" s="29">
        <v>958.46</v>
      </c>
      <c r="X69" s="26">
        <v>89909</v>
      </c>
      <c r="Y69" s="35">
        <v>2.0700000000000003</v>
      </c>
      <c r="Z69" s="1" t="s">
        <v>3011</v>
      </c>
      <c r="AA69" s="36">
        <v>9.0587999999999997</v>
      </c>
      <c r="AB69" s="54">
        <v>249.1996</v>
      </c>
      <c r="AC69" s="54">
        <v>118.21006666666668</v>
      </c>
      <c r="AD69" s="36">
        <v>788.01920000000007</v>
      </c>
    </row>
    <row r="70" spans="1:30" s="37" customFormat="1" ht="15.75" customHeight="1" x14ac:dyDescent="0.2">
      <c r="A70" s="26">
        <v>783</v>
      </c>
      <c r="B70" s="27" t="s">
        <v>247</v>
      </c>
      <c r="C70" s="27" t="s">
        <v>48</v>
      </c>
      <c r="D70" s="28">
        <v>0.02</v>
      </c>
      <c r="E70" s="29">
        <v>100.98</v>
      </c>
      <c r="F70" s="29">
        <v>35.840000000000003</v>
      </c>
      <c r="G70" s="30" t="s">
        <v>27</v>
      </c>
      <c r="H70" s="27" t="s">
        <v>3095</v>
      </c>
      <c r="I70" s="27" t="s">
        <v>29</v>
      </c>
      <c r="J70" s="27" t="s">
        <v>117</v>
      </c>
      <c r="K70" s="27" t="s">
        <v>31</v>
      </c>
      <c r="L70" s="31" t="s">
        <v>118</v>
      </c>
      <c r="M70" s="32">
        <v>0.62</v>
      </c>
      <c r="N70" s="27" t="s">
        <v>33</v>
      </c>
      <c r="O70" s="27" t="s">
        <v>111</v>
      </c>
      <c r="P70" s="27" t="s">
        <v>248</v>
      </c>
      <c r="Q70" s="27" t="s">
        <v>249</v>
      </c>
      <c r="R70" s="33">
        <v>6010</v>
      </c>
      <c r="S70" s="34">
        <v>42010</v>
      </c>
      <c r="T70" s="34">
        <v>42010</v>
      </c>
      <c r="U70" s="29">
        <v>-134.91200000000001</v>
      </c>
      <c r="V70" s="26">
        <v>6</v>
      </c>
      <c r="W70" s="29">
        <v>614.99</v>
      </c>
      <c r="X70" s="26">
        <v>90961</v>
      </c>
      <c r="Y70" s="35">
        <v>3.25</v>
      </c>
      <c r="Z70" s="1" t="s">
        <v>3014</v>
      </c>
      <c r="AA70" s="36">
        <v>12.117599999999999</v>
      </c>
      <c r="AB70" s="54">
        <v>233.6962</v>
      </c>
      <c r="AC70" s="54">
        <v>63.548966666666665</v>
      </c>
      <c r="AD70" s="36">
        <v>701.94439999999997</v>
      </c>
    </row>
    <row r="71" spans="1:30" s="37" customFormat="1" ht="15.75" customHeight="1" x14ac:dyDescent="0.2">
      <c r="A71" s="26">
        <v>2290</v>
      </c>
      <c r="B71" s="27" t="s">
        <v>279</v>
      </c>
      <c r="C71" s="27" t="s">
        <v>3094</v>
      </c>
      <c r="D71" s="28">
        <v>0</v>
      </c>
      <c r="E71" s="29">
        <v>42.98</v>
      </c>
      <c r="F71" s="29">
        <v>4.62</v>
      </c>
      <c r="G71" s="30" t="s">
        <v>39</v>
      </c>
      <c r="H71" s="27" t="s">
        <v>71</v>
      </c>
      <c r="I71" s="27" t="s">
        <v>49</v>
      </c>
      <c r="J71" s="27" t="s">
        <v>95</v>
      </c>
      <c r="K71" s="27" t="s">
        <v>73</v>
      </c>
      <c r="L71" s="31" t="s">
        <v>280</v>
      </c>
      <c r="M71" s="32">
        <v>0.56000000000000005</v>
      </c>
      <c r="N71" s="27" t="s">
        <v>33</v>
      </c>
      <c r="O71" s="27" t="s">
        <v>53</v>
      </c>
      <c r="P71" s="27" t="s">
        <v>84</v>
      </c>
      <c r="Q71" s="27" t="s">
        <v>281</v>
      </c>
      <c r="R71" s="33">
        <v>55433</v>
      </c>
      <c r="S71" s="34">
        <v>42010</v>
      </c>
      <c r="T71" s="34">
        <v>42012</v>
      </c>
      <c r="U71" s="29">
        <v>385.30290000000002</v>
      </c>
      <c r="V71" s="26">
        <v>12</v>
      </c>
      <c r="W71" s="29">
        <v>558.41</v>
      </c>
      <c r="X71" s="26">
        <v>88163</v>
      </c>
      <c r="Y71" s="35">
        <v>100.96000000000001</v>
      </c>
      <c r="Z71" s="1" t="s">
        <v>3012</v>
      </c>
      <c r="AA71" s="36">
        <v>0</v>
      </c>
      <c r="AB71" s="54">
        <v>245.70039999999995</v>
      </c>
      <c r="AC71" s="54">
        <v>26.059133333333335</v>
      </c>
      <c r="AD71" s="36">
        <v>168.48709999999994</v>
      </c>
    </row>
    <row r="72" spans="1:30" s="37" customFormat="1" ht="15.75" customHeight="1" x14ac:dyDescent="0.2">
      <c r="A72" s="26">
        <v>799</v>
      </c>
      <c r="B72" s="27" t="s">
        <v>269</v>
      </c>
      <c r="C72" s="27" t="s">
        <v>3094</v>
      </c>
      <c r="D72" s="28">
        <v>0.01</v>
      </c>
      <c r="E72" s="29">
        <v>28.28</v>
      </c>
      <c r="F72" s="29">
        <v>13.99</v>
      </c>
      <c r="G72" s="30" t="s">
        <v>87</v>
      </c>
      <c r="H72" s="27" t="s">
        <v>40</v>
      </c>
      <c r="I72" s="27" t="s">
        <v>49</v>
      </c>
      <c r="J72" s="27" t="s">
        <v>78</v>
      </c>
      <c r="K72" s="27" t="s">
        <v>144</v>
      </c>
      <c r="L72" s="31" t="s">
        <v>273</v>
      </c>
      <c r="M72" s="32">
        <v>0.57999999999999996</v>
      </c>
      <c r="N72" s="27" t="s">
        <v>33</v>
      </c>
      <c r="O72" s="27" t="s">
        <v>34</v>
      </c>
      <c r="P72" s="27" t="s">
        <v>271</v>
      </c>
      <c r="Q72" s="27" t="s">
        <v>272</v>
      </c>
      <c r="R72" s="33">
        <v>29915</v>
      </c>
      <c r="S72" s="34">
        <v>42010</v>
      </c>
      <c r="T72" s="34">
        <v>42012</v>
      </c>
      <c r="U72" s="29">
        <v>-89.292000000000002</v>
      </c>
      <c r="V72" s="26">
        <v>12</v>
      </c>
      <c r="W72" s="29">
        <v>368.84</v>
      </c>
      <c r="X72" s="26">
        <v>89909</v>
      </c>
      <c r="Y72" s="35">
        <v>7.05</v>
      </c>
      <c r="Z72" s="1" t="s">
        <v>3011</v>
      </c>
      <c r="AA72" s="36">
        <v>3.3936000000000002</v>
      </c>
      <c r="AB72" s="54">
        <v>154.9128</v>
      </c>
      <c r="AC72" s="54">
        <v>17.827266666666663</v>
      </c>
      <c r="AD72" s="36">
        <v>440.74839999999995</v>
      </c>
    </row>
    <row r="73" spans="1:30" s="37" customFormat="1" ht="15.75" customHeight="1" x14ac:dyDescent="0.2">
      <c r="A73" s="26">
        <v>1829</v>
      </c>
      <c r="B73" s="27" t="s">
        <v>254</v>
      </c>
      <c r="C73" s="27" t="s">
        <v>48</v>
      </c>
      <c r="D73" s="28">
        <v>0.05</v>
      </c>
      <c r="E73" s="29">
        <v>39.06</v>
      </c>
      <c r="F73" s="29">
        <v>10.55</v>
      </c>
      <c r="G73" s="30" t="s">
        <v>39</v>
      </c>
      <c r="H73" s="27" t="s">
        <v>94</v>
      </c>
      <c r="I73" s="27" t="s">
        <v>49</v>
      </c>
      <c r="J73" s="27" t="s">
        <v>72</v>
      </c>
      <c r="K73" s="27" t="s">
        <v>73</v>
      </c>
      <c r="L73" s="31" t="s">
        <v>255</v>
      </c>
      <c r="M73" s="32">
        <v>0.37</v>
      </c>
      <c r="N73" s="27" t="s">
        <v>33</v>
      </c>
      <c r="O73" s="27" t="s">
        <v>53</v>
      </c>
      <c r="P73" s="27" t="s">
        <v>213</v>
      </c>
      <c r="Q73" s="27" t="s">
        <v>256</v>
      </c>
      <c r="R73" s="33">
        <v>52402</v>
      </c>
      <c r="S73" s="34">
        <v>42010</v>
      </c>
      <c r="T73" s="34">
        <v>42017</v>
      </c>
      <c r="U73" s="29">
        <v>250.98060000000001</v>
      </c>
      <c r="V73" s="26">
        <v>9</v>
      </c>
      <c r="W73" s="29">
        <v>363.74</v>
      </c>
      <c r="X73" s="26">
        <v>86960</v>
      </c>
      <c r="Y73" s="35">
        <v>20.91</v>
      </c>
      <c r="Z73" s="1" t="s">
        <v>3012</v>
      </c>
      <c r="AA73" s="36">
        <v>17.577000000000002</v>
      </c>
      <c r="AB73" s="54">
        <v>229.15620000000001</v>
      </c>
      <c r="AC73" s="54">
        <v>14.953755555555556</v>
      </c>
      <c r="AD73" s="36">
        <v>84.632400000000018</v>
      </c>
    </row>
    <row r="74" spans="1:30" s="37" customFormat="1" ht="15.75" customHeight="1" x14ac:dyDescent="0.2">
      <c r="A74" s="26">
        <v>2290</v>
      </c>
      <c r="B74" s="27" t="s">
        <v>279</v>
      </c>
      <c r="C74" s="27" t="s">
        <v>3094</v>
      </c>
      <c r="D74" s="28">
        <v>0.03</v>
      </c>
      <c r="E74" s="29">
        <v>21.78</v>
      </c>
      <c r="F74" s="29">
        <v>5.94</v>
      </c>
      <c r="G74" s="30" t="s">
        <v>39</v>
      </c>
      <c r="H74" s="27" t="s">
        <v>71</v>
      </c>
      <c r="I74" s="27" t="s">
        <v>49</v>
      </c>
      <c r="J74" s="27" t="s">
        <v>95</v>
      </c>
      <c r="K74" s="27" t="s">
        <v>144</v>
      </c>
      <c r="L74" s="31" t="s">
        <v>282</v>
      </c>
      <c r="M74" s="32">
        <v>0.5</v>
      </c>
      <c r="N74" s="27" t="s">
        <v>33</v>
      </c>
      <c r="O74" s="27" t="s">
        <v>53</v>
      </c>
      <c r="P74" s="27" t="s">
        <v>84</v>
      </c>
      <c r="Q74" s="27" t="s">
        <v>281</v>
      </c>
      <c r="R74" s="33">
        <v>55433</v>
      </c>
      <c r="S74" s="34">
        <v>42010</v>
      </c>
      <c r="T74" s="34">
        <v>42012</v>
      </c>
      <c r="U74" s="29">
        <v>187.2</v>
      </c>
      <c r="V74" s="26">
        <v>13</v>
      </c>
      <c r="W74" s="29">
        <v>290.22000000000003</v>
      </c>
      <c r="X74" s="26">
        <v>88163</v>
      </c>
      <c r="Y74" s="35">
        <v>39.010000000000005</v>
      </c>
      <c r="Z74" s="1" t="s">
        <v>3012</v>
      </c>
      <c r="AA74" s="36">
        <v>8.4941999999999993</v>
      </c>
      <c r="AB74" s="54">
        <v>145.11000000000001</v>
      </c>
      <c r="AC74" s="54">
        <v>11.162307692307694</v>
      </c>
      <c r="AD74" s="36">
        <v>88.585800000000035</v>
      </c>
    </row>
    <row r="75" spans="1:30" s="37" customFormat="1" ht="15.75" customHeight="1" x14ac:dyDescent="0.2">
      <c r="A75" s="26">
        <v>3285</v>
      </c>
      <c r="B75" s="27" t="s">
        <v>283</v>
      </c>
      <c r="C75" s="27" t="s">
        <v>3094</v>
      </c>
      <c r="D75" s="28">
        <v>0.01</v>
      </c>
      <c r="E75" s="29">
        <v>30.98</v>
      </c>
      <c r="F75" s="29">
        <v>5.09</v>
      </c>
      <c r="G75" s="30" t="s">
        <v>39</v>
      </c>
      <c r="H75" s="27" t="s">
        <v>40</v>
      </c>
      <c r="I75" s="27" t="s">
        <v>49</v>
      </c>
      <c r="J75" s="27" t="s">
        <v>88</v>
      </c>
      <c r="K75" s="27" t="s">
        <v>73</v>
      </c>
      <c r="L75" s="31" t="s">
        <v>286</v>
      </c>
      <c r="M75" s="32">
        <v>0.4</v>
      </c>
      <c r="N75" s="27" t="s">
        <v>33</v>
      </c>
      <c r="O75" s="27" t="s">
        <v>34</v>
      </c>
      <c r="P75" s="27" t="s">
        <v>242</v>
      </c>
      <c r="Q75" s="27" t="s">
        <v>285</v>
      </c>
      <c r="R75" s="33">
        <v>20170</v>
      </c>
      <c r="S75" s="34">
        <v>42010</v>
      </c>
      <c r="T75" s="34">
        <v>42012</v>
      </c>
      <c r="U75" s="29">
        <v>896.40599999999995</v>
      </c>
      <c r="V75" s="26">
        <v>9</v>
      </c>
      <c r="W75" s="29">
        <v>288.42</v>
      </c>
      <c r="X75" s="26">
        <v>90750</v>
      </c>
      <c r="Y75" s="35">
        <v>3.48</v>
      </c>
      <c r="Z75" s="1" t="s">
        <v>3011</v>
      </c>
      <c r="AA75" s="36">
        <v>2.7882000000000002</v>
      </c>
      <c r="AB75" s="54">
        <v>173.05199999999999</v>
      </c>
      <c r="AC75" s="54">
        <v>12.818666666666667</v>
      </c>
      <c r="AD75" s="36">
        <v>-615.86419999999998</v>
      </c>
    </row>
    <row r="76" spans="1:30" s="37" customFormat="1" ht="15.75" customHeight="1" x14ac:dyDescent="0.2">
      <c r="A76" s="26">
        <v>211</v>
      </c>
      <c r="B76" s="27" t="s">
        <v>262</v>
      </c>
      <c r="C76" s="27" t="s">
        <v>116</v>
      </c>
      <c r="D76" s="28">
        <v>0</v>
      </c>
      <c r="E76" s="29">
        <v>65.989999999999995</v>
      </c>
      <c r="F76" s="29">
        <v>5.92</v>
      </c>
      <c r="G76" s="30" t="s">
        <v>39</v>
      </c>
      <c r="H76" s="27" t="s">
        <v>40</v>
      </c>
      <c r="I76" s="27" t="s">
        <v>41</v>
      </c>
      <c r="J76" s="27" t="s">
        <v>135</v>
      </c>
      <c r="K76" s="27" t="s">
        <v>73</v>
      </c>
      <c r="L76" s="31" t="s">
        <v>264</v>
      </c>
      <c r="M76" s="32">
        <v>0.55000000000000004</v>
      </c>
      <c r="N76" s="27" t="s">
        <v>33</v>
      </c>
      <c r="O76" s="27" t="s">
        <v>111</v>
      </c>
      <c r="P76" s="27" t="s">
        <v>112</v>
      </c>
      <c r="Q76" s="27" t="s">
        <v>263</v>
      </c>
      <c r="R76" s="33">
        <v>13501</v>
      </c>
      <c r="S76" s="34">
        <v>42010</v>
      </c>
      <c r="T76" s="34">
        <v>42012</v>
      </c>
      <c r="U76" s="29">
        <v>-107.98699999999999</v>
      </c>
      <c r="V76" s="26">
        <v>3</v>
      </c>
      <c r="W76" s="29">
        <v>173.32</v>
      </c>
      <c r="X76" s="26">
        <v>85964</v>
      </c>
      <c r="Y76" s="35">
        <v>15.49</v>
      </c>
      <c r="Z76" s="1" t="s">
        <v>3014</v>
      </c>
      <c r="AA76" s="36">
        <v>0</v>
      </c>
      <c r="AB76" s="54">
        <v>77.993999999999986</v>
      </c>
      <c r="AC76" s="54">
        <v>31.775333333333336</v>
      </c>
      <c r="AD76" s="36">
        <v>275.387</v>
      </c>
    </row>
    <row r="77" spans="1:30" s="37" customFormat="1" ht="15.75" customHeight="1" x14ac:dyDescent="0.2">
      <c r="A77" s="26">
        <v>1828</v>
      </c>
      <c r="B77" s="27" t="s">
        <v>250</v>
      </c>
      <c r="C77" s="27" t="s">
        <v>48</v>
      </c>
      <c r="D77" s="28">
        <v>0.04</v>
      </c>
      <c r="E77" s="29">
        <v>20.95</v>
      </c>
      <c r="F77" s="29">
        <v>4</v>
      </c>
      <c r="G77" s="30" t="s">
        <v>39</v>
      </c>
      <c r="H77" s="27" t="s">
        <v>94</v>
      </c>
      <c r="I77" s="27" t="s">
        <v>41</v>
      </c>
      <c r="J77" s="27" t="s">
        <v>42</v>
      </c>
      <c r="K77" s="27" t="s">
        <v>73</v>
      </c>
      <c r="L77" s="31" t="s">
        <v>253</v>
      </c>
      <c r="M77" s="32">
        <v>0.6</v>
      </c>
      <c r="N77" s="27" t="s">
        <v>33</v>
      </c>
      <c r="O77" s="27" t="s">
        <v>53</v>
      </c>
      <c r="P77" s="27" t="s">
        <v>213</v>
      </c>
      <c r="Q77" s="27" t="s">
        <v>252</v>
      </c>
      <c r="R77" s="33">
        <v>50613</v>
      </c>
      <c r="S77" s="34">
        <v>42010</v>
      </c>
      <c r="T77" s="34">
        <v>42015</v>
      </c>
      <c r="U77" s="29">
        <v>-1.88</v>
      </c>
      <c r="V77" s="26">
        <v>7</v>
      </c>
      <c r="W77" s="29">
        <v>142.06</v>
      </c>
      <c r="X77" s="26">
        <v>86960</v>
      </c>
      <c r="Y77" s="35">
        <v>20.29</v>
      </c>
      <c r="Z77" s="1" t="s">
        <v>3012</v>
      </c>
      <c r="AA77" s="36">
        <v>5.8659999999999997</v>
      </c>
      <c r="AB77" s="54">
        <v>56.824000000000005</v>
      </c>
      <c r="AC77" s="54">
        <v>12.176571428571428</v>
      </c>
      <c r="AD77" s="36">
        <v>134.07400000000001</v>
      </c>
    </row>
    <row r="78" spans="1:30" s="37" customFormat="1" ht="15.75" customHeight="1" x14ac:dyDescent="0.2">
      <c r="A78" s="26">
        <v>1828</v>
      </c>
      <c r="B78" s="27" t="s">
        <v>250</v>
      </c>
      <c r="C78" s="27" t="s">
        <v>48</v>
      </c>
      <c r="D78" s="28">
        <v>0.05</v>
      </c>
      <c r="E78" s="29">
        <v>7.1</v>
      </c>
      <c r="F78" s="29">
        <v>6.05</v>
      </c>
      <c r="G78" s="30" t="s">
        <v>39</v>
      </c>
      <c r="H78" s="27" t="s">
        <v>94</v>
      </c>
      <c r="I78" s="27" t="s">
        <v>49</v>
      </c>
      <c r="J78" s="27" t="s">
        <v>72</v>
      </c>
      <c r="K78" s="27" t="s">
        <v>73</v>
      </c>
      <c r="L78" s="31" t="s">
        <v>251</v>
      </c>
      <c r="M78" s="32">
        <v>0.39</v>
      </c>
      <c r="N78" s="27" t="s">
        <v>33</v>
      </c>
      <c r="O78" s="27" t="s">
        <v>53</v>
      </c>
      <c r="P78" s="27" t="s">
        <v>213</v>
      </c>
      <c r="Q78" s="27" t="s">
        <v>252</v>
      </c>
      <c r="R78" s="33">
        <v>50613</v>
      </c>
      <c r="S78" s="34">
        <v>42010</v>
      </c>
      <c r="T78" s="34">
        <v>42010</v>
      </c>
      <c r="U78" s="29">
        <v>-101.246</v>
      </c>
      <c r="V78" s="26">
        <v>14</v>
      </c>
      <c r="W78" s="29">
        <v>100.99</v>
      </c>
      <c r="X78" s="26">
        <v>86960</v>
      </c>
      <c r="Y78" s="35">
        <v>10.050000000000001</v>
      </c>
      <c r="Z78" s="1" t="s">
        <v>3012</v>
      </c>
      <c r="AA78" s="36">
        <v>4.97</v>
      </c>
      <c r="AB78" s="54">
        <v>61.603899999999996</v>
      </c>
      <c r="AC78" s="54">
        <v>2.8132928571428573</v>
      </c>
      <c r="AD78" s="36">
        <v>191.21600000000001</v>
      </c>
    </row>
    <row r="79" spans="1:30" s="37" customFormat="1" ht="15.75" customHeight="1" x14ac:dyDescent="0.2">
      <c r="A79" s="26">
        <v>2146</v>
      </c>
      <c r="B79" s="27" t="s">
        <v>259</v>
      </c>
      <c r="C79" s="27" t="s">
        <v>48</v>
      </c>
      <c r="D79" s="28">
        <v>0.05</v>
      </c>
      <c r="E79" s="29">
        <v>20.34</v>
      </c>
      <c r="F79" s="29">
        <v>35</v>
      </c>
      <c r="G79" s="30" t="s">
        <v>39</v>
      </c>
      <c r="H79" s="27" t="s">
        <v>94</v>
      </c>
      <c r="I79" s="27" t="s">
        <v>49</v>
      </c>
      <c r="J79" s="27" t="s">
        <v>78</v>
      </c>
      <c r="K79" s="27" t="s">
        <v>65</v>
      </c>
      <c r="L79" s="31" t="s">
        <v>260</v>
      </c>
      <c r="M79" s="32">
        <v>0.84</v>
      </c>
      <c r="N79" s="27" t="s">
        <v>33</v>
      </c>
      <c r="O79" s="27" t="s">
        <v>34</v>
      </c>
      <c r="P79" s="27" t="s">
        <v>242</v>
      </c>
      <c r="Q79" s="27" t="s">
        <v>261</v>
      </c>
      <c r="R79" s="33">
        <v>20151</v>
      </c>
      <c r="S79" s="34">
        <v>42010</v>
      </c>
      <c r="T79" s="34">
        <v>42014</v>
      </c>
      <c r="U79" s="29">
        <v>52.776000000000003</v>
      </c>
      <c r="V79" s="26">
        <v>2</v>
      </c>
      <c r="W79" s="29">
        <v>53.02</v>
      </c>
      <c r="X79" s="26">
        <v>87071</v>
      </c>
      <c r="Y79" s="35">
        <v>65.989999999999995</v>
      </c>
      <c r="Z79" s="1" t="s">
        <v>3011</v>
      </c>
      <c r="AA79" s="36">
        <v>2.0340000000000003</v>
      </c>
      <c r="AB79" s="54">
        <v>8.4832000000000019</v>
      </c>
      <c r="AC79" s="54">
        <v>22.2684</v>
      </c>
      <c r="AD79" s="36">
        <v>-36.790000000000013</v>
      </c>
    </row>
    <row r="80" spans="1:30" s="37" customFormat="1" ht="15.75" customHeight="1" x14ac:dyDescent="0.2">
      <c r="A80" s="26">
        <v>1950</v>
      </c>
      <c r="B80" s="27" t="s">
        <v>275</v>
      </c>
      <c r="C80" s="27" t="s">
        <v>3094</v>
      </c>
      <c r="D80" s="28">
        <v>0.01</v>
      </c>
      <c r="E80" s="29">
        <v>6.68</v>
      </c>
      <c r="F80" s="29">
        <v>4.91</v>
      </c>
      <c r="G80" s="30" t="s">
        <v>39</v>
      </c>
      <c r="H80" s="27" t="s">
        <v>3095</v>
      </c>
      <c r="I80" s="27" t="s">
        <v>49</v>
      </c>
      <c r="J80" s="27" t="s">
        <v>88</v>
      </c>
      <c r="K80" s="27" t="s">
        <v>73</v>
      </c>
      <c r="L80" s="31" t="s">
        <v>276</v>
      </c>
      <c r="M80" s="32">
        <v>0.37</v>
      </c>
      <c r="N80" s="27" t="s">
        <v>33</v>
      </c>
      <c r="O80" s="27" t="s">
        <v>60</v>
      </c>
      <c r="P80" s="27" t="s">
        <v>277</v>
      </c>
      <c r="Q80" s="27" t="s">
        <v>278</v>
      </c>
      <c r="R80" s="33">
        <v>59750</v>
      </c>
      <c r="S80" s="34">
        <v>42010</v>
      </c>
      <c r="T80" s="34">
        <v>42012</v>
      </c>
      <c r="U80" s="29">
        <v>-15.48</v>
      </c>
      <c r="V80" s="26">
        <v>7</v>
      </c>
      <c r="W80" s="29">
        <v>51.03</v>
      </c>
      <c r="X80" s="26">
        <v>90414</v>
      </c>
      <c r="Y80" s="35">
        <v>7.6099999999999994</v>
      </c>
      <c r="Z80" s="1" t="s">
        <v>3013</v>
      </c>
      <c r="AA80" s="36">
        <v>0.46760000000000002</v>
      </c>
      <c r="AB80" s="54">
        <v>32.148899999999998</v>
      </c>
      <c r="AC80" s="54">
        <v>2.6972999999999998</v>
      </c>
      <c r="AD80" s="36">
        <v>61.132400000000004</v>
      </c>
    </row>
    <row r="81" spans="1:30" s="37" customFormat="1" ht="15.75" customHeight="1" x14ac:dyDescent="0.2">
      <c r="A81" s="26">
        <v>3347</v>
      </c>
      <c r="B81" s="27" t="s">
        <v>265</v>
      </c>
      <c r="C81" s="27" t="s">
        <v>116</v>
      </c>
      <c r="D81" s="28">
        <v>0.05</v>
      </c>
      <c r="E81" s="29">
        <v>6.64</v>
      </c>
      <c r="F81" s="29">
        <v>4.95</v>
      </c>
      <c r="G81" s="30" t="s">
        <v>87</v>
      </c>
      <c r="H81" s="27" t="s">
        <v>40</v>
      </c>
      <c r="I81" s="27" t="s">
        <v>29</v>
      </c>
      <c r="J81" s="27" t="s">
        <v>126</v>
      </c>
      <c r="K81" s="27" t="s">
        <v>43</v>
      </c>
      <c r="L81" s="31" t="s">
        <v>268</v>
      </c>
      <c r="M81" s="32">
        <v>0.37</v>
      </c>
      <c r="N81" s="27" t="s">
        <v>33</v>
      </c>
      <c r="O81" s="27" t="s">
        <v>34</v>
      </c>
      <c r="P81" s="27" t="s">
        <v>123</v>
      </c>
      <c r="Q81" s="27" t="s">
        <v>267</v>
      </c>
      <c r="R81" s="33">
        <v>33411</v>
      </c>
      <c r="S81" s="34">
        <v>42010</v>
      </c>
      <c r="T81" s="34">
        <v>42012</v>
      </c>
      <c r="U81" s="29">
        <v>-92.929199999999994</v>
      </c>
      <c r="V81" s="26">
        <v>5</v>
      </c>
      <c r="W81" s="29">
        <v>34.17</v>
      </c>
      <c r="X81" s="26">
        <v>89355</v>
      </c>
      <c r="Y81" s="35">
        <v>6.59</v>
      </c>
      <c r="Z81" s="1" t="s">
        <v>3011</v>
      </c>
      <c r="AA81" s="36">
        <v>1.6600000000000001</v>
      </c>
      <c r="AB81" s="54">
        <v>21.527100000000001</v>
      </c>
      <c r="AC81" s="54">
        <v>2.5285800000000003</v>
      </c>
      <c r="AD81" s="36">
        <v>120.4892</v>
      </c>
    </row>
    <row r="82" spans="1:30" s="37" customFormat="1" ht="15.75" customHeight="1" x14ac:dyDescent="0.2">
      <c r="A82" s="26">
        <v>799</v>
      </c>
      <c r="B82" s="27" t="s">
        <v>269</v>
      </c>
      <c r="C82" s="27" t="s">
        <v>3094</v>
      </c>
      <c r="D82" s="28">
        <v>0.03</v>
      </c>
      <c r="E82" s="29">
        <v>35.99</v>
      </c>
      <c r="F82" s="29">
        <v>1.1000000000000001</v>
      </c>
      <c r="G82" s="30" t="s">
        <v>39</v>
      </c>
      <c r="H82" s="27" t="s">
        <v>40</v>
      </c>
      <c r="I82" s="27" t="s">
        <v>41</v>
      </c>
      <c r="J82" s="27" t="s">
        <v>135</v>
      </c>
      <c r="K82" s="27" t="s">
        <v>73</v>
      </c>
      <c r="L82" s="31" t="s">
        <v>274</v>
      </c>
      <c r="M82" s="32">
        <v>0.55000000000000004</v>
      </c>
      <c r="N82" s="27" t="s">
        <v>33</v>
      </c>
      <c r="O82" s="27" t="s">
        <v>34</v>
      </c>
      <c r="P82" s="27" t="s">
        <v>271</v>
      </c>
      <c r="Q82" s="27" t="s">
        <v>272</v>
      </c>
      <c r="R82" s="33">
        <v>29915</v>
      </c>
      <c r="S82" s="34">
        <v>42010</v>
      </c>
      <c r="T82" s="34">
        <v>42011</v>
      </c>
      <c r="U82" s="29">
        <v>-211.036</v>
      </c>
      <c r="V82" s="26">
        <v>1</v>
      </c>
      <c r="W82" s="29">
        <v>30.86</v>
      </c>
      <c r="X82" s="26">
        <v>89909</v>
      </c>
      <c r="Y82" s="35">
        <v>150.97</v>
      </c>
      <c r="Z82" s="1" t="s">
        <v>3011</v>
      </c>
      <c r="AA82" s="36">
        <v>1.0797000000000001</v>
      </c>
      <c r="AB82" s="54">
        <v>13.886999999999999</v>
      </c>
      <c r="AC82" s="54">
        <v>16.973000000000003</v>
      </c>
      <c r="AD82" s="36">
        <v>239.71629999999999</v>
      </c>
    </row>
    <row r="83" spans="1:30" s="37" customFormat="1" ht="15.75" customHeight="1" x14ac:dyDescent="0.2">
      <c r="A83" s="26">
        <v>1782</v>
      </c>
      <c r="B83" s="27" t="s">
        <v>244</v>
      </c>
      <c r="C83" s="27" t="s">
        <v>38</v>
      </c>
      <c r="D83" s="28">
        <v>0.03</v>
      </c>
      <c r="E83" s="29">
        <v>3.28</v>
      </c>
      <c r="F83" s="29">
        <v>3.97</v>
      </c>
      <c r="G83" s="30" t="s">
        <v>39</v>
      </c>
      <c r="H83" s="27" t="s">
        <v>71</v>
      </c>
      <c r="I83" s="27" t="s">
        <v>49</v>
      </c>
      <c r="J83" s="27" t="s">
        <v>50</v>
      </c>
      <c r="K83" s="27" t="s">
        <v>51</v>
      </c>
      <c r="L83" s="31" t="s">
        <v>245</v>
      </c>
      <c r="M83" s="32">
        <v>0.56000000000000005</v>
      </c>
      <c r="N83" s="27" t="s">
        <v>33</v>
      </c>
      <c r="O83" s="27" t="s">
        <v>60</v>
      </c>
      <c r="P83" s="27" t="s">
        <v>90</v>
      </c>
      <c r="Q83" s="27" t="s">
        <v>246</v>
      </c>
      <c r="R83" s="33">
        <v>92672</v>
      </c>
      <c r="S83" s="34">
        <v>42010</v>
      </c>
      <c r="T83" s="34">
        <v>42012</v>
      </c>
      <c r="U83" s="29">
        <v>-90.755600000000001</v>
      </c>
      <c r="V83" s="26">
        <v>7</v>
      </c>
      <c r="W83" s="29">
        <v>24.57</v>
      </c>
      <c r="X83" s="26">
        <v>89856</v>
      </c>
      <c r="Y83" s="35">
        <v>28.27</v>
      </c>
      <c r="Z83" s="1" t="s">
        <v>3013</v>
      </c>
      <c r="AA83" s="36">
        <v>0.68879999999999986</v>
      </c>
      <c r="AB83" s="54">
        <v>10.810799999999999</v>
      </c>
      <c r="AC83" s="54">
        <v>1.9656000000000002</v>
      </c>
      <c r="AD83" s="36">
        <v>110.66679999999999</v>
      </c>
    </row>
    <row r="84" spans="1:30" s="37" customFormat="1" ht="15.75" customHeight="1" x14ac:dyDescent="0.2">
      <c r="A84" s="26">
        <v>3347</v>
      </c>
      <c r="B84" s="27" t="s">
        <v>265</v>
      </c>
      <c r="C84" s="27" t="s">
        <v>116</v>
      </c>
      <c r="D84" s="28">
        <v>7.0000000000000007E-2</v>
      </c>
      <c r="E84" s="29">
        <v>7.68</v>
      </c>
      <c r="F84" s="29">
        <v>6.16</v>
      </c>
      <c r="G84" s="30" t="s">
        <v>87</v>
      </c>
      <c r="H84" s="27" t="s">
        <v>40</v>
      </c>
      <c r="I84" s="27" t="s">
        <v>49</v>
      </c>
      <c r="J84" s="27" t="s">
        <v>72</v>
      </c>
      <c r="K84" s="27" t="s">
        <v>73</v>
      </c>
      <c r="L84" s="31" t="s">
        <v>266</v>
      </c>
      <c r="M84" s="32">
        <v>0.35</v>
      </c>
      <c r="N84" s="27" t="s">
        <v>33</v>
      </c>
      <c r="O84" s="27" t="s">
        <v>34</v>
      </c>
      <c r="P84" s="27" t="s">
        <v>123</v>
      </c>
      <c r="Q84" s="27" t="s">
        <v>267</v>
      </c>
      <c r="R84" s="33">
        <v>33411</v>
      </c>
      <c r="S84" s="34">
        <v>42010</v>
      </c>
      <c r="T84" s="34">
        <v>42012</v>
      </c>
      <c r="U84" s="29">
        <v>125.9982</v>
      </c>
      <c r="V84" s="26">
        <v>1</v>
      </c>
      <c r="W84" s="29">
        <v>22.13</v>
      </c>
      <c r="X84" s="26">
        <v>89355</v>
      </c>
      <c r="Y84" s="35">
        <v>35.96</v>
      </c>
      <c r="Z84" s="1" t="s">
        <v>3011</v>
      </c>
      <c r="AA84" s="36">
        <v>0.53760000000000008</v>
      </c>
      <c r="AB84" s="54">
        <v>14.384499999999999</v>
      </c>
      <c r="AC84" s="54">
        <v>7.7454999999999989</v>
      </c>
      <c r="AD84" s="36">
        <v>-110.5658</v>
      </c>
    </row>
    <row r="85" spans="1:30" s="37" customFormat="1" ht="15.75" customHeight="1" x14ac:dyDescent="0.2">
      <c r="A85" s="26">
        <v>1829</v>
      </c>
      <c r="B85" s="27" t="s">
        <v>254</v>
      </c>
      <c r="C85" s="27" t="s">
        <v>48</v>
      </c>
      <c r="D85" s="28">
        <v>0.02</v>
      </c>
      <c r="E85" s="29">
        <v>15.51</v>
      </c>
      <c r="F85" s="29">
        <v>17.78</v>
      </c>
      <c r="G85" s="30" t="s">
        <v>39</v>
      </c>
      <c r="H85" s="27" t="s">
        <v>94</v>
      </c>
      <c r="I85" s="27" t="s">
        <v>49</v>
      </c>
      <c r="J85" s="27" t="s">
        <v>78</v>
      </c>
      <c r="K85" s="27" t="s">
        <v>73</v>
      </c>
      <c r="L85" s="31" t="s">
        <v>258</v>
      </c>
      <c r="M85" s="32">
        <v>0.59</v>
      </c>
      <c r="N85" s="27" t="s">
        <v>33</v>
      </c>
      <c r="O85" s="27" t="s">
        <v>53</v>
      </c>
      <c r="P85" s="27" t="s">
        <v>213</v>
      </c>
      <c r="Q85" s="27" t="s">
        <v>256</v>
      </c>
      <c r="R85" s="33">
        <v>52402</v>
      </c>
      <c r="S85" s="34">
        <v>42010</v>
      </c>
      <c r="T85" s="34">
        <v>42017</v>
      </c>
      <c r="U85" s="29">
        <v>-47.97</v>
      </c>
      <c r="V85" s="26">
        <v>1</v>
      </c>
      <c r="W85" s="29">
        <v>21.28</v>
      </c>
      <c r="X85" s="26">
        <v>86960</v>
      </c>
      <c r="Y85" s="35">
        <v>6.67</v>
      </c>
      <c r="Z85" s="1" t="s">
        <v>3012</v>
      </c>
      <c r="AA85" s="36">
        <v>0.31019999999999998</v>
      </c>
      <c r="AB85" s="54">
        <v>8.7248000000000019</v>
      </c>
      <c r="AC85" s="54">
        <v>12.555199999999999</v>
      </c>
      <c r="AD85" s="36">
        <v>51.159800000000004</v>
      </c>
    </row>
    <row r="86" spans="1:30" s="37" customFormat="1" ht="15.75" customHeight="1" x14ac:dyDescent="0.2">
      <c r="A86" s="26">
        <v>211</v>
      </c>
      <c r="B86" s="27" t="s">
        <v>262</v>
      </c>
      <c r="C86" s="27" t="s">
        <v>116</v>
      </c>
      <c r="D86" s="28">
        <v>0.01</v>
      </c>
      <c r="E86" s="29">
        <v>10.06</v>
      </c>
      <c r="F86" s="29">
        <v>2.06</v>
      </c>
      <c r="G86" s="30" t="s">
        <v>39</v>
      </c>
      <c r="H86" s="27" t="s">
        <v>40</v>
      </c>
      <c r="I86" s="27" t="s">
        <v>49</v>
      </c>
      <c r="J86" s="27" t="s">
        <v>88</v>
      </c>
      <c r="K86" s="27" t="s">
        <v>51</v>
      </c>
      <c r="L86" s="31" t="s">
        <v>173</v>
      </c>
      <c r="M86" s="32">
        <v>0.39</v>
      </c>
      <c r="N86" s="27" t="s">
        <v>33</v>
      </c>
      <c r="O86" s="27" t="s">
        <v>111</v>
      </c>
      <c r="P86" s="27" t="s">
        <v>112</v>
      </c>
      <c r="Q86" s="27" t="s">
        <v>263</v>
      </c>
      <c r="R86" s="33">
        <v>13501</v>
      </c>
      <c r="S86" s="34">
        <v>42010</v>
      </c>
      <c r="T86" s="34">
        <v>42012</v>
      </c>
      <c r="U86" s="29">
        <v>7.59</v>
      </c>
      <c r="V86" s="26">
        <v>2</v>
      </c>
      <c r="W86" s="29">
        <v>21.2</v>
      </c>
      <c r="X86" s="26">
        <v>85964</v>
      </c>
      <c r="Y86" s="35">
        <v>42.98</v>
      </c>
      <c r="Z86" s="1" t="s">
        <v>3014</v>
      </c>
      <c r="AA86" s="36">
        <v>0.20120000000000002</v>
      </c>
      <c r="AB86" s="54">
        <v>12.931999999999999</v>
      </c>
      <c r="AC86" s="54">
        <v>4.1340000000000003</v>
      </c>
      <c r="AD86" s="36">
        <v>11.348799999999999</v>
      </c>
    </row>
    <row r="87" spans="1:30" s="37" customFormat="1" ht="15.75" customHeight="1" x14ac:dyDescent="0.2">
      <c r="A87" s="26">
        <v>1829</v>
      </c>
      <c r="B87" s="27" t="s">
        <v>254</v>
      </c>
      <c r="C87" s="27" t="s">
        <v>48</v>
      </c>
      <c r="D87" s="28">
        <v>0.04</v>
      </c>
      <c r="E87" s="29">
        <v>3.52</v>
      </c>
      <c r="F87" s="29">
        <v>6.83</v>
      </c>
      <c r="G87" s="30" t="s">
        <v>39</v>
      </c>
      <c r="H87" s="27" t="s">
        <v>94</v>
      </c>
      <c r="I87" s="27" t="s">
        <v>49</v>
      </c>
      <c r="J87" s="27" t="s">
        <v>72</v>
      </c>
      <c r="K87" s="27" t="s">
        <v>73</v>
      </c>
      <c r="L87" s="31" t="s">
        <v>257</v>
      </c>
      <c r="M87" s="32">
        <v>0.38</v>
      </c>
      <c r="N87" s="27" t="s">
        <v>33</v>
      </c>
      <c r="O87" s="27" t="s">
        <v>53</v>
      </c>
      <c r="P87" s="27" t="s">
        <v>213</v>
      </c>
      <c r="Q87" s="27" t="s">
        <v>256</v>
      </c>
      <c r="R87" s="33">
        <v>52402</v>
      </c>
      <c r="S87" s="34">
        <v>42010</v>
      </c>
      <c r="T87" s="34">
        <v>42019</v>
      </c>
      <c r="U87" s="29">
        <v>-57.753</v>
      </c>
      <c r="V87" s="26">
        <v>4</v>
      </c>
      <c r="W87" s="29">
        <v>15.93</v>
      </c>
      <c r="X87" s="26">
        <v>86960</v>
      </c>
      <c r="Y87" s="35">
        <v>21.75</v>
      </c>
      <c r="Z87" s="1" t="s">
        <v>3012</v>
      </c>
      <c r="AA87" s="36">
        <v>0.56320000000000003</v>
      </c>
      <c r="AB87" s="54">
        <v>9.8765999999999998</v>
      </c>
      <c r="AC87" s="54">
        <v>1.51335</v>
      </c>
      <c r="AD87" s="36">
        <v>66.2898</v>
      </c>
    </row>
    <row r="88" spans="1:30" s="37" customFormat="1" ht="15.75" customHeight="1" x14ac:dyDescent="0.2">
      <c r="A88" s="26">
        <v>3285</v>
      </c>
      <c r="B88" s="27" t="s">
        <v>283</v>
      </c>
      <c r="C88" s="27" t="s">
        <v>3094</v>
      </c>
      <c r="D88" s="28">
        <v>0.06</v>
      </c>
      <c r="E88" s="29">
        <v>1.7</v>
      </c>
      <c r="F88" s="29">
        <v>1.99</v>
      </c>
      <c r="G88" s="30" t="s">
        <v>39</v>
      </c>
      <c r="H88" s="27" t="s">
        <v>40</v>
      </c>
      <c r="I88" s="27" t="s">
        <v>41</v>
      </c>
      <c r="J88" s="27" t="s">
        <v>42</v>
      </c>
      <c r="K88" s="27" t="s">
        <v>43</v>
      </c>
      <c r="L88" s="31" t="s">
        <v>284</v>
      </c>
      <c r="M88" s="32">
        <v>0.51</v>
      </c>
      <c r="N88" s="27" t="s">
        <v>33</v>
      </c>
      <c r="O88" s="27" t="s">
        <v>34</v>
      </c>
      <c r="P88" s="27" t="s">
        <v>242</v>
      </c>
      <c r="Q88" s="27" t="s">
        <v>285</v>
      </c>
      <c r="R88" s="33">
        <v>20170</v>
      </c>
      <c r="S88" s="34">
        <v>42010</v>
      </c>
      <c r="T88" s="34">
        <v>42011</v>
      </c>
      <c r="U88" s="29">
        <v>80.071200000000005</v>
      </c>
      <c r="V88" s="26">
        <v>7</v>
      </c>
      <c r="W88" s="29">
        <v>12.15</v>
      </c>
      <c r="X88" s="26">
        <v>90750</v>
      </c>
      <c r="Y88" s="35">
        <v>1.64</v>
      </c>
      <c r="Z88" s="1" t="s">
        <v>3011</v>
      </c>
      <c r="AA88" s="36">
        <v>0.71399999999999997</v>
      </c>
      <c r="AB88" s="54">
        <v>5.9535</v>
      </c>
      <c r="AC88" s="54">
        <v>0.88521428571428573</v>
      </c>
      <c r="AD88" s="36">
        <v>-70.625199999999992</v>
      </c>
    </row>
    <row r="89" spans="1:30" s="37" customFormat="1" ht="15.75" customHeight="1" x14ac:dyDescent="0.2">
      <c r="A89" s="26">
        <v>2418</v>
      </c>
      <c r="B89" s="27" t="s">
        <v>240</v>
      </c>
      <c r="C89" s="27" t="s">
        <v>26</v>
      </c>
      <c r="D89" s="28">
        <v>0.03</v>
      </c>
      <c r="E89" s="29">
        <v>2.1</v>
      </c>
      <c r="F89" s="29">
        <v>0.7</v>
      </c>
      <c r="G89" s="30" t="s">
        <v>39</v>
      </c>
      <c r="H89" s="27" t="s">
        <v>40</v>
      </c>
      <c r="I89" s="27" t="s">
        <v>49</v>
      </c>
      <c r="J89" s="27" t="s">
        <v>50</v>
      </c>
      <c r="K89" s="27" t="s">
        <v>51</v>
      </c>
      <c r="L89" s="31" t="s">
        <v>241</v>
      </c>
      <c r="M89" s="32">
        <v>0.56999999999999995</v>
      </c>
      <c r="N89" s="27" t="s">
        <v>33</v>
      </c>
      <c r="O89" s="27" t="s">
        <v>34</v>
      </c>
      <c r="P89" s="27" t="s">
        <v>242</v>
      </c>
      <c r="Q89" s="27" t="s">
        <v>243</v>
      </c>
      <c r="R89" s="33">
        <v>23805</v>
      </c>
      <c r="S89" s="34">
        <v>42010</v>
      </c>
      <c r="T89" s="34">
        <v>42011</v>
      </c>
      <c r="U89" s="29">
        <v>-1473.9059999999999</v>
      </c>
      <c r="V89" s="26">
        <v>4</v>
      </c>
      <c r="W89" s="29">
        <v>8.7200000000000006</v>
      </c>
      <c r="X89" s="26">
        <v>86750</v>
      </c>
      <c r="Y89" s="35">
        <v>30.97</v>
      </c>
      <c r="Z89" s="1" t="s">
        <v>3011</v>
      </c>
      <c r="AA89" s="36">
        <v>0.252</v>
      </c>
      <c r="AB89" s="54">
        <v>3.7496000000000005</v>
      </c>
      <c r="AC89" s="54">
        <v>1.2425999999999999</v>
      </c>
      <c r="AD89" s="36">
        <v>1481.674</v>
      </c>
    </row>
    <row r="90" spans="1:30" s="37" customFormat="1" ht="15.75" customHeight="1" x14ac:dyDescent="0.2">
      <c r="A90" s="26">
        <v>1606</v>
      </c>
      <c r="B90" s="27" t="s">
        <v>310</v>
      </c>
      <c r="C90" s="27" t="s">
        <v>116</v>
      </c>
      <c r="D90" s="28">
        <v>7.0000000000000007E-2</v>
      </c>
      <c r="E90" s="29">
        <v>6783.02</v>
      </c>
      <c r="F90" s="29">
        <v>24.49</v>
      </c>
      <c r="G90" s="30" t="s">
        <v>39</v>
      </c>
      <c r="H90" s="27" t="s">
        <v>71</v>
      </c>
      <c r="I90" s="27" t="s">
        <v>41</v>
      </c>
      <c r="J90" s="27" t="s">
        <v>57</v>
      </c>
      <c r="K90" s="27" t="s">
        <v>65</v>
      </c>
      <c r="L90" s="31" t="s">
        <v>314</v>
      </c>
      <c r="M90" s="32">
        <v>0.39</v>
      </c>
      <c r="N90" s="27" t="s">
        <v>33</v>
      </c>
      <c r="O90" s="27" t="s">
        <v>111</v>
      </c>
      <c r="P90" s="27" t="s">
        <v>112</v>
      </c>
      <c r="Q90" s="27" t="s">
        <v>312</v>
      </c>
      <c r="R90" s="33">
        <v>11010</v>
      </c>
      <c r="S90" s="34">
        <v>42011</v>
      </c>
      <c r="T90" s="34">
        <v>42012</v>
      </c>
      <c r="U90" s="29">
        <v>77.983599999999996</v>
      </c>
      <c r="V90" s="26">
        <v>2</v>
      </c>
      <c r="W90" s="29">
        <v>13121.07</v>
      </c>
      <c r="X90" s="26">
        <v>87993</v>
      </c>
      <c r="Y90" s="35">
        <v>14.17</v>
      </c>
      <c r="Z90" s="1" t="s">
        <v>3014</v>
      </c>
      <c r="AA90" s="36">
        <v>949.6228000000001</v>
      </c>
      <c r="AB90" s="54">
        <v>8003.8526999999995</v>
      </c>
      <c r="AC90" s="54">
        <v>2558.6086500000001</v>
      </c>
      <c r="AD90" s="36">
        <v>12068.973599999999</v>
      </c>
    </row>
    <row r="91" spans="1:30" s="37" customFormat="1" ht="15.75" customHeight="1" x14ac:dyDescent="0.2">
      <c r="A91" s="26">
        <v>3079</v>
      </c>
      <c r="B91" s="27" t="s">
        <v>319</v>
      </c>
      <c r="C91" s="27" t="s">
        <v>116</v>
      </c>
      <c r="D91" s="28">
        <v>0</v>
      </c>
      <c r="E91" s="29">
        <v>137.47999999999999</v>
      </c>
      <c r="F91" s="29">
        <v>32.18</v>
      </c>
      <c r="G91" s="30" t="s">
        <v>27</v>
      </c>
      <c r="H91" s="27" t="s">
        <v>3095</v>
      </c>
      <c r="I91" s="27" t="s">
        <v>29</v>
      </c>
      <c r="J91" s="27" t="s">
        <v>117</v>
      </c>
      <c r="K91" s="27" t="s">
        <v>31</v>
      </c>
      <c r="L91" s="31" t="s">
        <v>316</v>
      </c>
      <c r="M91" s="32">
        <v>0.78</v>
      </c>
      <c r="N91" s="27" t="s">
        <v>33</v>
      </c>
      <c r="O91" s="27" t="s">
        <v>111</v>
      </c>
      <c r="P91" s="27" t="s">
        <v>320</v>
      </c>
      <c r="Q91" s="27" t="s">
        <v>321</v>
      </c>
      <c r="R91" s="33">
        <v>19112</v>
      </c>
      <c r="S91" s="34">
        <v>42011</v>
      </c>
      <c r="T91" s="34">
        <v>42012</v>
      </c>
      <c r="U91" s="29">
        <v>-203.27</v>
      </c>
      <c r="V91" s="26">
        <v>10</v>
      </c>
      <c r="W91" s="29">
        <v>1483.76</v>
      </c>
      <c r="X91" s="26">
        <v>12480</v>
      </c>
      <c r="Y91" s="35">
        <v>2.83</v>
      </c>
      <c r="Z91" s="1" t="s">
        <v>3014</v>
      </c>
      <c r="AA91" s="36">
        <v>0</v>
      </c>
      <c r="AB91" s="54">
        <v>326.42719999999997</v>
      </c>
      <c r="AC91" s="54">
        <v>115.73328000000001</v>
      </c>
      <c r="AD91" s="36">
        <v>1654.85</v>
      </c>
    </row>
    <row r="92" spans="1:30" s="37" customFormat="1" ht="15.75" customHeight="1" x14ac:dyDescent="0.2">
      <c r="A92" s="26">
        <v>1606</v>
      </c>
      <c r="B92" s="27" t="s">
        <v>310</v>
      </c>
      <c r="C92" s="27" t="s">
        <v>116</v>
      </c>
      <c r="D92" s="28">
        <v>7.0000000000000007E-2</v>
      </c>
      <c r="E92" s="29">
        <v>699.99</v>
      </c>
      <c r="F92" s="29">
        <v>24.49</v>
      </c>
      <c r="G92" s="30" t="s">
        <v>87</v>
      </c>
      <c r="H92" s="27" t="s">
        <v>71</v>
      </c>
      <c r="I92" s="27" t="s">
        <v>41</v>
      </c>
      <c r="J92" s="27" t="s">
        <v>64</v>
      </c>
      <c r="K92" s="27" t="s">
        <v>65</v>
      </c>
      <c r="L92" s="31" t="s">
        <v>313</v>
      </c>
      <c r="M92" s="32">
        <v>0.41</v>
      </c>
      <c r="N92" s="27" t="s">
        <v>33</v>
      </c>
      <c r="O92" s="27" t="s">
        <v>111</v>
      </c>
      <c r="P92" s="27" t="s">
        <v>112</v>
      </c>
      <c r="Q92" s="27" t="s">
        <v>312</v>
      </c>
      <c r="R92" s="33">
        <v>11010</v>
      </c>
      <c r="S92" s="34">
        <v>42011</v>
      </c>
      <c r="T92" s="34">
        <v>42012</v>
      </c>
      <c r="U92" s="29">
        <v>-2870.2775999999999</v>
      </c>
      <c r="V92" s="26">
        <v>1</v>
      </c>
      <c r="W92" s="29">
        <v>706.56</v>
      </c>
      <c r="X92" s="26">
        <v>87993</v>
      </c>
      <c r="Y92" s="35">
        <v>15.91</v>
      </c>
      <c r="Z92" s="1" t="s">
        <v>3014</v>
      </c>
      <c r="AA92" s="36">
        <v>48.999300000000005</v>
      </c>
      <c r="AB92" s="54">
        <v>416.87040000000002</v>
      </c>
      <c r="AC92" s="54">
        <v>289.68959999999998</v>
      </c>
      <c r="AD92" s="36">
        <v>3503.3483000000001</v>
      </c>
    </row>
    <row r="93" spans="1:30" s="37" customFormat="1" ht="15.75" customHeight="1" x14ac:dyDescent="0.2">
      <c r="A93" s="26">
        <v>3076</v>
      </c>
      <c r="B93" s="27" t="s">
        <v>315</v>
      </c>
      <c r="C93" s="27" t="s">
        <v>116</v>
      </c>
      <c r="D93" s="28">
        <v>0</v>
      </c>
      <c r="E93" s="29">
        <v>137.47999999999999</v>
      </c>
      <c r="F93" s="29">
        <v>32.18</v>
      </c>
      <c r="G93" s="30" t="s">
        <v>27</v>
      </c>
      <c r="H93" s="27" t="s">
        <v>3095</v>
      </c>
      <c r="I93" s="27" t="s">
        <v>29</v>
      </c>
      <c r="J93" s="27" t="s">
        <v>117</v>
      </c>
      <c r="K93" s="27" t="s">
        <v>31</v>
      </c>
      <c r="L93" s="31" t="s">
        <v>316</v>
      </c>
      <c r="M93" s="32">
        <v>0.78</v>
      </c>
      <c r="N93" s="27" t="s">
        <v>33</v>
      </c>
      <c r="O93" s="27" t="s">
        <v>111</v>
      </c>
      <c r="P93" s="27" t="s">
        <v>317</v>
      </c>
      <c r="Q93" s="27" t="s">
        <v>318</v>
      </c>
      <c r="R93" s="33">
        <v>44224</v>
      </c>
      <c r="S93" s="34">
        <v>42011</v>
      </c>
      <c r="T93" s="34">
        <v>42012</v>
      </c>
      <c r="U93" s="29">
        <v>-203.27</v>
      </c>
      <c r="V93" s="26">
        <v>2</v>
      </c>
      <c r="W93" s="29">
        <v>296.75</v>
      </c>
      <c r="X93" s="26">
        <v>88241</v>
      </c>
      <c r="Y93" s="35">
        <v>65.92</v>
      </c>
      <c r="Z93" s="1" t="s">
        <v>3014</v>
      </c>
      <c r="AA93" s="36">
        <v>0</v>
      </c>
      <c r="AB93" s="54">
        <v>65.284999999999997</v>
      </c>
      <c r="AC93" s="54">
        <v>115.7325</v>
      </c>
      <c r="AD93" s="36">
        <v>467.84000000000003</v>
      </c>
    </row>
    <row r="94" spans="1:30" s="37" customFormat="1" ht="15.75" customHeight="1" x14ac:dyDescent="0.2">
      <c r="A94" s="26">
        <v>619</v>
      </c>
      <c r="B94" s="27" t="s">
        <v>287</v>
      </c>
      <c r="C94" s="27" t="s">
        <v>26</v>
      </c>
      <c r="D94" s="28">
        <v>0.03</v>
      </c>
      <c r="E94" s="29">
        <v>14.2</v>
      </c>
      <c r="F94" s="29">
        <v>5.3</v>
      </c>
      <c r="G94" s="30" t="s">
        <v>39</v>
      </c>
      <c r="H94" s="27" t="s">
        <v>40</v>
      </c>
      <c r="I94" s="27" t="s">
        <v>29</v>
      </c>
      <c r="J94" s="27" t="s">
        <v>126</v>
      </c>
      <c r="K94" s="27" t="s">
        <v>51</v>
      </c>
      <c r="L94" s="31" t="s">
        <v>288</v>
      </c>
      <c r="M94" s="32">
        <v>0.46</v>
      </c>
      <c r="N94" s="27" t="s">
        <v>33</v>
      </c>
      <c r="O94" s="27" t="s">
        <v>53</v>
      </c>
      <c r="P94" s="27" t="s">
        <v>289</v>
      </c>
      <c r="Q94" s="27" t="s">
        <v>290</v>
      </c>
      <c r="R94" s="33">
        <v>48195</v>
      </c>
      <c r="S94" s="34">
        <v>42011</v>
      </c>
      <c r="T94" s="34">
        <v>42012</v>
      </c>
      <c r="U94" s="29">
        <v>107.02</v>
      </c>
      <c r="V94" s="26">
        <v>14</v>
      </c>
      <c r="W94" s="29">
        <v>205.98</v>
      </c>
      <c r="X94" s="26">
        <v>88196</v>
      </c>
      <c r="Y94" s="35">
        <v>5.05</v>
      </c>
      <c r="Z94" s="1" t="s">
        <v>3012</v>
      </c>
      <c r="AA94" s="36">
        <v>5.9639999999999995</v>
      </c>
      <c r="AB94" s="54">
        <v>111.22920000000001</v>
      </c>
      <c r="AC94" s="54">
        <v>6.7679142857142862</v>
      </c>
      <c r="AD94" s="36">
        <v>87.695999999999998</v>
      </c>
    </row>
    <row r="95" spans="1:30" s="37" customFormat="1" ht="15.75" customHeight="1" x14ac:dyDescent="0.2">
      <c r="A95" s="26">
        <v>3303</v>
      </c>
      <c r="B95" s="27" t="s">
        <v>304</v>
      </c>
      <c r="C95" s="27" t="s">
        <v>48</v>
      </c>
      <c r="D95" s="28">
        <v>0.04</v>
      </c>
      <c r="E95" s="29">
        <v>33.89</v>
      </c>
      <c r="F95" s="29">
        <v>5.0999999999999996</v>
      </c>
      <c r="G95" s="30" t="s">
        <v>39</v>
      </c>
      <c r="H95" s="27" t="s">
        <v>71</v>
      </c>
      <c r="I95" s="27" t="s">
        <v>49</v>
      </c>
      <c r="J95" s="27" t="s">
        <v>78</v>
      </c>
      <c r="K95" s="27" t="s">
        <v>73</v>
      </c>
      <c r="L95" s="31" t="s">
        <v>305</v>
      </c>
      <c r="M95" s="32">
        <v>0.6</v>
      </c>
      <c r="N95" s="27" t="s">
        <v>33</v>
      </c>
      <c r="O95" s="27" t="s">
        <v>34</v>
      </c>
      <c r="P95" s="27" t="s">
        <v>123</v>
      </c>
      <c r="Q95" s="27" t="s">
        <v>306</v>
      </c>
      <c r="R95" s="33">
        <v>33461</v>
      </c>
      <c r="S95" s="34">
        <v>42011</v>
      </c>
      <c r="T95" s="34">
        <v>42016</v>
      </c>
      <c r="U95" s="29">
        <v>68.676000000000002</v>
      </c>
      <c r="V95" s="26">
        <v>6</v>
      </c>
      <c r="W95" s="29">
        <v>200.64</v>
      </c>
      <c r="X95" s="26">
        <v>87795</v>
      </c>
      <c r="Y95" s="35">
        <v>7.08</v>
      </c>
      <c r="Z95" s="1" t="s">
        <v>3011</v>
      </c>
      <c r="AA95" s="36">
        <v>8.1336000000000013</v>
      </c>
      <c r="AB95" s="54">
        <v>80.256</v>
      </c>
      <c r="AC95" s="54">
        <v>20.063999999999997</v>
      </c>
      <c r="AD95" s="36">
        <v>118.73039999999999</v>
      </c>
    </row>
    <row r="96" spans="1:30" s="37" customFormat="1" ht="15.75" customHeight="1" x14ac:dyDescent="0.2">
      <c r="A96" s="26">
        <v>651</v>
      </c>
      <c r="B96" s="27" t="s">
        <v>294</v>
      </c>
      <c r="C96" s="27" t="s">
        <v>38</v>
      </c>
      <c r="D96" s="28">
        <v>0.08</v>
      </c>
      <c r="E96" s="29">
        <v>15.99</v>
      </c>
      <c r="F96" s="29">
        <v>13.18</v>
      </c>
      <c r="G96" s="30" t="s">
        <v>39</v>
      </c>
      <c r="H96" s="27" t="s">
        <v>40</v>
      </c>
      <c r="I96" s="27" t="s">
        <v>49</v>
      </c>
      <c r="J96" s="27" t="s">
        <v>72</v>
      </c>
      <c r="K96" s="27" t="s">
        <v>73</v>
      </c>
      <c r="L96" s="31" t="s">
        <v>295</v>
      </c>
      <c r="M96" s="32">
        <v>0.37</v>
      </c>
      <c r="N96" s="27" t="s">
        <v>33</v>
      </c>
      <c r="O96" s="27" t="s">
        <v>60</v>
      </c>
      <c r="P96" s="27" t="s">
        <v>296</v>
      </c>
      <c r="Q96" s="27" t="s">
        <v>297</v>
      </c>
      <c r="R96" s="33">
        <v>89115</v>
      </c>
      <c r="S96" s="34">
        <v>42011</v>
      </c>
      <c r="T96" s="34">
        <v>42012</v>
      </c>
      <c r="U96" s="29">
        <v>-246.92616000000001</v>
      </c>
      <c r="V96" s="26">
        <v>12</v>
      </c>
      <c r="W96" s="29">
        <v>192.33</v>
      </c>
      <c r="X96" s="26">
        <v>91575</v>
      </c>
      <c r="Y96" s="35">
        <v>33.85</v>
      </c>
      <c r="Z96" s="1" t="s">
        <v>3013</v>
      </c>
      <c r="AA96" s="36">
        <v>15.3504</v>
      </c>
      <c r="AB96" s="54">
        <v>121.1679</v>
      </c>
      <c r="AC96" s="54">
        <v>5.9301750000000002</v>
      </c>
      <c r="AD96" s="36">
        <v>410.72576000000004</v>
      </c>
    </row>
    <row r="97" spans="1:30" s="37" customFormat="1" ht="15.75" customHeight="1" x14ac:dyDescent="0.2">
      <c r="A97" s="26">
        <v>2630</v>
      </c>
      <c r="B97" s="27" t="s">
        <v>205</v>
      </c>
      <c r="C97" s="27" t="s">
        <v>38</v>
      </c>
      <c r="D97" s="28">
        <v>7.0000000000000007E-2</v>
      </c>
      <c r="E97" s="29">
        <v>65.989999999999995</v>
      </c>
      <c r="F97" s="29">
        <v>5.99</v>
      </c>
      <c r="G97" s="30" t="s">
        <v>39</v>
      </c>
      <c r="H97" s="27" t="s">
        <v>3095</v>
      </c>
      <c r="I97" s="27" t="s">
        <v>41</v>
      </c>
      <c r="J97" s="27" t="s">
        <v>135</v>
      </c>
      <c r="K97" s="27" t="s">
        <v>73</v>
      </c>
      <c r="L97" s="31" t="s">
        <v>298</v>
      </c>
      <c r="M97" s="32">
        <v>0.57999999999999996</v>
      </c>
      <c r="N97" s="27" t="s">
        <v>33</v>
      </c>
      <c r="O97" s="27" t="s">
        <v>53</v>
      </c>
      <c r="P97" s="27" t="s">
        <v>207</v>
      </c>
      <c r="Q97" s="27" t="s">
        <v>208</v>
      </c>
      <c r="R97" s="33">
        <v>73071</v>
      </c>
      <c r="S97" s="34">
        <v>42011</v>
      </c>
      <c r="T97" s="34">
        <v>42012</v>
      </c>
      <c r="U97" s="29">
        <v>-139.18256</v>
      </c>
      <c r="V97" s="26">
        <v>3</v>
      </c>
      <c r="W97" s="29">
        <v>165.71</v>
      </c>
      <c r="X97" s="26">
        <v>85915</v>
      </c>
      <c r="Y97" s="35">
        <v>73.95</v>
      </c>
      <c r="Z97" s="1" t="s">
        <v>3012</v>
      </c>
      <c r="AA97" s="36">
        <v>13.857900000000001</v>
      </c>
      <c r="AB97" s="54">
        <v>69.598200000000006</v>
      </c>
      <c r="AC97" s="54">
        <v>32.037266666666667</v>
      </c>
      <c r="AD97" s="36">
        <v>285.04466000000002</v>
      </c>
    </row>
    <row r="98" spans="1:30" s="37" customFormat="1" ht="15.75" customHeight="1" x14ac:dyDescent="0.2">
      <c r="A98" s="26">
        <v>1367</v>
      </c>
      <c r="B98" s="27" t="s">
        <v>307</v>
      </c>
      <c r="C98" s="27" t="s">
        <v>116</v>
      </c>
      <c r="D98" s="28">
        <v>0.03</v>
      </c>
      <c r="E98" s="29">
        <v>73.98</v>
      </c>
      <c r="F98" s="29">
        <v>14.52</v>
      </c>
      <c r="G98" s="30" t="s">
        <v>39</v>
      </c>
      <c r="H98" s="27" t="s">
        <v>40</v>
      </c>
      <c r="I98" s="27" t="s">
        <v>41</v>
      </c>
      <c r="J98" s="27" t="s">
        <v>42</v>
      </c>
      <c r="K98" s="27" t="s">
        <v>73</v>
      </c>
      <c r="L98" s="31" t="s">
        <v>308</v>
      </c>
      <c r="M98" s="32">
        <v>0.65</v>
      </c>
      <c r="N98" s="27" t="s">
        <v>33</v>
      </c>
      <c r="O98" s="27" t="s">
        <v>53</v>
      </c>
      <c r="P98" s="27" t="s">
        <v>187</v>
      </c>
      <c r="Q98" s="27" t="s">
        <v>309</v>
      </c>
      <c r="R98" s="33">
        <v>79424</v>
      </c>
      <c r="S98" s="34">
        <v>42011</v>
      </c>
      <c r="T98" s="34">
        <v>42014</v>
      </c>
      <c r="U98" s="29">
        <v>-326.23160000000001</v>
      </c>
      <c r="V98" s="26">
        <v>1</v>
      </c>
      <c r="W98" s="29">
        <v>79.02</v>
      </c>
      <c r="X98" s="26">
        <v>90513</v>
      </c>
      <c r="Y98" s="35">
        <v>1.93</v>
      </c>
      <c r="Z98" s="1" t="s">
        <v>3012</v>
      </c>
      <c r="AA98" s="36">
        <v>2.2193999999999998</v>
      </c>
      <c r="AB98" s="54">
        <v>27.656999999999996</v>
      </c>
      <c r="AC98" s="54">
        <v>51.363</v>
      </c>
      <c r="AD98" s="36">
        <v>388.51220000000001</v>
      </c>
    </row>
    <row r="99" spans="1:30" s="37" customFormat="1" ht="15.75" customHeight="1" x14ac:dyDescent="0.2">
      <c r="A99" s="26">
        <v>3123</v>
      </c>
      <c r="B99" s="27" t="s">
        <v>302</v>
      </c>
      <c r="C99" s="27" t="s">
        <v>48</v>
      </c>
      <c r="D99" s="28">
        <v>0.02</v>
      </c>
      <c r="E99" s="29">
        <v>7.1</v>
      </c>
      <c r="F99" s="29">
        <v>6.05</v>
      </c>
      <c r="G99" s="30" t="s">
        <v>39</v>
      </c>
      <c r="H99" s="27" t="s">
        <v>71</v>
      </c>
      <c r="I99" s="27" t="s">
        <v>49</v>
      </c>
      <c r="J99" s="27" t="s">
        <v>72</v>
      </c>
      <c r="K99" s="27" t="s">
        <v>73</v>
      </c>
      <c r="L99" s="31" t="s">
        <v>251</v>
      </c>
      <c r="M99" s="32">
        <v>0.39</v>
      </c>
      <c r="N99" s="27" t="s">
        <v>33</v>
      </c>
      <c r="O99" s="27" t="s">
        <v>53</v>
      </c>
      <c r="P99" s="27" t="s">
        <v>103</v>
      </c>
      <c r="Q99" s="27" t="s">
        <v>303</v>
      </c>
      <c r="R99" s="33">
        <v>60160</v>
      </c>
      <c r="S99" s="34">
        <v>42011</v>
      </c>
      <c r="T99" s="34">
        <v>42013</v>
      </c>
      <c r="U99" s="29">
        <v>-48.875</v>
      </c>
      <c r="V99" s="26">
        <v>8</v>
      </c>
      <c r="W99" s="29">
        <v>61.5</v>
      </c>
      <c r="X99" s="26">
        <v>87287</v>
      </c>
      <c r="Y99" s="35">
        <v>699.92</v>
      </c>
      <c r="Z99" s="1" t="s">
        <v>3012</v>
      </c>
      <c r="AA99" s="36">
        <v>1.1359999999999999</v>
      </c>
      <c r="AB99" s="54">
        <v>37.515000000000001</v>
      </c>
      <c r="AC99" s="54">
        <v>2.9981249999999999</v>
      </c>
      <c r="AD99" s="36">
        <v>103.18899999999999</v>
      </c>
    </row>
    <row r="100" spans="1:30" s="37" customFormat="1" ht="15.75" customHeight="1" x14ac:dyDescent="0.2">
      <c r="A100" s="26">
        <v>1781</v>
      </c>
      <c r="B100" s="27" t="s">
        <v>299</v>
      </c>
      <c r="C100" s="27" t="s">
        <v>48</v>
      </c>
      <c r="D100" s="28">
        <v>0.03</v>
      </c>
      <c r="E100" s="29">
        <v>5.08</v>
      </c>
      <c r="F100" s="29">
        <v>2.0299999999999998</v>
      </c>
      <c r="G100" s="30" t="s">
        <v>39</v>
      </c>
      <c r="H100" s="27" t="s">
        <v>71</v>
      </c>
      <c r="I100" s="27" t="s">
        <v>29</v>
      </c>
      <c r="J100" s="27" t="s">
        <v>126</v>
      </c>
      <c r="K100" s="27" t="s">
        <v>51</v>
      </c>
      <c r="L100" s="31" t="s">
        <v>300</v>
      </c>
      <c r="M100" s="32">
        <v>0.51</v>
      </c>
      <c r="N100" s="27" t="s">
        <v>33</v>
      </c>
      <c r="O100" s="27" t="s">
        <v>60</v>
      </c>
      <c r="P100" s="27" t="s">
        <v>90</v>
      </c>
      <c r="Q100" s="27" t="s">
        <v>301</v>
      </c>
      <c r="R100" s="33">
        <v>94070</v>
      </c>
      <c r="S100" s="34">
        <v>42011</v>
      </c>
      <c r="T100" s="34">
        <v>42016</v>
      </c>
      <c r="U100" s="29">
        <v>15.1524</v>
      </c>
      <c r="V100" s="26">
        <v>4</v>
      </c>
      <c r="W100" s="29">
        <v>21.96</v>
      </c>
      <c r="X100" s="26">
        <v>89858</v>
      </c>
      <c r="Y100" s="35">
        <v>6782.9500000000007</v>
      </c>
      <c r="Z100" s="1" t="s">
        <v>3013</v>
      </c>
      <c r="AA100" s="36">
        <v>0.60960000000000003</v>
      </c>
      <c r="AB100" s="54">
        <v>10.760400000000001</v>
      </c>
      <c r="AC100" s="54">
        <v>2.7999000000000001</v>
      </c>
      <c r="AD100" s="36">
        <v>4.1679999999999993</v>
      </c>
    </row>
    <row r="101" spans="1:30" s="37" customFormat="1" ht="15.75" customHeight="1" x14ac:dyDescent="0.2">
      <c r="A101" s="26">
        <v>3</v>
      </c>
      <c r="B101" s="27" t="s">
        <v>291</v>
      </c>
      <c r="C101" s="27" t="s">
        <v>38</v>
      </c>
      <c r="D101" s="28">
        <v>0.01</v>
      </c>
      <c r="E101" s="29">
        <v>2.84</v>
      </c>
      <c r="F101" s="29">
        <v>0.93</v>
      </c>
      <c r="G101" s="30" t="s">
        <v>87</v>
      </c>
      <c r="H101" s="27" t="s">
        <v>94</v>
      </c>
      <c r="I101" s="27" t="s">
        <v>49</v>
      </c>
      <c r="J101" s="27" t="s">
        <v>50</v>
      </c>
      <c r="K101" s="27" t="s">
        <v>51</v>
      </c>
      <c r="L101" s="31" t="s">
        <v>292</v>
      </c>
      <c r="M101" s="32">
        <v>0.54</v>
      </c>
      <c r="N101" s="27" t="s">
        <v>33</v>
      </c>
      <c r="O101" s="27" t="s">
        <v>60</v>
      </c>
      <c r="P101" s="27" t="s">
        <v>67</v>
      </c>
      <c r="Q101" s="27" t="s">
        <v>293</v>
      </c>
      <c r="R101" s="33">
        <v>98221</v>
      </c>
      <c r="S101" s="34">
        <v>42011</v>
      </c>
      <c r="T101" s="34">
        <v>42012</v>
      </c>
      <c r="U101" s="29">
        <v>4.5599999999999996</v>
      </c>
      <c r="V101" s="26">
        <v>4</v>
      </c>
      <c r="W101" s="29">
        <v>13.01</v>
      </c>
      <c r="X101" s="26">
        <v>88522</v>
      </c>
      <c r="Y101" s="35">
        <v>137.47999999999999</v>
      </c>
      <c r="Z101" s="1" t="s">
        <v>3013</v>
      </c>
      <c r="AA101" s="36">
        <v>0.11359999999999999</v>
      </c>
      <c r="AB101" s="54">
        <v>5.9845999999999995</v>
      </c>
      <c r="AC101" s="54">
        <v>1.7563500000000001</v>
      </c>
      <c r="AD101" s="36">
        <v>7.4064000000000005</v>
      </c>
    </row>
    <row r="102" spans="1:30" s="37" customFormat="1" ht="15.75" customHeight="1" x14ac:dyDescent="0.2">
      <c r="A102" s="26">
        <v>1606</v>
      </c>
      <c r="B102" s="27" t="s">
        <v>310</v>
      </c>
      <c r="C102" s="27" t="s">
        <v>116</v>
      </c>
      <c r="D102" s="28">
        <v>0.05</v>
      </c>
      <c r="E102" s="29">
        <v>1.98</v>
      </c>
      <c r="F102" s="29">
        <v>4.7699999999999996</v>
      </c>
      <c r="G102" s="30" t="s">
        <v>39</v>
      </c>
      <c r="H102" s="27" t="s">
        <v>71</v>
      </c>
      <c r="I102" s="27" t="s">
        <v>49</v>
      </c>
      <c r="J102" s="27" t="s">
        <v>72</v>
      </c>
      <c r="K102" s="27" t="s">
        <v>73</v>
      </c>
      <c r="L102" s="31" t="s">
        <v>311</v>
      </c>
      <c r="M102" s="32">
        <v>0.4</v>
      </c>
      <c r="N102" s="27" t="s">
        <v>33</v>
      </c>
      <c r="O102" s="27" t="s">
        <v>111</v>
      </c>
      <c r="P102" s="27" t="s">
        <v>112</v>
      </c>
      <c r="Q102" s="27" t="s">
        <v>312</v>
      </c>
      <c r="R102" s="33">
        <v>11010</v>
      </c>
      <c r="S102" s="34">
        <v>42011</v>
      </c>
      <c r="T102" s="34">
        <v>42012</v>
      </c>
      <c r="U102" s="29">
        <v>-14.359819999999999</v>
      </c>
      <c r="V102" s="26">
        <v>1</v>
      </c>
      <c r="W102" s="29">
        <v>3.53</v>
      </c>
      <c r="X102" s="26">
        <v>87993</v>
      </c>
      <c r="Y102" s="35">
        <v>137.47999999999999</v>
      </c>
      <c r="Z102" s="1" t="s">
        <v>3014</v>
      </c>
      <c r="AA102" s="36">
        <v>9.9000000000000005E-2</v>
      </c>
      <c r="AB102" s="54">
        <v>2.1179999999999999</v>
      </c>
      <c r="AC102" s="54">
        <v>1.4119999999999999</v>
      </c>
      <c r="AD102" s="36">
        <v>13.020819999999999</v>
      </c>
    </row>
    <row r="103" spans="1:30" s="37" customFormat="1" ht="15.75" customHeight="1" x14ac:dyDescent="0.2">
      <c r="A103" s="26">
        <v>2868</v>
      </c>
      <c r="B103" s="27" t="s">
        <v>322</v>
      </c>
      <c r="C103" s="27" t="s">
        <v>38</v>
      </c>
      <c r="D103" s="28">
        <v>0.03</v>
      </c>
      <c r="E103" s="29">
        <v>896.99</v>
      </c>
      <c r="F103" s="29">
        <v>19.989999999999998</v>
      </c>
      <c r="G103" s="30" t="s">
        <v>39</v>
      </c>
      <c r="H103" s="27" t="s">
        <v>94</v>
      </c>
      <c r="I103" s="27" t="s">
        <v>49</v>
      </c>
      <c r="J103" s="27" t="s">
        <v>72</v>
      </c>
      <c r="K103" s="27" t="s">
        <v>73</v>
      </c>
      <c r="L103" s="31" t="s">
        <v>323</v>
      </c>
      <c r="M103" s="32">
        <v>0.38</v>
      </c>
      <c r="N103" s="27" t="s">
        <v>33</v>
      </c>
      <c r="O103" s="27" t="s">
        <v>60</v>
      </c>
      <c r="P103" s="27" t="s">
        <v>67</v>
      </c>
      <c r="Q103" s="27" t="s">
        <v>324</v>
      </c>
      <c r="R103" s="33">
        <v>98026</v>
      </c>
      <c r="S103" s="34">
        <v>42012</v>
      </c>
      <c r="T103" s="34">
        <v>42014</v>
      </c>
      <c r="U103" s="29">
        <v>3602.1311999999998</v>
      </c>
      <c r="V103" s="26">
        <v>6</v>
      </c>
      <c r="W103" s="29">
        <v>5220.4799999999996</v>
      </c>
      <c r="X103" s="26">
        <v>85826</v>
      </c>
      <c r="Y103" s="35">
        <v>896.96</v>
      </c>
      <c r="Z103" s="1" t="s">
        <v>3013</v>
      </c>
      <c r="AA103" s="36">
        <v>161.45820000000001</v>
      </c>
      <c r="AB103" s="54">
        <v>3236.6975999999995</v>
      </c>
      <c r="AC103" s="54">
        <v>330.63039999999995</v>
      </c>
      <c r="AD103" s="36">
        <v>1436.9005999999999</v>
      </c>
    </row>
    <row r="104" spans="1:30" s="37" customFormat="1" ht="15.75" customHeight="1" x14ac:dyDescent="0.2">
      <c r="A104" s="26">
        <v>2099</v>
      </c>
      <c r="B104" s="27" t="s">
        <v>333</v>
      </c>
      <c r="C104" s="27" t="s">
        <v>3094</v>
      </c>
      <c r="D104" s="28">
        <v>7.0000000000000007E-2</v>
      </c>
      <c r="E104" s="29">
        <v>14.56</v>
      </c>
      <c r="F104" s="29">
        <v>3.5</v>
      </c>
      <c r="G104" s="30" t="s">
        <v>39</v>
      </c>
      <c r="H104" s="27" t="s">
        <v>71</v>
      </c>
      <c r="I104" s="27" t="s">
        <v>49</v>
      </c>
      <c r="J104" s="27" t="s">
        <v>95</v>
      </c>
      <c r="K104" s="27" t="s">
        <v>73</v>
      </c>
      <c r="L104" s="31" t="s">
        <v>334</v>
      </c>
      <c r="M104" s="32">
        <v>0.57999999999999996</v>
      </c>
      <c r="N104" s="27" t="s">
        <v>33</v>
      </c>
      <c r="O104" s="27" t="s">
        <v>34</v>
      </c>
      <c r="P104" s="27" t="s">
        <v>271</v>
      </c>
      <c r="Q104" s="27" t="s">
        <v>335</v>
      </c>
      <c r="R104" s="33">
        <v>29577</v>
      </c>
      <c r="S104" s="34">
        <v>42012</v>
      </c>
      <c r="T104" s="34">
        <v>42013</v>
      </c>
      <c r="U104" s="29">
        <v>-45.527999999999999</v>
      </c>
      <c r="V104" s="26">
        <v>6</v>
      </c>
      <c r="W104" s="29">
        <v>84.59</v>
      </c>
      <c r="X104" s="26">
        <v>87888</v>
      </c>
      <c r="Y104" s="35">
        <v>4.0599999999999996</v>
      </c>
      <c r="Z104" s="1" t="s">
        <v>3011</v>
      </c>
      <c r="AA104" s="36">
        <v>6.1152000000000006</v>
      </c>
      <c r="AB104" s="54">
        <v>35.527800000000006</v>
      </c>
      <c r="AC104" s="54">
        <v>8.177033333333334</v>
      </c>
      <c r="AD104" s="36">
        <v>120.50280000000001</v>
      </c>
    </row>
    <row r="105" spans="1:30" s="37" customFormat="1" ht="15.75" customHeight="1" x14ac:dyDescent="0.2">
      <c r="A105" s="26">
        <v>2508</v>
      </c>
      <c r="B105" s="27" t="s">
        <v>329</v>
      </c>
      <c r="C105" s="27" t="s">
        <v>48</v>
      </c>
      <c r="D105" s="28">
        <v>0.02</v>
      </c>
      <c r="E105" s="29">
        <v>5.81</v>
      </c>
      <c r="F105" s="29">
        <v>8.49</v>
      </c>
      <c r="G105" s="30" t="s">
        <v>39</v>
      </c>
      <c r="H105" s="27" t="s">
        <v>71</v>
      </c>
      <c r="I105" s="27" t="s">
        <v>49</v>
      </c>
      <c r="J105" s="27" t="s">
        <v>72</v>
      </c>
      <c r="K105" s="27" t="s">
        <v>73</v>
      </c>
      <c r="L105" s="31" t="s">
        <v>330</v>
      </c>
      <c r="M105" s="32">
        <v>0.39</v>
      </c>
      <c r="N105" s="27" t="s">
        <v>33</v>
      </c>
      <c r="O105" s="27" t="s">
        <v>111</v>
      </c>
      <c r="P105" s="27" t="s">
        <v>331</v>
      </c>
      <c r="Q105" s="27" t="s">
        <v>332</v>
      </c>
      <c r="R105" s="33">
        <v>4073</v>
      </c>
      <c r="S105" s="34">
        <v>42012</v>
      </c>
      <c r="T105" s="34">
        <v>42016</v>
      </c>
      <c r="U105" s="29">
        <v>-137.494</v>
      </c>
      <c r="V105" s="26">
        <v>7</v>
      </c>
      <c r="W105" s="29">
        <v>42.44</v>
      </c>
      <c r="X105" s="26">
        <v>87031</v>
      </c>
      <c r="Y105" s="35">
        <v>22.689999999999998</v>
      </c>
      <c r="Z105" s="1" t="s">
        <v>3014</v>
      </c>
      <c r="AA105" s="36">
        <v>0.81340000000000001</v>
      </c>
      <c r="AB105" s="54">
        <v>25.888399999999997</v>
      </c>
      <c r="AC105" s="54">
        <v>2.3645142857142858</v>
      </c>
      <c r="AD105" s="36">
        <v>170.63059999999999</v>
      </c>
    </row>
    <row r="106" spans="1:30" s="37" customFormat="1" ht="15.75" customHeight="1" x14ac:dyDescent="0.2">
      <c r="A106" s="26">
        <v>2908</v>
      </c>
      <c r="B106" s="27" t="s">
        <v>325</v>
      </c>
      <c r="C106" s="27" t="s">
        <v>38</v>
      </c>
      <c r="D106" s="28">
        <v>0.03</v>
      </c>
      <c r="E106" s="29">
        <v>22.72</v>
      </c>
      <c r="F106" s="29">
        <v>8.99</v>
      </c>
      <c r="G106" s="30" t="s">
        <v>39</v>
      </c>
      <c r="H106" s="27" t="s">
        <v>71</v>
      </c>
      <c r="I106" s="27" t="s">
        <v>29</v>
      </c>
      <c r="J106" s="27" t="s">
        <v>126</v>
      </c>
      <c r="K106" s="27" t="s">
        <v>43</v>
      </c>
      <c r="L106" s="31" t="s">
        <v>328</v>
      </c>
      <c r="M106" s="32">
        <v>0.44</v>
      </c>
      <c r="N106" s="27" t="s">
        <v>33</v>
      </c>
      <c r="O106" s="27" t="s">
        <v>111</v>
      </c>
      <c r="P106" s="27" t="s">
        <v>317</v>
      </c>
      <c r="Q106" s="27" t="s">
        <v>327</v>
      </c>
      <c r="R106" s="33">
        <v>44125</v>
      </c>
      <c r="S106" s="34">
        <v>42012</v>
      </c>
      <c r="T106" s="34">
        <v>42012</v>
      </c>
      <c r="U106" s="29">
        <v>17.429400000000001</v>
      </c>
      <c r="V106" s="26">
        <v>1</v>
      </c>
      <c r="W106" s="29">
        <v>25.26</v>
      </c>
      <c r="X106" s="26">
        <v>88156</v>
      </c>
      <c r="Y106" s="35">
        <v>5.79</v>
      </c>
      <c r="Z106" s="1" t="s">
        <v>3014</v>
      </c>
      <c r="AA106" s="36">
        <v>0.68159999999999998</v>
      </c>
      <c r="AB106" s="54">
        <v>14.145600000000002</v>
      </c>
      <c r="AC106" s="54">
        <v>11.114400000000002</v>
      </c>
      <c r="AD106" s="36">
        <v>-1.8410000000000011</v>
      </c>
    </row>
    <row r="107" spans="1:30" s="37" customFormat="1" ht="15.75" customHeight="1" x14ac:dyDescent="0.2">
      <c r="A107" s="26">
        <v>2908</v>
      </c>
      <c r="B107" s="27" t="s">
        <v>325</v>
      </c>
      <c r="C107" s="27" t="s">
        <v>38</v>
      </c>
      <c r="D107" s="28">
        <v>7.0000000000000007E-2</v>
      </c>
      <c r="E107" s="29">
        <v>4.13</v>
      </c>
      <c r="F107" s="29">
        <v>0.99</v>
      </c>
      <c r="G107" s="30" t="s">
        <v>39</v>
      </c>
      <c r="H107" s="27" t="s">
        <v>71</v>
      </c>
      <c r="I107" s="27" t="s">
        <v>49</v>
      </c>
      <c r="J107" s="27" t="s">
        <v>152</v>
      </c>
      <c r="K107" s="27" t="s">
        <v>73</v>
      </c>
      <c r="L107" s="31" t="s">
        <v>326</v>
      </c>
      <c r="M107" s="32">
        <v>0.39</v>
      </c>
      <c r="N107" s="27" t="s">
        <v>33</v>
      </c>
      <c r="O107" s="27" t="s">
        <v>111</v>
      </c>
      <c r="P107" s="27" t="s">
        <v>317</v>
      </c>
      <c r="Q107" s="27" t="s">
        <v>327</v>
      </c>
      <c r="R107" s="33">
        <v>44125</v>
      </c>
      <c r="S107" s="34">
        <v>42012</v>
      </c>
      <c r="T107" s="34">
        <v>42012</v>
      </c>
      <c r="U107" s="29">
        <v>10.959199999999999</v>
      </c>
      <c r="V107" s="26">
        <v>4</v>
      </c>
      <c r="W107" s="29">
        <v>16.07</v>
      </c>
      <c r="X107" s="26">
        <v>88156</v>
      </c>
      <c r="Y107" s="35">
        <v>14.49</v>
      </c>
      <c r="Z107" s="1" t="s">
        <v>3014</v>
      </c>
      <c r="AA107" s="36">
        <v>1.1564000000000001</v>
      </c>
      <c r="AB107" s="54">
        <v>9.8026999999999997</v>
      </c>
      <c r="AC107" s="54">
        <v>1.5668250000000001</v>
      </c>
      <c r="AD107" s="36">
        <v>2.9644000000000013</v>
      </c>
    </row>
    <row r="108" spans="1:30" s="37" customFormat="1" ht="15.75" customHeight="1" x14ac:dyDescent="0.2">
      <c r="A108" s="26">
        <v>806</v>
      </c>
      <c r="B108" s="27" t="s">
        <v>336</v>
      </c>
      <c r="C108" s="27" t="s">
        <v>26</v>
      </c>
      <c r="D108" s="28">
        <v>0.06</v>
      </c>
      <c r="E108" s="29">
        <v>179.99</v>
      </c>
      <c r="F108" s="29">
        <v>13.99</v>
      </c>
      <c r="G108" s="30" t="s">
        <v>87</v>
      </c>
      <c r="H108" s="27" t="s">
        <v>3095</v>
      </c>
      <c r="I108" s="27" t="s">
        <v>41</v>
      </c>
      <c r="J108" s="27" t="s">
        <v>135</v>
      </c>
      <c r="K108" s="27" t="s">
        <v>144</v>
      </c>
      <c r="L108" s="31" t="s">
        <v>337</v>
      </c>
      <c r="M108" s="32">
        <v>0.56999999999999995</v>
      </c>
      <c r="N108" s="27" t="s">
        <v>33</v>
      </c>
      <c r="O108" s="27" t="s">
        <v>34</v>
      </c>
      <c r="P108" s="27" t="s">
        <v>123</v>
      </c>
      <c r="Q108" s="27" t="s">
        <v>128</v>
      </c>
      <c r="R108" s="33">
        <v>33132</v>
      </c>
      <c r="S108" s="34">
        <v>42013</v>
      </c>
      <c r="T108" s="34">
        <v>42015</v>
      </c>
      <c r="U108" s="29">
        <v>1220.03784</v>
      </c>
      <c r="V108" s="26">
        <v>54</v>
      </c>
      <c r="W108" s="29">
        <v>8332.91</v>
      </c>
      <c r="X108" s="26">
        <v>40547</v>
      </c>
      <c r="Y108" s="35">
        <v>179.93</v>
      </c>
      <c r="Z108" s="1" t="s">
        <v>3011</v>
      </c>
      <c r="AA108" s="36">
        <v>583.16759999999999</v>
      </c>
      <c r="AB108" s="54">
        <v>3583.1513000000004</v>
      </c>
      <c r="AC108" s="54">
        <v>87.95849444444444</v>
      </c>
      <c r="AD108" s="36">
        <v>6515.7145600000003</v>
      </c>
    </row>
    <row r="109" spans="1:30" s="37" customFormat="1" ht="15.75" customHeight="1" x14ac:dyDescent="0.2">
      <c r="A109" s="26">
        <v>1528</v>
      </c>
      <c r="B109" s="27" t="s">
        <v>341</v>
      </c>
      <c r="C109" s="27" t="s">
        <v>26</v>
      </c>
      <c r="D109" s="28">
        <v>0.01</v>
      </c>
      <c r="E109" s="29">
        <v>525.98</v>
      </c>
      <c r="F109" s="29">
        <v>19.989999999999998</v>
      </c>
      <c r="G109" s="30" t="s">
        <v>39</v>
      </c>
      <c r="H109" s="27" t="s">
        <v>3095</v>
      </c>
      <c r="I109" s="27" t="s">
        <v>49</v>
      </c>
      <c r="J109" s="27" t="s">
        <v>72</v>
      </c>
      <c r="K109" s="27" t="s">
        <v>73</v>
      </c>
      <c r="L109" s="31" t="s">
        <v>342</v>
      </c>
      <c r="M109" s="32">
        <v>0.37</v>
      </c>
      <c r="N109" s="27" t="s">
        <v>33</v>
      </c>
      <c r="O109" s="27" t="s">
        <v>34</v>
      </c>
      <c r="P109" s="27" t="s">
        <v>97</v>
      </c>
      <c r="Q109" s="27" t="s">
        <v>343</v>
      </c>
      <c r="R109" s="33">
        <v>27288</v>
      </c>
      <c r="S109" s="34">
        <v>42013</v>
      </c>
      <c r="T109" s="34">
        <v>42015</v>
      </c>
      <c r="U109" s="29">
        <v>-161.92400000000001</v>
      </c>
      <c r="V109" s="26">
        <v>9</v>
      </c>
      <c r="W109" s="29">
        <v>4920.8100000000004</v>
      </c>
      <c r="X109" s="26">
        <v>86813</v>
      </c>
      <c r="Y109" s="35">
        <v>30.95</v>
      </c>
      <c r="Z109" s="1" t="s">
        <v>3011</v>
      </c>
      <c r="AA109" s="36">
        <v>47.338200000000001</v>
      </c>
      <c r="AB109" s="54">
        <v>3100.1103000000003</v>
      </c>
      <c r="AC109" s="54">
        <v>202.29996666666665</v>
      </c>
      <c r="AD109" s="36">
        <v>5015.4058000000005</v>
      </c>
    </row>
    <row r="110" spans="1:30" s="37" customFormat="1" ht="15.75" customHeight="1" x14ac:dyDescent="0.2">
      <c r="A110" s="26">
        <v>1527</v>
      </c>
      <c r="B110" s="27" t="s">
        <v>338</v>
      </c>
      <c r="C110" s="27" t="s">
        <v>26</v>
      </c>
      <c r="D110" s="28">
        <v>0.03</v>
      </c>
      <c r="E110" s="29">
        <v>30.98</v>
      </c>
      <c r="F110" s="29">
        <v>8.99</v>
      </c>
      <c r="G110" s="30" t="s">
        <v>87</v>
      </c>
      <c r="H110" s="27" t="s">
        <v>3095</v>
      </c>
      <c r="I110" s="27" t="s">
        <v>49</v>
      </c>
      <c r="J110" s="27" t="s">
        <v>50</v>
      </c>
      <c r="K110" s="27" t="s">
        <v>43</v>
      </c>
      <c r="L110" s="31" t="s">
        <v>339</v>
      </c>
      <c r="M110" s="32">
        <v>0.57999999999999996</v>
      </c>
      <c r="N110" s="27" t="s">
        <v>33</v>
      </c>
      <c r="O110" s="27" t="s">
        <v>34</v>
      </c>
      <c r="P110" s="27" t="s">
        <v>164</v>
      </c>
      <c r="Q110" s="27" t="s">
        <v>340</v>
      </c>
      <c r="R110" s="33">
        <v>35601</v>
      </c>
      <c r="S110" s="34">
        <v>42013</v>
      </c>
      <c r="T110" s="34">
        <v>42015</v>
      </c>
      <c r="U110" s="29">
        <v>0.51</v>
      </c>
      <c r="V110" s="26">
        <v>5</v>
      </c>
      <c r="W110" s="29">
        <v>162.38999999999999</v>
      </c>
      <c r="X110" s="26">
        <v>86813</v>
      </c>
      <c r="Y110" s="35">
        <v>525.97</v>
      </c>
      <c r="Z110" s="1" t="s">
        <v>3011</v>
      </c>
      <c r="AA110" s="36">
        <v>4.6470000000000002</v>
      </c>
      <c r="AB110" s="54">
        <v>68.203800000000001</v>
      </c>
      <c r="AC110" s="54">
        <v>18.837239999999994</v>
      </c>
      <c r="AD110" s="36">
        <v>148.24299999999999</v>
      </c>
    </row>
    <row r="111" spans="1:30" s="37" customFormat="1" ht="15.75" customHeight="1" x14ac:dyDescent="0.2">
      <c r="A111" s="26">
        <v>833</v>
      </c>
      <c r="B111" s="27" t="s">
        <v>349</v>
      </c>
      <c r="C111" s="27" t="s">
        <v>38</v>
      </c>
      <c r="D111" s="28">
        <v>0</v>
      </c>
      <c r="E111" s="29">
        <v>11.66</v>
      </c>
      <c r="F111" s="29">
        <v>8.99</v>
      </c>
      <c r="G111" s="30" t="s">
        <v>87</v>
      </c>
      <c r="H111" s="27" t="s">
        <v>94</v>
      </c>
      <c r="I111" s="27" t="s">
        <v>49</v>
      </c>
      <c r="J111" s="27" t="s">
        <v>50</v>
      </c>
      <c r="K111" s="27" t="s">
        <v>43</v>
      </c>
      <c r="L111" s="31" t="s">
        <v>350</v>
      </c>
      <c r="M111" s="32">
        <v>0.59</v>
      </c>
      <c r="N111" s="27" t="s">
        <v>33</v>
      </c>
      <c r="O111" s="27" t="s">
        <v>60</v>
      </c>
      <c r="P111" s="27" t="s">
        <v>90</v>
      </c>
      <c r="Q111" s="27" t="s">
        <v>351</v>
      </c>
      <c r="R111" s="33">
        <v>95020</v>
      </c>
      <c r="S111" s="34">
        <v>42013</v>
      </c>
      <c r="T111" s="34">
        <v>42015</v>
      </c>
      <c r="U111" s="29">
        <v>-203.67</v>
      </c>
      <c r="V111" s="26">
        <v>11</v>
      </c>
      <c r="W111" s="29">
        <v>138.51</v>
      </c>
      <c r="X111" s="26">
        <v>89770</v>
      </c>
      <c r="Y111" s="35">
        <v>5.57</v>
      </c>
      <c r="Z111" s="1" t="s">
        <v>3013</v>
      </c>
      <c r="AA111" s="36">
        <v>0</v>
      </c>
      <c r="AB111" s="54">
        <v>56.789099999999998</v>
      </c>
      <c r="AC111" s="54">
        <v>7.4291727272727268</v>
      </c>
      <c r="AD111" s="36">
        <v>333.18999999999994</v>
      </c>
    </row>
    <row r="112" spans="1:30" s="37" customFormat="1" ht="15.75" customHeight="1" x14ac:dyDescent="0.2">
      <c r="A112" s="26">
        <v>358</v>
      </c>
      <c r="B112" s="27" t="s">
        <v>352</v>
      </c>
      <c r="C112" s="27" t="s">
        <v>48</v>
      </c>
      <c r="D112" s="28">
        <v>0.04</v>
      </c>
      <c r="E112" s="29">
        <v>125.99</v>
      </c>
      <c r="F112" s="29">
        <v>8.99</v>
      </c>
      <c r="G112" s="30" t="s">
        <v>39</v>
      </c>
      <c r="H112" s="27" t="s">
        <v>94</v>
      </c>
      <c r="I112" s="27" t="s">
        <v>41</v>
      </c>
      <c r="J112" s="27" t="s">
        <v>135</v>
      </c>
      <c r="K112" s="27" t="s">
        <v>73</v>
      </c>
      <c r="L112" s="31" t="s">
        <v>353</v>
      </c>
      <c r="M112" s="32">
        <v>0.59</v>
      </c>
      <c r="N112" s="27" t="s">
        <v>33</v>
      </c>
      <c r="O112" s="27" t="s">
        <v>111</v>
      </c>
      <c r="P112" s="27" t="s">
        <v>320</v>
      </c>
      <c r="Q112" s="27" t="s">
        <v>354</v>
      </c>
      <c r="R112" s="33">
        <v>19406</v>
      </c>
      <c r="S112" s="34">
        <v>42013</v>
      </c>
      <c r="T112" s="34">
        <v>42020</v>
      </c>
      <c r="U112" s="29">
        <v>-627.82191999999998</v>
      </c>
      <c r="V112" s="26">
        <v>1</v>
      </c>
      <c r="W112" s="29">
        <v>107.95</v>
      </c>
      <c r="X112" s="26">
        <v>91130</v>
      </c>
      <c r="Y112" s="35">
        <v>3.95</v>
      </c>
      <c r="Z112" s="1" t="s">
        <v>3014</v>
      </c>
      <c r="AA112" s="36">
        <v>5.0396000000000001</v>
      </c>
      <c r="AB112" s="54">
        <v>44.259500000000003</v>
      </c>
      <c r="AC112" s="54">
        <v>63.6905</v>
      </c>
      <c r="AD112" s="36">
        <v>721.74232000000006</v>
      </c>
    </row>
    <row r="113" spans="1:30" s="37" customFormat="1" ht="15.75" customHeight="1" x14ac:dyDescent="0.2">
      <c r="A113" s="26">
        <v>3331</v>
      </c>
      <c r="B113" s="27" t="s">
        <v>228</v>
      </c>
      <c r="C113" s="27" t="s">
        <v>3094</v>
      </c>
      <c r="D113" s="28">
        <v>0.02</v>
      </c>
      <c r="E113" s="29">
        <v>4</v>
      </c>
      <c r="F113" s="29">
        <v>1.3</v>
      </c>
      <c r="G113" s="30" t="s">
        <v>39</v>
      </c>
      <c r="H113" s="27" t="s">
        <v>94</v>
      </c>
      <c r="I113" s="27" t="s">
        <v>49</v>
      </c>
      <c r="J113" s="27" t="s">
        <v>88</v>
      </c>
      <c r="K113" s="27" t="s">
        <v>51</v>
      </c>
      <c r="L113" s="31" t="s">
        <v>371</v>
      </c>
      <c r="M113" s="32">
        <v>0.37</v>
      </c>
      <c r="N113" s="27" t="s">
        <v>33</v>
      </c>
      <c r="O113" s="27" t="s">
        <v>34</v>
      </c>
      <c r="P113" s="27" t="s">
        <v>123</v>
      </c>
      <c r="Q113" s="27" t="s">
        <v>230</v>
      </c>
      <c r="R113" s="33">
        <v>32174</v>
      </c>
      <c r="S113" s="34">
        <v>42013</v>
      </c>
      <c r="T113" s="34">
        <v>42013</v>
      </c>
      <c r="U113" s="29">
        <v>-23.295999999999999</v>
      </c>
      <c r="V113" s="26">
        <v>12</v>
      </c>
      <c r="W113" s="29">
        <v>50.71</v>
      </c>
      <c r="X113" s="26">
        <v>86284</v>
      </c>
      <c r="Y113" s="35">
        <v>11.66</v>
      </c>
      <c r="Z113" s="1" t="s">
        <v>3011</v>
      </c>
      <c r="AA113" s="36">
        <v>0.96</v>
      </c>
      <c r="AB113" s="54">
        <v>31.947300000000002</v>
      </c>
      <c r="AC113" s="54">
        <v>1.5635583333333332</v>
      </c>
      <c r="AD113" s="36">
        <v>71.745999999999995</v>
      </c>
    </row>
    <row r="114" spans="1:30" s="37" customFormat="1" ht="15.75" customHeight="1" x14ac:dyDescent="0.2">
      <c r="A114" s="26">
        <v>1745</v>
      </c>
      <c r="B114" s="27" t="s">
        <v>359</v>
      </c>
      <c r="C114" s="27" t="s">
        <v>3094</v>
      </c>
      <c r="D114" s="28">
        <v>0.02</v>
      </c>
      <c r="E114" s="29">
        <v>4.13</v>
      </c>
      <c r="F114" s="29">
        <v>6.89</v>
      </c>
      <c r="G114" s="30" t="s">
        <v>39</v>
      </c>
      <c r="H114" s="27" t="s">
        <v>71</v>
      </c>
      <c r="I114" s="27" t="s">
        <v>49</v>
      </c>
      <c r="J114" s="27" t="s">
        <v>152</v>
      </c>
      <c r="K114" s="27" t="s">
        <v>73</v>
      </c>
      <c r="L114" s="31" t="s">
        <v>360</v>
      </c>
      <c r="M114" s="32">
        <v>0.39</v>
      </c>
      <c r="N114" s="27" t="s">
        <v>33</v>
      </c>
      <c r="O114" s="27" t="s">
        <v>34</v>
      </c>
      <c r="P114" s="27" t="s">
        <v>75</v>
      </c>
      <c r="Q114" s="27" t="s">
        <v>361</v>
      </c>
      <c r="R114" s="33">
        <v>30305</v>
      </c>
      <c r="S114" s="34">
        <v>42013</v>
      </c>
      <c r="T114" s="34">
        <v>42014</v>
      </c>
      <c r="U114" s="29">
        <v>-51.737000000000002</v>
      </c>
      <c r="V114" s="26">
        <v>9</v>
      </c>
      <c r="W114" s="29">
        <v>45.87</v>
      </c>
      <c r="X114" s="26">
        <v>18561</v>
      </c>
      <c r="Y114" s="35">
        <v>125.94999999999999</v>
      </c>
      <c r="Z114" s="1" t="s">
        <v>3011</v>
      </c>
      <c r="AA114" s="36">
        <v>0.74339999999999995</v>
      </c>
      <c r="AB114" s="54">
        <v>27.980699999999999</v>
      </c>
      <c r="AC114" s="54">
        <v>1.9877</v>
      </c>
      <c r="AD114" s="36">
        <v>89.973600000000005</v>
      </c>
    </row>
    <row r="115" spans="1:30" s="37" customFormat="1" ht="15.75" customHeight="1" x14ac:dyDescent="0.2">
      <c r="A115" s="26">
        <v>3017</v>
      </c>
      <c r="B115" s="27" t="s">
        <v>344</v>
      </c>
      <c r="C115" s="27" t="s">
        <v>26</v>
      </c>
      <c r="D115" s="28">
        <v>0.03</v>
      </c>
      <c r="E115" s="29">
        <v>3.98</v>
      </c>
      <c r="F115" s="29">
        <v>0.7</v>
      </c>
      <c r="G115" s="30" t="s">
        <v>39</v>
      </c>
      <c r="H115" s="27" t="s">
        <v>94</v>
      </c>
      <c r="I115" s="27" t="s">
        <v>49</v>
      </c>
      <c r="J115" s="27" t="s">
        <v>50</v>
      </c>
      <c r="K115" s="27" t="s">
        <v>51</v>
      </c>
      <c r="L115" s="31" t="s">
        <v>348</v>
      </c>
      <c r="M115" s="32">
        <v>0.52</v>
      </c>
      <c r="N115" s="27" t="s">
        <v>33</v>
      </c>
      <c r="O115" s="27" t="s">
        <v>60</v>
      </c>
      <c r="P115" s="27" t="s">
        <v>90</v>
      </c>
      <c r="Q115" s="27" t="s">
        <v>347</v>
      </c>
      <c r="R115" s="33">
        <v>92024</v>
      </c>
      <c r="S115" s="34">
        <v>42013</v>
      </c>
      <c r="T115" s="34">
        <v>42014</v>
      </c>
      <c r="U115" s="29">
        <v>31.201799999999999</v>
      </c>
      <c r="V115" s="26">
        <v>11</v>
      </c>
      <c r="W115" s="29">
        <v>45.22</v>
      </c>
      <c r="X115" s="26">
        <v>89071</v>
      </c>
      <c r="Y115" s="35">
        <v>2.5</v>
      </c>
      <c r="Z115" s="1" t="s">
        <v>3013</v>
      </c>
      <c r="AA115" s="36">
        <v>1.3133999999999999</v>
      </c>
      <c r="AB115" s="54">
        <v>21.705599999999997</v>
      </c>
      <c r="AC115" s="54">
        <v>2.1376727272727272</v>
      </c>
      <c r="AD115" s="36">
        <v>12.004800000000003</v>
      </c>
    </row>
    <row r="116" spans="1:30" s="37" customFormat="1" ht="15.75" customHeight="1" x14ac:dyDescent="0.2">
      <c r="A116" s="26">
        <v>2164</v>
      </c>
      <c r="B116" s="27" t="s">
        <v>364</v>
      </c>
      <c r="C116" s="27" t="s">
        <v>3094</v>
      </c>
      <c r="D116" s="28">
        <v>0.05</v>
      </c>
      <c r="E116" s="29">
        <v>3.28</v>
      </c>
      <c r="F116" s="29">
        <v>3.97</v>
      </c>
      <c r="G116" s="30" t="s">
        <v>39</v>
      </c>
      <c r="H116" s="27" t="s">
        <v>3095</v>
      </c>
      <c r="I116" s="27" t="s">
        <v>49</v>
      </c>
      <c r="J116" s="27" t="s">
        <v>50</v>
      </c>
      <c r="K116" s="27" t="s">
        <v>51</v>
      </c>
      <c r="L116" s="31" t="s">
        <v>367</v>
      </c>
      <c r="M116" s="32">
        <v>0.56000000000000005</v>
      </c>
      <c r="N116" s="27" t="s">
        <v>33</v>
      </c>
      <c r="O116" s="27" t="s">
        <v>60</v>
      </c>
      <c r="P116" s="27" t="s">
        <v>90</v>
      </c>
      <c r="Q116" s="27" t="s">
        <v>366</v>
      </c>
      <c r="R116" s="33">
        <v>91104</v>
      </c>
      <c r="S116" s="34">
        <v>42013</v>
      </c>
      <c r="T116" s="34">
        <v>42013</v>
      </c>
      <c r="U116" s="29">
        <v>-144.9188</v>
      </c>
      <c r="V116" s="26">
        <v>11</v>
      </c>
      <c r="W116" s="29">
        <v>36.299999999999997</v>
      </c>
      <c r="X116" s="26">
        <v>88794</v>
      </c>
      <c r="Y116" s="35">
        <v>4.1100000000000003</v>
      </c>
      <c r="Z116" s="1" t="s">
        <v>3013</v>
      </c>
      <c r="AA116" s="36">
        <v>1.804</v>
      </c>
      <c r="AB116" s="54">
        <v>15.971999999999996</v>
      </c>
      <c r="AC116" s="54">
        <v>1.8480000000000001</v>
      </c>
      <c r="AD116" s="36">
        <v>175.44479999999999</v>
      </c>
    </row>
    <row r="117" spans="1:30" s="37" customFormat="1" ht="15.75" customHeight="1" x14ac:dyDescent="0.2">
      <c r="A117" s="26">
        <v>2555</v>
      </c>
      <c r="B117" s="27" t="s">
        <v>355</v>
      </c>
      <c r="C117" s="27" t="s">
        <v>48</v>
      </c>
      <c r="D117" s="28">
        <v>0.1</v>
      </c>
      <c r="E117" s="29">
        <v>2.6</v>
      </c>
      <c r="F117" s="29">
        <v>2.4</v>
      </c>
      <c r="G117" s="30" t="s">
        <v>39</v>
      </c>
      <c r="H117" s="27" t="s">
        <v>71</v>
      </c>
      <c r="I117" s="27" t="s">
        <v>49</v>
      </c>
      <c r="J117" s="27" t="s">
        <v>50</v>
      </c>
      <c r="K117" s="27" t="s">
        <v>51</v>
      </c>
      <c r="L117" s="31" t="s">
        <v>356</v>
      </c>
      <c r="M117" s="32">
        <v>0.57999999999999996</v>
      </c>
      <c r="N117" s="27" t="s">
        <v>33</v>
      </c>
      <c r="O117" s="27" t="s">
        <v>53</v>
      </c>
      <c r="P117" s="27" t="s">
        <v>357</v>
      </c>
      <c r="Q117" s="27" t="s">
        <v>358</v>
      </c>
      <c r="R117" s="33">
        <v>53711</v>
      </c>
      <c r="S117" s="34">
        <v>42013</v>
      </c>
      <c r="T117" s="34">
        <v>42018</v>
      </c>
      <c r="U117" s="29">
        <v>-88.04</v>
      </c>
      <c r="V117" s="26">
        <v>12</v>
      </c>
      <c r="W117" s="29">
        <v>30.1</v>
      </c>
      <c r="X117" s="26">
        <v>86527</v>
      </c>
      <c r="Y117" s="35">
        <v>4.1100000000000003</v>
      </c>
      <c r="Z117" s="1" t="s">
        <v>3012</v>
      </c>
      <c r="AA117" s="36">
        <v>3.12</v>
      </c>
      <c r="AB117" s="54">
        <v>12.642000000000001</v>
      </c>
      <c r="AC117" s="54">
        <v>1.4548333333333332</v>
      </c>
      <c r="AD117" s="36">
        <v>112.62</v>
      </c>
    </row>
    <row r="118" spans="1:30" s="37" customFormat="1" ht="15.75" customHeight="1" x14ac:dyDescent="0.2">
      <c r="A118" s="26">
        <v>2164</v>
      </c>
      <c r="B118" s="27" t="s">
        <v>364</v>
      </c>
      <c r="C118" s="27" t="s">
        <v>3094</v>
      </c>
      <c r="D118" s="28">
        <v>0.01</v>
      </c>
      <c r="E118" s="29">
        <v>5.38</v>
      </c>
      <c r="F118" s="29">
        <v>7.57</v>
      </c>
      <c r="G118" s="30" t="s">
        <v>39</v>
      </c>
      <c r="H118" s="27" t="s">
        <v>3095</v>
      </c>
      <c r="I118" s="27" t="s">
        <v>49</v>
      </c>
      <c r="J118" s="27" t="s">
        <v>72</v>
      </c>
      <c r="K118" s="27" t="s">
        <v>73</v>
      </c>
      <c r="L118" s="31" t="s">
        <v>365</v>
      </c>
      <c r="M118" s="32">
        <v>0.36</v>
      </c>
      <c r="N118" s="27" t="s">
        <v>33</v>
      </c>
      <c r="O118" s="27" t="s">
        <v>60</v>
      </c>
      <c r="P118" s="27" t="s">
        <v>90</v>
      </c>
      <c r="Q118" s="27" t="s">
        <v>366</v>
      </c>
      <c r="R118" s="33">
        <v>91104</v>
      </c>
      <c r="S118" s="34">
        <v>42013</v>
      </c>
      <c r="T118" s="34">
        <v>42014</v>
      </c>
      <c r="U118" s="29">
        <v>-66.779579999999996</v>
      </c>
      <c r="V118" s="26">
        <v>3</v>
      </c>
      <c r="W118" s="29">
        <v>18.68</v>
      </c>
      <c r="X118" s="26">
        <v>88794</v>
      </c>
      <c r="Y118" s="35">
        <v>5.37</v>
      </c>
      <c r="Z118" s="1" t="s">
        <v>3013</v>
      </c>
      <c r="AA118" s="36">
        <v>0.16139999999999999</v>
      </c>
      <c r="AB118" s="54">
        <v>11.9552</v>
      </c>
      <c r="AC118" s="54">
        <v>2.2416</v>
      </c>
      <c r="AD118" s="36">
        <v>77.728179999999995</v>
      </c>
    </row>
    <row r="119" spans="1:30" s="37" customFormat="1" ht="15.75" customHeight="1" x14ac:dyDescent="0.2">
      <c r="A119" s="26">
        <v>2165</v>
      </c>
      <c r="B119" s="27" t="s">
        <v>368</v>
      </c>
      <c r="C119" s="27" t="s">
        <v>3094</v>
      </c>
      <c r="D119" s="28">
        <v>0.09</v>
      </c>
      <c r="E119" s="29">
        <v>2.78</v>
      </c>
      <c r="F119" s="29">
        <v>0.97</v>
      </c>
      <c r="G119" s="30" t="s">
        <v>39</v>
      </c>
      <c r="H119" s="27" t="s">
        <v>3095</v>
      </c>
      <c r="I119" s="27" t="s">
        <v>49</v>
      </c>
      <c r="J119" s="27" t="s">
        <v>50</v>
      </c>
      <c r="K119" s="27" t="s">
        <v>51</v>
      </c>
      <c r="L119" s="31" t="s">
        <v>369</v>
      </c>
      <c r="M119" s="32">
        <v>0.59</v>
      </c>
      <c r="N119" s="27" t="s">
        <v>33</v>
      </c>
      <c r="O119" s="27" t="s">
        <v>111</v>
      </c>
      <c r="P119" s="27" t="s">
        <v>331</v>
      </c>
      <c r="Q119" s="27" t="s">
        <v>370</v>
      </c>
      <c r="R119" s="33">
        <v>4330</v>
      </c>
      <c r="S119" s="34">
        <v>42013</v>
      </c>
      <c r="T119" s="34">
        <v>42015</v>
      </c>
      <c r="U119" s="29">
        <v>-5.0716000000000001</v>
      </c>
      <c r="V119" s="26">
        <v>6</v>
      </c>
      <c r="W119" s="29">
        <v>16.03</v>
      </c>
      <c r="X119" s="26">
        <v>88794</v>
      </c>
      <c r="Y119" s="35">
        <v>3.23</v>
      </c>
      <c r="Z119" s="1" t="s">
        <v>3014</v>
      </c>
      <c r="AA119" s="36">
        <v>1.5011999999999999</v>
      </c>
      <c r="AB119" s="54">
        <v>6.5723000000000011</v>
      </c>
      <c r="AC119" s="54">
        <v>1.5762833333333333</v>
      </c>
      <c r="AD119" s="36">
        <v>18.630400000000002</v>
      </c>
    </row>
    <row r="120" spans="1:30" s="37" customFormat="1" ht="15.75" customHeight="1" x14ac:dyDescent="0.2">
      <c r="A120" s="26">
        <v>3017</v>
      </c>
      <c r="B120" s="27" t="s">
        <v>344</v>
      </c>
      <c r="C120" s="27" t="s">
        <v>26</v>
      </c>
      <c r="D120" s="28">
        <v>0.01</v>
      </c>
      <c r="E120" s="29">
        <v>5.58</v>
      </c>
      <c r="F120" s="29">
        <v>5.3</v>
      </c>
      <c r="G120" s="30" t="s">
        <v>39</v>
      </c>
      <c r="H120" s="27" t="s">
        <v>94</v>
      </c>
      <c r="I120" s="27" t="s">
        <v>49</v>
      </c>
      <c r="J120" s="27" t="s">
        <v>345</v>
      </c>
      <c r="K120" s="27" t="s">
        <v>73</v>
      </c>
      <c r="L120" s="31" t="s">
        <v>346</v>
      </c>
      <c r="M120" s="32">
        <v>0.35</v>
      </c>
      <c r="N120" s="27" t="s">
        <v>33</v>
      </c>
      <c r="O120" s="27" t="s">
        <v>60</v>
      </c>
      <c r="P120" s="27" t="s">
        <v>90</v>
      </c>
      <c r="Q120" s="27" t="s">
        <v>347</v>
      </c>
      <c r="R120" s="33">
        <v>92024</v>
      </c>
      <c r="S120" s="34">
        <v>42013</v>
      </c>
      <c r="T120" s="34">
        <v>42014</v>
      </c>
      <c r="U120" s="29">
        <v>-7.25</v>
      </c>
      <c r="V120" s="26">
        <v>1</v>
      </c>
      <c r="W120" s="29">
        <v>11.16</v>
      </c>
      <c r="X120" s="26">
        <v>89071</v>
      </c>
      <c r="Y120" s="35">
        <v>2.69</v>
      </c>
      <c r="Z120" s="1" t="s">
        <v>3013</v>
      </c>
      <c r="AA120" s="36">
        <v>5.5800000000000002E-2</v>
      </c>
      <c r="AB120" s="54">
        <v>7.2540000000000004</v>
      </c>
      <c r="AC120" s="54">
        <v>3.9059999999999997</v>
      </c>
      <c r="AD120" s="36">
        <v>13.0542</v>
      </c>
    </row>
    <row r="121" spans="1:30" s="37" customFormat="1" ht="15.75" customHeight="1" x14ac:dyDescent="0.2">
      <c r="A121" s="26">
        <v>1749</v>
      </c>
      <c r="B121" s="27" t="s">
        <v>362</v>
      </c>
      <c r="C121" s="27" t="s">
        <v>3094</v>
      </c>
      <c r="D121" s="28">
        <v>0.02</v>
      </c>
      <c r="E121" s="29">
        <v>4.13</v>
      </c>
      <c r="F121" s="29">
        <v>6.89</v>
      </c>
      <c r="G121" s="30" t="s">
        <v>39</v>
      </c>
      <c r="H121" s="27" t="s">
        <v>71</v>
      </c>
      <c r="I121" s="27" t="s">
        <v>49</v>
      </c>
      <c r="J121" s="27" t="s">
        <v>152</v>
      </c>
      <c r="K121" s="27" t="s">
        <v>73</v>
      </c>
      <c r="L121" s="31" t="s">
        <v>360</v>
      </c>
      <c r="M121" s="32">
        <v>0.39</v>
      </c>
      <c r="N121" s="27" t="s">
        <v>33</v>
      </c>
      <c r="O121" s="27" t="s">
        <v>53</v>
      </c>
      <c r="P121" s="27" t="s">
        <v>207</v>
      </c>
      <c r="Q121" s="27" t="s">
        <v>363</v>
      </c>
      <c r="R121" s="33">
        <v>73505</v>
      </c>
      <c r="S121" s="34">
        <v>42013</v>
      </c>
      <c r="T121" s="34">
        <v>42014</v>
      </c>
      <c r="U121" s="29">
        <v>-48.235999999999997</v>
      </c>
      <c r="V121" s="26">
        <v>2</v>
      </c>
      <c r="W121" s="29">
        <v>10.19</v>
      </c>
      <c r="X121" s="26">
        <v>87243</v>
      </c>
      <c r="Y121" s="35">
        <v>3.98</v>
      </c>
      <c r="Z121" s="1" t="s">
        <v>3012</v>
      </c>
      <c r="AA121" s="36">
        <v>0.16519999999999999</v>
      </c>
      <c r="AB121" s="54">
        <v>6.2158999999999995</v>
      </c>
      <c r="AC121" s="54">
        <v>1.98705</v>
      </c>
      <c r="AD121" s="36">
        <v>51.370799999999996</v>
      </c>
    </row>
    <row r="122" spans="1:30" s="37" customFormat="1" ht="15.75" customHeight="1" x14ac:dyDescent="0.2">
      <c r="A122" s="26">
        <v>2418</v>
      </c>
      <c r="B122" s="27" t="s">
        <v>240</v>
      </c>
      <c r="C122" s="27" t="s">
        <v>38</v>
      </c>
      <c r="D122" s="28">
        <v>0.1</v>
      </c>
      <c r="E122" s="29">
        <v>599.99</v>
      </c>
      <c r="F122" s="29">
        <v>24.49</v>
      </c>
      <c r="G122" s="30" t="s">
        <v>39</v>
      </c>
      <c r="H122" s="27" t="s">
        <v>40</v>
      </c>
      <c r="I122" s="27" t="s">
        <v>41</v>
      </c>
      <c r="J122" s="27" t="s">
        <v>64</v>
      </c>
      <c r="K122" s="27" t="s">
        <v>65</v>
      </c>
      <c r="L122" s="31" t="s">
        <v>381</v>
      </c>
      <c r="M122" s="32">
        <v>0.5</v>
      </c>
      <c r="N122" s="27" t="s">
        <v>33</v>
      </c>
      <c r="O122" s="27" t="s">
        <v>34</v>
      </c>
      <c r="P122" s="27" t="s">
        <v>242</v>
      </c>
      <c r="Q122" s="27" t="s">
        <v>243</v>
      </c>
      <c r="R122" s="33">
        <v>23805</v>
      </c>
      <c r="S122" s="34">
        <v>42014</v>
      </c>
      <c r="T122" s="34">
        <v>42015</v>
      </c>
      <c r="U122" s="29">
        <v>-343.12599999999998</v>
      </c>
      <c r="V122" s="26">
        <v>11</v>
      </c>
      <c r="W122" s="29">
        <v>6355.69</v>
      </c>
      <c r="X122" s="26">
        <v>86753</v>
      </c>
      <c r="Y122" s="35">
        <v>8.33</v>
      </c>
      <c r="Z122" s="1" t="s">
        <v>3011</v>
      </c>
      <c r="AA122" s="36">
        <v>659.98900000000003</v>
      </c>
      <c r="AB122" s="54">
        <v>3177.8449999999998</v>
      </c>
      <c r="AC122" s="54">
        <v>288.89499999999998</v>
      </c>
      <c r="AD122" s="36">
        <v>6014.3369999999995</v>
      </c>
    </row>
    <row r="123" spans="1:30" s="37" customFormat="1" ht="15.75" customHeight="1" x14ac:dyDescent="0.2">
      <c r="A123" s="26">
        <v>2346</v>
      </c>
      <c r="B123" s="27" t="s">
        <v>386</v>
      </c>
      <c r="C123" s="27" t="s">
        <v>48</v>
      </c>
      <c r="D123" s="28">
        <v>0.03</v>
      </c>
      <c r="E123" s="29">
        <v>297.64</v>
      </c>
      <c r="F123" s="29">
        <v>14.7</v>
      </c>
      <c r="G123" s="30" t="s">
        <v>27</v>
      </c>
      <c r="H123" s="27" t="s">
        <v>94</v>
      </c>
      <c r="I123" s="27" t="s">
        <v>41</v>
      </c>
      <c r="J123" s="27" t="s">
        <v>57</v>
      </c>
      <c r="K123" s="27" t="s">
        <v>58</v>
      </c>
      <c r="L123" s="31" t="s">
        <v>387</v>
      </c>
      <c r="M123" s="32">
        <v>0.56999999999999995</v>
      </c>
      <c r="N123" s="27" t="s">
        <v>33</v>
      </c>
      <c r="O123" s="27" t="s">
        <v>34</v>
      </c>
      <c r="P123" s="27" t="s">
        <v>388</v>
      </c>
      <c r="Q123" s="27" t="s">
        <v>389</v>
      </c>
      <c r="R123" s="33">
        <v>40258</v>
      </c>
      <c r="S123" s="34">
        <v>42014</v>
      </c>
      <c r="T123" s="34">
        <v>42019</v>
      </c>
      <c r="U123" s="29">
        <v>-48.972000000000001</v>
      </c>
      <c r="V123" s="26">
        <v>12</v>
      </c>
      <c r="W123" s="29">
        <v>3707.05</v>
      </c>
      <c r="X123" s="26">
        <v>89503</v>
      </c>
      <c r="Y123" s="35">
        <v>3.2199999999999998</v>
      </c>
      <c r="Z123" s="1" t="s">
        <v>3011</v>
      </c>
      <c r="AA123" s="36">
        <v>107.15039999999999</v>
      </c>
      <c r="AB123" s="54">
        <v>1594.0315000000003</v>
      </c>
      <c r="AC123" s="54">
        <v>176.08487499999998</v>
      </c>
      <c r="AD123" s="36">
        <v>3634.1716000000001</v>
      </c>
    </row>
    <row r="124" spans="1:30" s="37" customFormat="1" ht="15.75" customHeight="1" x14ac:dyDescent="0.2">
      <c r="A124" s="26">
        <v>1976</v>
      </c>
      <c r="B124" s="27" t="s">
        <v>377</v>
      </c>
      <c r="C124" s="27" t="s">
        <v>26</v>
      </c>
      <c r="D124" s="28">
        <v>0.05</v>
      </c>
      <c r="E124" s="29">
        <v>70.98</v>
      </c>
      <c r="F124" s="29">
        <v>46.74</v>
      </c>
      <c r="G124" s="30" t="s">
        <v>27</v>
      </c>
      <c r="H124" s="27" t="s">
        <v>40</v>
      </c>
      <c r="I124" s="27" t="s">
        <v>29</v>
      </c>
      <c r="J124" s="27" t="s">
        <v>117</v>
      </c>
      <c r="K124" s="27" t="s">
        <v>31</v>
      </c>
      <c r="L124" s="31" t="s">
        <v>378</v>
      </c>
      <c r="M124" s="32">
        <v>0.56000000000000005</v>
      </c>
      <c r="N124" s="27" t="s">
        <v>33</v>
      </c>
      <c r="O124" s="27" t="s">
        <v>53</v>
      </c>
      <c r="P124" s="27" t="s">
        <v>289</v>
      </c>
      <c r="Q124" s="27" t="s">
        <v>379</v>
      </c>
      <c r="R124" s="33">
        <v>48823</v>
      </c>
      <c r="S124" s="34">
        <v>42014</v>
      </c>
      <c r="T124" s="34">
        <v>42015</v>
      </c>
      <c r="U124" s="29">
        <v>-850.65239999999994</v>
      </c>
      <c r="V124" s="26">
        <v>8</v>
      </c>
      <c r="W124" s="29">
        <v>551.51</v>
      </c>
      <c r="X124" s="26">
        <v>89039</v>
      </c>
      <c r="Y124" s="35">
        <v>8.33</v>
      </c>
      <c r="Z124" s="1" t="s">
        <v>3012</v>
      </c>
      <c r="AA124" s="36">
        <v>28.392000000000003</v>
      </c>
      <c r="AB124" s="54">
        <v>242.66439999999997</v>
      </c>
      <c r="AC124" s="54">
        <v>38.605700000000006</v>
      </c>
      <c r="AD124" s="36">
        <v>1327.0303999999999</v>
      </c>
    </row>
    <row r="125" spans="1:30" s="37" customFormat="1" ht="15.75" customHeight="1" x14ac:dyDescent="0.2">
      <c r="A125" s="26">
        <v>2132</v>
      </c>
      <c r="B125" s="27" t="s">
        <v>383</v>
      </c>
      <c r="C125" s="27" t="s">
        <v>48</v>
      </c>
      <c r="D125" s="28">
        <v>0.05</v>
      </c>
      <c r="E125" s="29">
        <v>30.42</v>
      </c>
      <c r="F125" s="29">
        <v>8.65</v>
      </c>
      <c r="G125" s="30" t="s">
        <v>87</v>
      </c>
      <c r="H125" s="27" t="s">
        <v>71</v>
      </c>
      <c r="I125" s="27" t="s">
        <v>41</v>
      </c>
      <c r="J125" s="27" t="s">
        <v>42</v>
      </c>
      <c r="K125" s="27" t="s">
        <v>73</v>
      </c>
      <c r="L125" s="31" t="s">
        <v>384</v>
      </c>
      <c r="M125" s="32">
        <v>0.74</v>
      </c>
      <c r="N125" s="27" t="s">
        <v>33</v>
      </c>
      <c r="O125" s="27" t="s">
        <v>53</v>
      </c>
      <c r="P125" s="27" t="s">
        <v>80</v>
      </c>
      <c r="Q125" s="27" t="s">
        <v>385</v>
      </c>
      <c r="R125" s="33">
        <v>63042</v>
      </c>
      <c r="S125" s="34">
        <v>42014</v>
      </c>
      <c r="T125" s="34">
        <v>42018</v>
      </c>
      <c r="U125" s="29">
        <v>-191.2576</v>
      </c>
      <c r="V125" s="26">
        <v>11</v>
      </c>
      <c r="W125" s="29">
        <v>334.44</v>
      </c>
      <c r="X125" s="26">
        <v>90078</v>
      </c>
      <c r="Y125" s="35">
        <v>3.2199999999999998</v>
      </c>
      <c r="Z125" s="1" t="s">
        <v>3012</v>
      </c>
      <c r="AA125" s="36">
        <v>16.731000000000002</v>
      </c>
      <c r="AB125" s="54">
        <v>86.954400000000007</v>
      </c>
      <c r="AC125" s="54">
        <v>22.498690909090907</v>
      </c>
      <c r="AD125" s="36">
        <v>500.31659999999999</v>
      </c>
    </row>
    <row r="126" spans="1:30" s="37" customFormat="1" ht="15.75" customHeight="1" x14ac:dyDescent="0.2">
      <c r="A126" s="26">
        <v>894</v>
      </c>
      <c r="B126" s="27" t="s">
        <v>372</v>
      </c>
      <c r="C126" s="27" t="s">
        <v>26</v>
      </c>
      <c r="D126" s="28">
        <v>0.01</v>
      </c>
      <c r="E126" s="29">
        <v>8.34</v>
      </c>
      <c r="F126" s="29">
        <v>0.96</v>
      </c>
      <c r="G126" s="30" t="s">
        <v>39</v>
      </c>
      <c r="H126" s="27" t="s">
        <v>94</v>
      </c>
      <c r="I126" s="27" t="s">
        <v>29</v>
      </c>
      <c r="J126" s="27" t="s">
        <v>126</v>
      </c>
      <c r="K126" s="27" t="s">
        <v>51</v>
      </c>
      <c r="L126" s="31" t="s">
        <v>373</v>
      </c>
      <c r="M126" s="32">
        <v>0.43</v>
      </c>
      <c r="N126" s="27" t="s">
        <v>33</v>
      </c>
      <c r="O126" s="27" t="s">
        <v>111</v>
      </c>
      <c r="P126" s="27" t="s">
        <v>374</v>
      </c>
      <c r="Q126" s="27" t="s">
        <v>67</v>
      </c>
      <c r="R126" s="33">
        <v>20024</v>
      </c>
      <c r="S126" s="34">
        <v>42014</v>
      </c>
      <c r="T126" s="34">
        <v>42016</v>
      </c>
      <c r="U126" s="29">
        <v>29.332000000000001</v>
      </c>
      <c r="V126" s="26">
        <v>24</v>
      </c>
      <c r="W126" s="29">
        <v>199.12</v>
      </c>
      <c r="X126" s="26">
        <v>14596</v>
      </c>
      <c r="Y126" s="35">
        <v>70.930000000000007</v>
      </c>
      <c r="Z126" s="1" t="s">
        <v>3014</v>
      </c>
      <c r="AA126" s="36">
        <v>2.0015999999999998</v>
      </c>
      <c r="AB126" s="54">
        <v>113.49840000000002</v>
      </c>
      <c r="AC126" s="54">
        <v>3.5675666666666666</v>
      </c>
      <c r="AD126" s="36">
        <v>166.82640000000001</v>
      </c>
    </row>
    <row r="127" spans="1:30" s="37" customFormat="1" ht="15.75" customHeight="1" x14ac:dyDescent="0.2">
      <c r="A127" s="26">
        <v>1976</v>
      </c>
      <c r="B127" s="27" t="s">
        <v>377</v>
      </c>
      <c r="C127" s="27" t="s">
        <v>26</v>
      </c>
      <c r="D127" s="28">
        <v>0.05</v>
      </c>
      <c r="E127" s="29">
        <v>11.55</v>
      </c>
      <c r="F127" s="29">
        <v>2.36</v>
      </c>
      <c r="G127" s="30" t="s">
        <v>39</v>
      </c>
      <c r="H127" s="27" t="s">
        <v>40</v>
      </c>
      <c r="I127" s="27" t="s">
        <v>49</v>
      </c>
      <c r="J127" s="27" t="s">
        <v>50</v>
      </c>
      <c r="K127" s="27" t="s">
        <v>51</v>
      </c>
      <c r="L127" s="31" t="s">
        <v>380</v>
      </c>
      <c r="M127" s="32">
        <v>0.55000000000000004</v>
      </c>
      <c r="N127" s="27" t="s">
        <v>33</v>
      </c>
      <c r="O127" s="27" t="s">
        <v>53</v>
      </c>
      <c r="P127" s="27" t="s">
        <v>289</v>
      </c>
      <c r="Q127" s="27" t="s">
        <v>379</v>
      </c>
      <c r="R127" s="33">
        <v>48823</v>
      </c>
      <c r="S127" s="34">
        <v>42014</v>
      </c>
      <c r="T127" s="34">
        <v>42016</v>
      </c>
      <c r="U127" s="29">
        <v>98.525099999999995</v>
      </c>
      <c r="V127" s="26">
        <v>12</v>
      </c>
      <c r="W127" s="29">
        <v>142.79</v>
      </c>
      <c r="X127" s="26">
        <v>89039</v>
      </c>
      <c r="Y127" s="35">
        <v>11.5</v>
      </c>
      <c r="Z127" s="1" t="s">
        <v>3012</v>
      </c>
      <c r="AA127" s="36">
        <v>6.93</v>
      </c>
      <c r="AB127" s="54">
        <v>64.255499999999984</v>
      </c>
      <c r="AC127" s="54">
        <v>6.5445416666666665</v>
      </c>
      <c r="AD127" s="36">
        <v>34.974899999999991</v>
      </c>
    </row>
    <row r="128" spans="1:30" s="37" customFormat="1" ht="15.75" customHeight="1" x14ac:dyDescent="0.2">
      <c r="A128" s="26">
        <v>894</v>
      </c>
      <c r="B128" s="27" t="s">
        <v>372</v>
      </c>
      <c r="C128" s="27" t="s">
        <v>26</v>
      </c>
      <c r="D128" s="28">
        <v>0.06</v>
      </c>
      <c r="E128" s="29">
        <v>3.28</v>
      </c>
      <c r="F128" s="29">
        <v>3.97</v>
      </c>
      <c r="G128" s="30" t="s">
        <v>39</v>
      </c>
      <c r="H128" s="27" t="s">
        <v>94</v>
      </c>
      <c r="I128" s="27" t="s">
        <v>49</v>
      </c>
      <c r="J128" s="27" t="s">
        <v>50</v>
      </c>
      <c r="K128" s="27" t="s">
        <v>51</v>
      </c>
      <c r="L128" s="31" t="s">
        <v>367</v>
      </c>
      <c r="M128" s="32">
        <v>0.56000000000000005</v>
      </c>
      <c r="N128" s="27" t="s">
        <v>33</v>
      </c>
      <c r="O128" s="27" t="s">
        <v>111</v>
      </c>
      <c r="P128" s="27" t="s">
        <v>374</v>
      </c>
      <c r="Q128" s="27" t="s">
        <v>67</v>
      </c>
      <c r="R128" s="33">
        <v>20024</v>
      </c>
      <c r="S128" s="34">
        <v>42014</v>
      </c>
      <c r="T128" s="34">
        <v>42015</v>
      </c>
      <c r="U128" s="29">
        <v>-86</v>
      </c>
      <c r="V128" s="26">
        <v>19</v>
      </c>
      <c r="W128" s="29">
        <v>63.14</v>
      </c>
      <c r="X128" s="26">
        <v>14596</v>
      </c>
      <c r="Y128" s="35">
        <v>599.89</v>
      </c>
      <c r="Z128" s="1" t="s">
        <v>3014</v>
      </c>
      <c r="AA128" s="36">
        <v>3.7391999999999994</v>
      </c>
      <c r="AB128" s="54">
        <v>27.781599999999997</v>
      </c>
      <c r="AC128" s="54">
        <v>1.8609684210526318</v>
      </c>
      <c r="AD128" s="36">
        <v>141.4308</v>
      </c>
    </row>
    <row r="129" spans="1:30" s="37" customFormat="1" ht="15.75" customHeight="1" x14ac:dyDescent="0.2">
      <c r="A129" s="26">
        <v>896</v>
      </c>
      <c r="B129" s="27" t="s">
        <v>375</v>
      </c>
      <c r="C129" s="27" t="s">
        <v>26</v>
      </c>
      <c r="D129" s="28">
        <v>0.01</v>
      </c>
      <c r="E129" s="29">
        <v>8.34</v>
      </c>
      <c r="F129" s="29">
        <v>0.96</v>
      </c>
      <c r="G129" s="30" t="s">
        <v>39</v>
      </c>
      <c r="H129" s="27" t="s">
        <v>94</v>
      </c>
      <c r="I129" s="27" t="s">
        <v>29</v>
      </c>
      <c r="J129" s="27" t="s">
        <v>126</v>
      </c>
      <c r="K129" s="27" t="s">
        <v>51</v>
      </c>
      <c r="L129" s="31" t="s">
        <v>373</v>
      </c>
      <c r="M129" s="32">
        <v>0.43</v>
      </c>
      <c r="N129" s="27" t="s">
        <v>33</v>
      </c>
      <c r="O129" s="27" t="s">
        <v>53</v>
      </c>
      <c r="P129" s="27" t="s">
        <v>187</v>
      </c>
      <c r="Q129" s="27" t="s">
        <v>376</v>
      </c>
      <c r="R129" s="33">
        <v>76201</v>
      </c>
      <c r="S129" s="34">
        <v>42014</v>
      </c>
      <c r="T129" s="34">
        <v>42016</v>
      </c>
      <c r="U129" s="29">
        <v>34.348199999999999</v>
      </c>
      <c r="V129" s="26">
        <v>6</v>
      </c>
      <c r="W129" s="29">
        <v>49.78</v>
      </c>
      <c r="X129" s="26">
        <v>90166</v>
      </c>
      <c r="Y129" s="35">
        <v>2.7199999999999998</v>
      </c>
      <c r="Z129" s="1" t="s">
        <v>3012</v>
      </c>
      <c r="AA129" s="36">
        <v>0.50039999999999996</v>
      </c>
      <c r="AB129" s="54">
        <v>28.374600000000004</v>
      </c>
      <c r="AC129" s="54">
        <v>3.5675666666666666</v>
      </c>
      <c r="AD129" s="36">
        <v>13.971400000000003</v>
      </c>
    </row>
    <row r="130" spans="1:30" s="37" customFormat="1" ht="15.75" customHeight="1" x14ac:dyDescent="0.2">
      <c r="A130" s="26">
        <v>2797</v>
      </c>
      <c r="B130" s="27" t="s">
        <v>390</v>
      </c>
      <c r="C130" s="27" t="s">
        <v>116</v>
      </c>
      <c r="D130" s="28">
        <v>0</v>
      </c>
      <c r="E130" s="29">
        <v>5.0199999999999996</v>
      </c>
      <c r="F130" s="29">
        <v>5.14</v>
      </c>
      <c r="G130" s="30" t="s">
        <v>39</v>
      </c>
      <c r="H130" s="27" t="s">
        <v>40</v>
      </c>
      <c r="I130" s="27" t="s">
        <v>41</v>
      </c>
      <c r="J130" s="27" t="s">
        <v>42</v>
      </c>
      <c r="K130" s="27" t="s">
        <v>43</v>
      </c>
      <c r="L130" s="31" t="s">
        <v>391</v>
      </c>
      <c r="M130" s="32">
        <v>0.79</v>
      </c>
      <c r="N130" s="27" t="s">
        <v>33</v>
      </c>
      <c r="O130" s="27" t="s">
        <v>111</v>
      </c>
      <c r="P130" s="27" t="s">
        <v>320</v>
      </c>
      <c r="Q130" s="27" t="s">
        <v>392</v>
      </c>
      <c r="R130" s="33">
        <v>15122</v>
      </c>
      <c r="S130" s="34">
        <v>42014</v>
      </c>
      <c r="T130" s="34">
        <v>42015</v>
      </c>
      <c r="U130" s="29">
        <v>-159.30279999999999</v>
      </c>
      <c r="V130" s="26">
        <v>8</v>
      </c>
      <c r="W130" s="29">
        <v>43.94</v>
      </c>
      <c r="X130" s="26">
        <v>87552</v>
      </c>
      <c r="Y130" s="35">
        <v>30.37</v>
      </c>
      <c r="Z130" s="1" t="s">
        <v>3014</v>
      </c>
      <c r="AA130" s="36">
        <v>0</v>
      </c>
      <c r="AB130" s="54">
        <v>9.2273999999999976</v>
      </c>
      <c r="AC130" s="54">
        <v>4.3390750000000002</v>
      </c>
      <c r="AD130" s="36">
        <v>198.1028</v>
      </c>
    </row>
    <row r="131" spans="1:30" s="37" customFormat="1" ht="15.75" customHeight="1" x14ac:dyDescent="0.2">
      <c r="A131" s="26">
        <v>194</v>
      </c>
      <c r="B131" s="27" t="s">
        <v>393</v>
      </c>
      <c r="C131" s="27" t="s">
        <v>3094</v>
      </c>
      <c r="D131" s="28">
        <v>0.02</v>
      </c>
      <c r="E131" s="29">
        <v>6.48</v>
      </c>
      <c r="F131" s="29">
        <v>9.17</v>
      </c>
      <c r="G131" s="30" t="s">
        <v>39</v>
      </c>
      <c r="H131" s="27" t="s">
        <v>94</v>
      </c>
      <c r="I131" s="27" t="s">
        <v>49</v>
      </c>
      <c r="J131" s="27" t="s">
        <v>88</v>
      </c>
      <c r="K131" s="27" t="s">
        <v>73</v>
      </c>
      <c r="L131" s="31" t="s">
        <v>394</v>
      </c>
      <c r="M131" s="32">
        <v>0.37</v>
      </c>
      <c r="N131" s="27" t="s">
        <v>33</v>
      </c>
      <c r="O131" s="27" t="s">
        <v>60</v>
      </c>
      <c r="P131" s="27" t="s">
        <v>146</v>
      </c>
      <c r="Q131" s="27" t="s">
        <v>395</v>
      </c>
      <c r="R131" s="33">
        <v>84043</v>
      </c>
      <c r="S131" s="34">
        <v>42014</v>
      </c>
      <c r="T131" s="34">
        <v>42015</v>
      </c>
      <c r="U131" s="29">
        <v>-105.68519999999999</v>
      </c>
      <c r="V131" s="26">
        <v>4</v>
      </c>
      <c r="W131" s="29">
        <v>28.2</v>
      </c>
      <c r="X131" s="26">
        <v>90431</v>
      </c>
      <c r="Y131" s="35">
        <v>297.61</v>
      </c>
      <c r="Z131" s="1" t="s">
        <v>3013</v>
      </c>
      <c r="AA131" s="36">
        <v>0.51840000000000008</v>
      </c>
      <c r="AB131" s="54">
        <v>17.765999999999998</v>
      </c>
      <c r="AC131" s="54">
        <v>2.6084999999999998</v>
      </c>
      <c r="AD131" s="36">
        <v>124.1968</v>
      </c>
    </row>
    <row r="132" spans="1:30" s="37" customFormat="1" ht="15.75" customHeight="1" x14ac:dyDescent="0.2">
      <c r="A132" s="26">
        <v>2418</v>
      </c>
      <c r="B132" s="27" t="s">
        <v>240</v>
      </c>
      <c r="C132" s="27" t="s">
        <v>38</v>
      </c>
      <c r="D132" s="28">
        <v>0.06</v>
      </c>
      <c r="E132" s="29">
        <v>2.78</v>
      </c>
      <c r="F132" s="29">
        <v>1.25</v>
      </c>
      <c r="G132" s="30" t="s">
        <v>39</v>
      </c>
      <c r="H132" s="27" t="s">
        <v>40</v>
      </c>
      <c r="I132" s="27" t="s">
        <v>49</v>
      </c>
      <c r="J132" s="27" t="s">
        <v>50</v>
      </c>
      <c r="K132" s="27" t="s">
        <v>51</v>
      </c>
      <c r="L132" s="31" t="s">
        <v>382</v>
      </c>
      <c r="M132" s="32">
        <v>0.59</v>
      </c>
      <c r="N132" s="27" t="s">
        <v>33</v>
      </c>
      <c r="O132" s="27" t="s">
        <v>34</v>
      </c>
      <c r="P132" s="27" t="s">
        <v>242</v>
      </c>
      <c r="Q132" s="27" t="s">
        <v>243</v>
      </c>
      <c r="R132" s="33">
        <v>23805</v>
      </c>
      <c r="S132" s="34">
        <v>42014</v>
      </c>
      <c r="T132" s="34">
        <v>42016</v>
      </c>
      <c r="U132" s="29">
        <v>66.36</v>
      </c>
      <c r="V132" s="26">
        <v>10</v>
      </c>
      <c r="W132" s="29">
        <v>28.09</v>
      </c>
      <c r="X132" s="26">
        <v>86753</v>
      </c>
      <c r="Y132" s="35">
        <v>5.0199999999999996</v>
      </c>
      <c r="Z132" s="1" t="s">
        <v>3011</v>
      </c>
      <c r="AA132" s="36">
        <v>1.6679999999999997</v>
      </c>
      <c r="AB132" s="54">
        <v>11.516900000000001</v>
      </c>
      <c r="AC132" s="54">
        <v>1.6573100000000001</v>
      </c>
      <c r="AD132" s="36">
        <v>-41.188000000000002</v>
      </c>
    </row>
    <row r="133" spans="1:30" s="37" customFormat="1" ht="15.75" customHeight="1" x14ac:dyDescent="0.2">
      <c r="A133" s="26">
        <v>896</v>
      </c>
      <c r="B133" s="27" t="s">
        <v>375</v>
      </c>
      <c r="C133" s="27" t="s">
        <v>26</v>
      </c>
      <c r="D133" s="28">
        <v>0.06</v>
      </c>
      <c r="E133" s="29">
        <v>3.28</v>
      </c>
      <c r="F133" s="29">
        <v>3.97</v>
      </c>
      <c r="G133" s="30" t="s">
        <v>39</v>
      </c>
      <c r="H133" s="27" t="s">
        <v>94</v>
      </c>
      <c r="I133" s="27" t="s">
        <v>49</v>
      </c>
      <c r="J133" s="27" t="s">
        <v>50</v>
      </c>
      <c r="K133" s="27" t="s">
        <v>51</v>
      </c>
      <c r="L133" s="31" t="s">
        <v>367</v>
      </c>
      <c r="M133" s="32">
        <v>0.56000000000000005</v>
      </c>
      <c r="N133" s="27" t="s">
        <v>33</v>
      </c>
      <c r="O133" s="27" t="s">
        <v>53</v>
      </c>
      <c r="P133" s="27" t="s">
        <v>187</v>
      </c>
      <c r="Q133" s="27" t="s">
        <v>376</v>
      </c>
      <c r="R133" s="33">
        <v>76201</v>
      </c>
      <c r="S133" s="34">
        <v>42014</v>
      </c>
      <c r="T133" s="34">
        <v>42015</v>
      </c>
      <c r="U133" s="29">
        <v>-66.650000000000006</v>
      </c>
      <c r="V133" s="26">
        <v>5</v>
      </c>
      <c r="W133" s="29">
        <v>16.62</v>
      </c>
      <c r="X133" s="26">
        <v>90166</v>
      </c>
      <c r="Y133" s="35">
        <v>6.4600000000000009</v>
      </c>
      <c r="Z133" s="1" t="s">
        <v>3012</v>
      </c>
      <c r="AA133" s="36">
        <v>0.98399999999999987</v>
      </c>
      <c r="AB133" s="54">
        <v>7.3127999999999993</v>
      </c>
      <c r="AC133" s="54">
        <v>1.8614400000000004</v>
      </c>
      <c r="AD133" s="36">
        <v>78.316000000000003</v>
      </c>
    </row>
    <row r="134" spans="1:30" s="37" customFormat="1" ht="15.75" customHeight="1" x14ac:dyDescent="0.2">
      <c r="A134" s="26">
        <v>166</v>
      </c>
      <c r="B134" s="27" t="s">
        <v>399</v>
      </c>
      <c r="C134" s="27" t="s">
        <v>48</v>
      </c>
      <c r="D134" s="28">
        <v>0.08</v>
      </c>
      <c r="E134" s="29">
        <v>399.98</v>
      </c>
      <c r="F134" s="29">
        <v>12.06</v>
      </c>
      <c r="G134" s="30" t="s">
        <v>27</v>
      </c>
      <c r="H134" s="27" t="s">
        <v>40</v>
      </c>
      <c r="I134" s="27" t="s">
        <v>41</v>
      </c>
      <c r="J134" s="27" t="s">
        <v>57</v>
      </c>
      <c r="K134" s="27" t="s">
        <v>31</v>
      </c>
      <c r="L134" s="31" t="s">
        <v>183</v>
      </c>
      <c r="M134" s="32">
        <v>0.56000000000000005</v>
      </c>
      <c r="N134" s="27" t="s">
        <v>33</v>
      </c>
      <c r="O134" s="27" t="s">
        <v>34</v>
      </c>
      <c r="P134" s="27" t="s">
        <v>400</v>
      </c>
      <c r="Q134" s="27" t="s">
        <v>401</v>
      </c>
      <c r="R134" s="33">
        <v>37087</v>
      </c>
      <c r="S134" s="34">
        <v>42015</v>
      </c>
      <c r="T134" s="34">
        <v>42022</v>
      </c>
      <c r="U134" s="29">
        <v>28.514099999999999</v>
      </c>
      <c r="V134" s="26">
        <v>5</v>
      </c>
      <c r="W134" s="29">
        <v>1839.91</v>
      </c>
      <c r="X134" s="26">
        <v>89426</v>
      </c>
      <c r="Y134" s="35">
        <v>14.12</v>
      </c>
      <c r="Z134" s="1" t="s">
        <v>3011</v>
      </c>
      <c r="AA134" s="36">
        <v>159.99200000000002</v>
      </c>
      <c r="AB134" s="54">
        <v>809.56039999999996</v>
      </c>
      <c r="AC134" s="54">
        <v>206.06992000000002</v>
      </c>
      <c r="AD134" s="36">
        <v>1639.3439000000001</v>
      </c>
    </row>
    <row r="135" spans="1:30" s="37" customFormat="1" ht="15.75" customHeight="1" x14ac:dyDescent="0.2">
      <c r="A135" s="26">
        <v>466</v>
      </c>
      <c r="B135" s="27" t="s">
        <v>402</v>
      </c>
      <c r="C135" s="27" t="s">
        <v>3094</v>
      </c>
      <c r="D135" s="28">
        <v>0.08</v>
      </c>
      <c r="E135" s="29">
        <v>297.64</v>
      </c>
      <c r="F135" s="29">
        <v>14.7</v>
      </c>
      <c r="G135" s="30" t="s">
        <v>27</v>
      </c>
      <c r="H135" s="27" t="s">
        <v>3095</v>
      </c>
      <c r="I135" s="27" t="s">
        <v>41</v>
      </c>
      <c r="J135" s="27" t="s">
        <v>57</v>
      </c>
      <c r="K135" s="27" t="s">
        <v>58</v>
      </c>
      <c r="L135" s="31" t="s">
        <v>387</v>
      </c>
      <c r="M135" s="32">
        <v>0.56999999999999995</v>
      </c>
      <c r="N135" s="27" t="s">
        <v>33</v>
      </c>
      <c r="O135" s="27" t="s">
        <v>111</v>
      </c>
      <c r="P135" s="27" t="s">
        <v>403</v>
      </c>
      <c r="Q135" s="27" t="s">
        <v>404</v>
      </c>
      <c r="R135" s="33">
        <v>2019</v>
      </c>
      <c r="S135" s="34">
        <v>42015</v>
      </c>
      <c r="T135" s="34">
        <v>42015</v>
      </c>
      <c r="U135" s="29">
        <v>496.79680000000002</v>
      </c>
      <c r="V135" s="26">
        <v>5</v>
      </c>
      <c r="W135" s="29">
        <v>1132.8399999999999</v>
      </c>
      <c r="X135" s="26">
        <v>88060</v>
      </c>
      <c r="Y135" s="35">
        <v>399.90000000000003</v>
      </c>
      <c r="Z135" s="1" t="s">
        <v>3014</v>
      </c>
      <c r="AA135" s="36">
        <v>119.056</v>
      </c>
      <c r="AB135" s="54">
        <v>487.12120000000004</v>
      </c>
      <c r="AC135" s="54">
        <v>129.14375999999999</v>
      </c>
      <c r="AD135" s="36">
        <v>502.28719999999987</v>
      </c>
    </row>
    <row r="136" spans="1:30" s="37" customFormat="1" ht="15.75" customHeight="1" x14ac:dyDescent="0.2">
      <c r="A136" s="26">
        <v>467</v>
      </c>
      <c r="B136" s="27" t="s">
        <v>405</v>
      </c>
      <c r="C136" s="27" t="s">
        <v>3094</v>
      </c>
      <c r="D136" s="28">
        <v>0.02</v>
      </c>
      <c r="E136" s="29">
        <v>12.99</v>
      </c>
      <c r="F136" s="29">
        <v>14.37</v>
      </c>
      <c r="G136" s="30" t="s">
        <v>39</v>
      </c>
      <c r="H136" s="27" t="s">
        <v>3095</v>
      </c>
      <c r="I136" s="27" t="s">
        <v>29</v>
      </c>
      <c r="J136" s="27" t="s">
        <v>126</v>
      </c>
      <c r="K136" s="27" t="s">
        <v>65</v>
      </c>
      <c r="L136" s="31" t="s">
        <v>406</v>
      </c>
      <c r="M136" s="32">
        <v>0.73</v>
      </c>
      <c r="N136" s="27" t="s">
        <v>33</v>
      </c>
      <c r="O136" s="27" t="s">
        <v>111</v>
      </c>
      <c r="P136" s="27" t="s">
        <v>403</v>
      </c>
      <c r="Q136" s="27" t="s">
        <v>407</v>
      </c>
      <c r="R136" s="33">
        <v>1915</v>
      </c>
      <c r="S136" s="34">
        <v>42015</v>
      </c>
      <c r="T136" s="34">
        <v>42016</v>
      </c>
      <c r="U136" s="29">
        <v>-556.80960000000005</v>
      </c>
      <c r="V136" s="26">
        <v>11</v>
      </c>
      <c r="W136" s="29">
        <v>143.63</v>
      </c>
      <c r="X136" s="26">
        <v>88060</v>
      </c>
      <c r="Y136" s="35">
        <v>297.56</v>
      </c>
      <c r="Z136" s="1" t="s">
        <v>3014</v>
      </c>
      <c r="AA136" s="36">
        <v>2.8578000000000001</v>
      </c>
      <c r="AB136" s="54">
        <v>38.780100000000004</v>
      </c>
      <c r="AC136" s="54">
        <v>9.5318090909090909</v>
      </c>
      <c r="AD136" s="36">
        <v>683.21180000000004</v>
      </c>
    </row>
    <row r="137" spans="1:30" s="37" customFormat="1" ht="15.75" customHeight="1" x14ac:dyDescent="0.2">
      <c r="A137" s="26">
        <v>468</v>
      </c>
      <c r="B137" s="27" t="s">
        <v>408</v>
      </c>
      <c r="C137" s="27" t="s">
        <v>3094</v>
      </c>
      <c r="D137" s="28">
        <v>0.06</v>
      </c>
      <c r="E137" s="29">
        <v>14.42</v>
      </c>
      <c r="F137" s="29">
        <v>6.75</v>
      </c>
      <c r="G137" s="30" t="s">
        <v>39</v>
      </c>
      <c r="H137" s="27" t="s">
        <v>3095</v>
      </c>
      <c r="I137" s="27" t="s">
        <v>49</v>
      </c>
      <c r="J137" s="27" t="s">
        <v>95</v>
      </c>
      <c r="K137" s="27" t="s">
        <v>144</v>
      </c>
      <c r="L137" s="31" t="s">
        <v>409</v>
      </c>
      <c r="M137" s="32">
        <v>0.52</v>
      </c>
      <c r="N137" s="27" t="s">
        <v>33</v>
      </c>
      <c r="O137" s="27" t="s">
        <v>111</v>
      </c>
      <c r="P137" s="27" t="s">
        <v>403</v>
      </c>
      <c r="Q137" s="27" t="s">
        <v>410</v>
      </c>
      <c r="R137" s="33">
        <v>2341</v>
      </c>
      <c r="S137" s="34">
        <v>42015</v>
      </c>
      <c r="T137" s="34">
        <v>42016</v>
      </c>
      <c r="U137" s="29">
        <v>-27.738800000000001</v>
      </c>
      <c r="V137" s="26">
        <v>5</v>
      </c>
      <c r="W137" s="29">
        <v>73.040000000000006</v>
      </c>
      <c r="X137" s="26">
        <v>88060</v>
      </c>
      <c r="Y137" s="35">
        <v>12.97</v>
      </c>
      <c r="Z137" s="1" t="s">
        <v>3014</v>
      </c>
      <c r="AA137" s="36">
        <v>4.3259999999999996</v>
      </c>
      <c r="AB137" s="54">
        <v>35.059200000000004</v>
      </c>
      <c r="AC137" s="54">
        <v>7.5961600000000002</v>
      </c>
      <c r="AD137" s="36">
        <v>89.702800000000011</v>
      </c>
    </row>
    <row r="138" spans="1:30" s="37" customFormat="1" ht="15.75" customHeight="1" x14ac:dyDescent="0.2">
      <c r="A138" s="26">
        <v>947</v>
      </c>
      <c r="B138" s="27" t="s">
        <v>396</v>
      </c>
      <c r="C138" s="27" t="s">
        <v>26</v>
      </c>
      <c r="D138" s="28">
        <v>0.08</v>
      </c>
      <c r="E138" s="29">
        <v>14.2</v>
      </c>
      <c r="F138" s="29">
        <v>5.3</v>
      </c>
      <c r="G138" s="30" t="s">
        <v>87</v>
      </c>
      <c r="H138" s="27" t="s">
        <v>71</v>
      </c>
      <c r="I138" s="27" t="s">
        <v>29</v>
      </c>
      <c r="J138" s="27" t="s">
        <v>126</v>
      </c>
      <c r="K138" s="27" t="s">
        <v>51</v>
      </c>
      <c r="L138" s="31" t="s">
        <v>288</v>
      </c>
      <c r="M138" s="32">
        <v>0.46</v>
      </c>
      <c r="N138" s="27" t="s">
        <v>33</v>
      </c>
      <c r="O138" s="27" t="s">
        <v>111</v>
      </c>
      <c r="P138" s="27" t="s">
        <v>397</v>
      </c>
      <c r="Q138" s="27" t="s">
        <v>398</v>
      </c>
      <c r="R138" s="33">
        <v>7002</v>
      </c>
      <c r="S138" s="34">
        <v>42015</v>
      </c>
      <c r="T138" s="34">
        <v>42017</v>
      </c>
      <c r="U138" s="29">
        <v>27.23</v>
      </c>
      <c r="V138" s="26">
        <v>5</v>
      </c>
      <c r="W138" s="29">
        <v>72.11</v>
      </c>
      <c r="X138" s="26">
        <v>86565</v>
      </c>
      <c r="Y138" s="35">
        <v>14.36</v>
      </c>
      <c r="Z138" s="1" t="s">
        <v>3014</v>
      </c>
      <c r="AA138" s="36">
        <v>5.68</v>
      </c>
      <c r="AB138" s="54">
        <v>38.939399999999999</v>
      </c>
      <c r="AC138" s="54">
        <v>6.6341200000000002</v>
      </c>
      <c r="AD138" s="36">
        <v>33.9</v>
      </c>
    </row>
    <row r="139" spans="1:30" s="37" customFormat="1" ht="15.75" customHeight="1" x14ac:dyDescent="0.2">
      <c r="A139" s="26">
        <v>470</v>
      </c>
      <c r="B139" s="27" t="s">
        <v>414</v>
      </c>
      <c r="C139" s="27" t="s">
        <v>3094</v>
      </c>
      <c r="D139" s="28">
        <v>0.03</v>
      </c>
      <c r="E139" s="29">
        <v>11.34</v>
      </c>
      <c r="F139" s="29">
        <v>5.01</v>
      </c>
      <c r="G139" s="30" t="s">
        <v>39</v>
      </c>
      <c r="H139" s="27" t="s">
        <v>3095</v>
      </c>
      <c r="I139" s="27" t="s">
        <v>49</v>
      </c>
      <c r="J139" s="27" t="s">
        <v>88</v>
      </c>
      <c r="K139" s="27" t="s">
        <v>73</v>
      </c>
      <c r="L139" s="31" t="s">
        <v>415</v>
      </c>
      <c r="M139" s="32">
        <v>0.36</v>
      </c>
      <c r="N139" s="27" t="s">
        <v>33</v>
      </c>
      <c r="O139" s="27" t="s">
        <v>111</v>
      </c>
      <c r="P139" s="27" t="s">
        <v>397</v>
      </c>
      <c r="Q139" s="27" t="s">
        <v>416</v>
      </c>
      <c r="R139" s="33">
        <v>8601</v>
      </c>
      <c r="S139" s="34">
        <v>42015</v>
      </c>
      <c r="T139" s="34">
        <v>42015</v>
      </c>
      <c r="U139" s="29">
        <v>23.2028</v>
      </c>
      <c r="V139" s="26">
        <v>5</v>
      </c>
      <c r="W139" s="29">
        <v>60.24</v>
      </c>
      <c r="X139" s="26">
        <v>88060</v>
      </c>
      <c r="Y139" s="35">
        <v>4.09</v>
      </c>
      <c r="Z139" s="1" t="s">
        <v>3014</v>
      </c>
      <c r="AA139" s="36">
        <v>1.7010000000000001</v>
      </c>
      <c r="AB139" s="54">
        <v>38.553600000000003</v>
      </c>
      <c r="AC139" s="54">
        <v>4.3372799999999998</v>
      </c>
      <c r="AD139" s="36">
        <v>30.3262</v>
      </c>
    </row>
    <row r="140" spans="1:30" s="37" customFormat="1" ht="15.75" customHeight="1" x14ac:dyDescent="0.2">
      <c r="A140" s="26">
        <v>469</v>
      </c>
      <c r="B140" s="27" t="s">
        <v>411</v>
      </c>
      <c r="C140" s="27" t="s">
        <v>3094</v>
      </c>
      <c r="D140" s="28">
        <v>0.05</v>
      </c>
      <c r="E140" s="29">
        <v>4.1399999999999997</v>
      </c>
      <c r="F140" s="29">
        <v>6.6</v>
      </c>
      <c r="G140" s="30" t="s">
        <v>87</v>
      </c>
      <c r="H140" s="27" t="s">
        <v>3095</v>
      </c>
      <c r="I140" s="27" t="s">
        <v>29</v>
      </c>
      <c r="J140" s="27" t="s">
        <v>126</v>
      </c>
      <c r="K140" s="27" t="s">
        <v>73</v>
      </c>
      <c r="L140" s="31" t="s">
        <v>412</v>
      </c>
      <c r="M140" s="32">
        <v>0.49</v>
      </c>
      <c r="N140" s="27" t="s">
        <v>33</v>
      </c>
      <c r="O140" s="27" t="s">
        <v>111</v>
      </c>
      <c r="P140" s="27" t="s">
        <v>397</v>
      </c>
      <c r="Q140" s="27" t="s">
        <v>413</v>
      </c>
      <c r="R140" s="33">
        <v>7506</v>
      </c>
      <c r="S140" s="34">
        <v>42015</v>
      </c>
      <c r="T140" s="34">
        <v>42017</v>
      </c>
      <c r="U140" s="29">
        <v>-128.68719999999999</v>
      </c>
      <c r="V140" s="26">
        <v>7</v>
      </c>
      <c r="W140" s="29">
        <v>33.35</v>
      </c>
      <c r="X140" s="26">
        <v>88060</v>
      </c>
      <c r="Y140" s="35">
        <v>11.31</v>
      </c>
      <c r="Z140" s="1" t="s">
        <v>3014</v>
      </c>
      <c r="AA140" s="36">
        <v>1.4489999999999998</v>
      </c>
      <c r="AB140" s="54">
        <v>17.008500000000002</v>
      </c>
      <c r="AC140" s="54">
        <v>2.3344999999999998</v>
      </c>
      <c r="AD140" s="36">
        <v>153.98820000000001</v>
      </c>
    </row>
    <row r="141" spans="1:30" s="37" customFormat="1" ht="15.75" customHeight="1" x14ac:dyDescent="0.2">
      <c r="A141" s="26">
        <v>2776</v>
      </c>
      <c r="B141" s="27" t="s">
        <v>417</v>
      </c>
      <c r="C141" s="27" t="s">
        <v>26</v>
      </c>
      <c r="D141" s="28">
        <v>0.03</v>
      </c>
      <c r="E141" s="29">
        <v>350.98</v>
      </c>
      <c r="F141" s="29">
        <v>30</v>
      </c>
      <c r="G141" s="30" t="s">
        <v>27</v>
      </c>
      <c r="H141" s="27" t="s">
        <v>40</v>
      </c>
      <c r="I141" s="27" t="s">
        <v>29</v>
      </c>
      <c r="J141" s="27" t="s">
        <v>109</v>
      </c>
      <c r="K141" s="27" t="s">
        <v>58</v>
      </c>
      <c r="L141" s="31" t="s">
        <v>191</v>
      </c>
      <c r="M141" s="32">
        <v>0.61</v>
      </c>
      <c r="N141" s="27" t="s">
        <v>33</v>
      </c>
      <c r="O141" s="27" t="s">
        <v>111</v>
      </c>
      <c r="P141" s="27" t="s">
        <v>418</v>
      </c>
      <c r="Q141" s="27" t="s">
        <v>419</v>
      </c>
      <c r="R141" s="33">
        <v>20877</v>
      </c>
      <c r="S141" s="34">
        <v>42016</v>
      </c>
      <c r="T141" s="34">
        <v>42019</v>
      </c>
      <c r="U141" s="29">
        <v>2692.4421000000002</v>
      </c>
      <c r="V141" s="26">
        <v>11</v>
      </c>
      <c r="W141" s="29">
        <v>3902.09</v>
      </c>
      <c r="X141" s="26">
        <v>91228</v>
      </c>
      <c r="Y141" s="35">
        <v>350.95000000000005</v>
      </c>
      <c r="Z141" s="1" t="s">
        <v>3014</v>
      </c>
      <c r="AA141" s="36">
        <v>115.82340000000001</v>
      </c>
      <c r="AB141" s="54">
        <v>1521.8151</v>
      </c>
      <c r="AC141" s="54">
        <v>216.38862727272726</v>
      </c>
      <c r="AD141" s="36">
        <v>1063.8244999999997</v>
      </c>
    </row>
    <row r="142" spans="1:30" s="37" customFormat="1" ht="15.75" customHeight="1" x14ac:dyDescent="0.2">
      <c r="A142" s="26">
        <v>824</v>
      </c>
      <c r="B142" s="27" t="s">
        <v>434</v>
      </c>
      <c r="C142" s="27" t="s">
        <v>48</v>
      </c>
      <c r="D142" s="28">
        <v>0.09</v>
      </c>
      <c r="E142" s="29">
        <v>260.98</v>
      </c>
      <c r="F142" s="29">
        <v>41.91</v>
      </c>
      <c r="G142" s="30" t="s">
        <v>27</v>
      </c>
      <c r="H142" s="27" t="s">
        <v>3095</v>
      </c>
      <c r="I142" s="27" t="s">
        <v>29</v>
      </c>
      <c r="J142" s="27" t="s">
        <v>117</v>
      </c>
      <c r="K142" s="27" t="s">
        <v>31</v>
      </c>
      <c r="L142" s="31" t="s">
        <v>435</v>
      </c>
      <c r="M142" s="32">
        <v>0.59</v>
      </c>
      <c r="N142" s="27" t="s">
        <v>33</v>
      </c>
      <c r="O142" s="27" t="s">
        <v>34</v>
      </c>
      <c r="P142" s="27" t="s">
        <v>400</v>
      </c>
      <c r="Q142" s="27" t="s">
        <v>436</v>
      </c>
      <c r="R142" s="33">
        <v>37174</v>
      </c>
      <c r="S142" s="34">
        <v>42016</v>
      </c>
      <c r="T142" s="34">
        <v>42023</v>
      </c>
      <c r="U142" s="29">
        <v>-100.744</v>
      </c>
      <c r="V142" s="26">
        <v>8</v>
      </c>
      <c r="W142" s="29">
        <v>2044.9</v>
      </c>
      <c r="X142" s="26">
        <v>89257</v>
      </c>
      <c r="Y142" s="35">
        <v>1.64</v>
      </c>
      <c r="Z142" s="1" t="s">
        <v>3011</v>
      </c>
      <c r="AA142" s="36">
        <v>187.90559999999999</v>
      </c>
      <c r="AB142" s="54">
        <v>838.40900000000011</v>
      </c>
      <c r="AC142" s="54">
        <v>150.811375</v>
      </c>
      <c r="AD142" s="36">
        <v>1915.8284000000001</v>
      </c>
    </row>
    <row r="143" spans="1:30" s="37" customFormat="1" ht="15.75" customHeight="1" x14ac:dyDescent="0.2">
      <c r="A143" s="26">
        <v>2491</v>
      </c>
      <c r="B143" s="27" t="s">
        <v>457</v>
      </c>
      <c r="C143" s="27" t="s">
        <v>3094</v>
      </c>
      <c r="D143" s="28">
        <v>7.0000000000000007E-2</v>
      </c>
      <c r="E143" s="29">
        <v>65.989999999999995</v>
      </c>
      <c r="F143" s="29">
        <v>8.8000000000000007</v>
      </c>
      <c r="G143" s="30" t="s">
        <v>39</v>
      </c>
      <c r="H143" s="27" t="s">
        <v>71</v>
      </c>
      <c r="I143" s="27" t="s">
        <v>41</v>
      </c>
      <c r="J143" s="27" t="s">
        <v>135</v>
      </c>
      <c r="K143" s="27" t="s">
        <v>73</v>
      </c>
      <c r="L143" s="31" t="s">
        <v>452</v>
      </c>
      <c r="M143" s="32">
        <v>0.57999999999999996</v>
      </c>
      <c r="N143" s="27" t="s">
        <v>33</v>
      </c>
      <c r="O143" s="27" t="s">
        <v>60</v>
      </c>
      <c r="P143" s="27" t="s">
        <v>90</v>
      </c>
      <c r="Q143" s="27" t="s">
        <v>100</v>
      </c>
      <c r="R143" s="33">
        <v>90045</v>
      </c>
      <c r="S143" s="34">
        <v>42016</v>
      </c>
      <c r="T143" s="34">
        <v>42016</v>
      </c>
      <c r="U143" s="29">
        <v>109.836</v>
      </c>
      <c r="V143" s="26">
        <v>37</v>
      </c>
      <c r="W143" s="29">
        <v>1939.03</v>
      </c>
      <c r="X143" s="26">
        <v>23877</v>
      </c>
      <c r="Y143" s="35">
        <v>6.25</v>
      </c>
      <c r="Z143" s="1" t="s">
        <v>3013</v>
      </c>
      <c r="AA143" s="36">
        <v>170.91409999999999</v>
      </c>
      <c r="AB143" s="54">
        <v>814.39260000000002</v>
      </c>
      <c r="AC143" s="54">
        <v>30.395605405405401</v>
      </c>
      <c r="AD143" s="36">
        <v>1649.4799</v>
      </c>
    </row>
    <row r="144" spans="1:30" s="37" customFormat="1" ht="15.75" customHeight="1" x14ac:dyDescent="0.2">
      <c r="A144" s="26">
        <v>120</v>
      </c>
      <c r="B144" s="27" t="s">
        <v>421</v>
      </c>
      <c r="C144" s="27" t="s">
        <v>38</v>
      </c>
      <c r="D144" s="28">
        <v>0.09</v>
      </c>
      <c r="E144" s="29">
        <v>205.99</v>
      </c>
      <c r="F144" s="29">
        <v>3</v>
      </c>
      <c r="G144" s="30" t="s">
        <v>87</v>
      </c>
      <c r="H144" s="27" t="s">
        <v>94</v>
      </c>
      <c r="I144" s="27" t="s">
        <v>41</v>
      </c>
      <c r="J144" s="27" t="s">
        <v>135</v>
      </c>
      <c r="K144" s="27" t="s">
        <v>73</v>
      </c>
      <c r="L144" s="31" t="s">
        <v>423</v>
      </c>
      <c r="M144" s="32">
        <v>0.57999999999999996</v>
      </c>
      <c r="N144" s="27" t="s">
        <v>33</v>
      </c>
      <c r="O144" s="27" t="s">
        <v>60</v>
      </c>
      <c r="P144" s="27" t="s">
        <v>146</v>
      </c>
      <c r="Q144" s="27" t="s">
        <v>181</v>
      </c>
      <c r="R144" s="33">
        <v>84041</v>
      </c>
      <c r="S144" s="34">
        <v>42016</v>
      </c>
      <c r="T144" s="34">
        <v>42018</v>
      </c>
      <c r="U144" s="29">
        <v>1179.0237</v>
      </c>
      <c r="V144" s="26">
        <v>10</v>
      </c>
      <c r="W144" s="29">
        <v>1708.73</v>
      </c>
      <c r="X144" s="26">
        <v>86520</v>
      </c>
      <c r="Y144" s="35">
        <v>205.9</v>
      </c>
      <c r="Z144" s="1" t="s">
        <v>3013</v>
      </c>
      <c r="AA144" s="36">
        <v>185.39100000000002</v>
      </c>
      <c r="AB144" s="54">
        <v>717.66660000000013</v>
      </c>
      <c r="AC144" s="54">
        <v>99.106339999999989</v>
      </c>
      <c r="AD144" s="36">
        <v>341.31529999999998</v>
      </c>
    </row>
    <row r="145" spans="1:30" s="37" customFormat="1" ht="15.75" customHeight="1" x14ac:dyDescent="0.2">
      <c r="A145" s="26">
        <v>1636</v>
      </c>
      <c r="B145" s="27" t="s">
        <v>428</v>
      </c>
      <c r="C145" s="27" t="s">
        <v>38</v>
      </c>
      <c r="D145" s="28">
        <v>0.04</v>
      </c>
      <c r="E145" s="29">
        <v>136.97999999999999</v>
      </c>
      <c r="F145" s="29">
        <v>24.49</v>
      </c>
      <c r="G145" s="30" t="s">
        <v>87</v>
      </c>
      <c r="H145" s="27" t="s">
        <v>71</v>
      </c>
      <c r="I145" s="27" t="s">
        <v>29</v>
      </c>
      <c r="J145" s="27" t="s">
        <v>126</v>
      </c>
      <c r="K145" s="27" t="s">
        <v>65</v>
      </c>
      <c r="L145" s="31" t="s">
        <v>429</v>
      </c>
      <c r="M145" s="32">
        <v>0.59</v>
      </c>
      <c r="N145" s="27" t="s">
        <v>33</v>
      </c>
      <c r="O145" s="27" t="s">
        <v>60</v>
      </c>
      <c r="P145" s="27" t="s">
        <v>90</v>
      </c>
      <c r="Q145" s="27" t="s">
        <v>430</v>
      </c>
      <c r="R145" s="33">
        <v>93905</v>
      </c>
      <c r="S145" s="34">
        <v>42016</v>
      </c>
      <c r="T145" s="34">
        <v>42018</v>
      </c>
      <c r="U145" s="29">
        <v>1127.5497</v>
      </c>
      <c r="V145" s="26">
        <v>12</v>
      </c>
      <c r="W145" s="29">
        <v>1634.13</v>
      </c>
      <c r="X145" s="26">
        <v>89706</v>
      </c>
      <c r="Y145" s="35">
        <v>90.929999999999993</v>
      </c>
      <c r="Z145" s="1" t="s">
        <v>3013</v>
      </c>
      <c r="AA145" s="36">
        <v>65.750399999999999</v>
      </c>
      <c r="AB145" s="54">
        <v>669.99330000000009</v>
      </c>
      <c r="AC145" s="54">
        <v>80.344724999999997</v>
      </c>
      <c r="AD145" s="36">
        <v>416.33990000000017</v>
      </c>
    </row>
    <row r="146" spans="1:30" s="37" customFormat="1" ht="15.75" customHeight="1" x14ac:dyDescent="0.2">
      <c r="A146" s="26">
        <v>1424</v>
      </c>
      <c r="B146" s="27" t="s">
        <v>437</v>
      </c>
      <c r="C146" s="27" t="s">
        <v>48</v>
      </c>
      <c r="D146" s="28">
        <v>0.05</v>
      </c>
      <c r="E146" s="29">
        <v>350.99</v>
      </c>
      <c r="F146" s="29">
        <v>39</v>
      </c>
      <c r="G146" s="30" t="s">
        <v>27</v>
      </c>
      <c r="H146" s="27" t="s">
        <v>71</v>
      </c>
      <c r="I146" s="27" t="s">
        <v>29</v>
      </c>
      <c r="J146" s="27" t="s">
        <v>109</v>
      </c>
      <c r="K146" s="27" t="s">
        <v>58</v>
      </c>
      <c r="L146" s="31" t="s">
        <v>438</v>
      </c>
      <c r="M146" s="32">
        <v>0.55000000000000004</v>
      </c>
      <c r="N146" s="27" t="s">
        <v>33</v>
      </c>
      <c r="O146" s="27" t="s">
        <v>60</v>
      </c>
      <c r="P146" s="27" t="s">
        <v>61</v>
      </c>
      <c r="Q146" s="27" t="s">
        <v>439</v>
      </c>
      <c r="R146" s="33">
        <v>80112</v>
      </c>
      <c r="S146" s="34">
        <v>42016</v>
      </c>
      <c r="T146" s="34">
        <v>42018</v>
      </c>
      <c r="U146" s="29">
        <v>451.28039999999999</v>
      </c>
      <c r="V146" s="26">
        <v>3</v>
      </c>
      <c r="W146" s="29">
        <v>1020.08</v>
      </c>
      <c r="X146" s="26">
        <v>89448</v>
      </c>
      <c r="Y146" s="35">
        <v>20.27</v>
      </c>
      <c r="Z146" s="1" t="s">
        <v>3013</v>
      </c>
      <c r="AA146" s="36">
        <v>52.648500000000006</v>
      </c>
      <c r="AB146" s="54">
        <v>459.036</v>
      </c>
      <c r="AC146" s="54">
        <v>187.0146666666667</v>
      </c>
      <c r="AD146" s="36">
        <v>477.15110000000004</v>
      </c>
    </row>
    <row r="147" spans="1:30" s="37" customFormat="1" ht="15.75" customHeight="1" x14ac:dyDescent="0.2">
      <c r="A147" s="26">
        <v>898</v>
      </c>
      <c r="B147" s="27" t="s">
        <v>424</v>
      </c>
      <c r="C147" s="27" t="s">
        <v>38</v>
      </c>
      <c r="D147" s="28">
        <v>0.04</v>
      </c>
      <c r="E147" s="29">
        <v>90.97</v>
      </c>
      <c r="F147" s="29">
        <v>28</v>
      </c>
      <c r="G147" s="30" t="s">
        <v>27</v>
      </c>
      <c r="H147" s="27" t="s">
        <v>3095</v>
      </c>
      <c r="I147" s="27" t="s">
        <v>41</v>
      </c>
      <c r="J147" s="27" t="s">
        <v>57</v>
      </c>
      <c r="K147" s="27" t="s">
        <v>58</v>
      </c>
      <c r="L147" s="31" t="s">
        <v>425</v>
      </c>
      <c r="M147" s="32">
        <v>0.38</v>
      </c>
      <c r="N147" s="27" t="s">
        <v>33</v>
      </c>
      <c r="O147" s="27" t="s">
        <v>111</v>
      </c>
      <c r="P147" s="27" t="s">
        <v>112</v>
      </c>
      <c r="Q147" s="27" t="s">
        <v>113</v>
      </c>
      <c r="R147" s="33">
        <v>10039</v>
      </c>
      <c r="S147" s="34">
        <v>42016</v>
      </c>
      <c r="T147" s="34">
        <v>42017</v>
      </c>
      <c r="U147" s="29">
        <v>-173.09520000000001</v>
      </c>
      <c r="V147" s="26">
        <v>6</v>
      </c>
      <c r="W147" s="29">
        <v>573.30999999999995</v>
      </c>
      <c r="X147" s="26">
        <v>33635</v>
      </c>
      <c r="Y147" s="35">
        <v>90.929999999999993</v>
      </c>
      <c r="Z147" s="1" t="s">
        <v>3014</v>
      </c>
      <c r="AA147" s="36">
        <v>21.832799999999999</v>
      </c>
      <c r="AB147" s="54">
        <v>355.45219999999995</v>
      </c>
      <c r="AC147" s="54">
        <v>36.309633333333331</v>
      </c>
      <c r="AD147" s="36">
        <v>696.57240000000002</v>
      </c>
    </row>
    <row r="148" spans="1:30" s="37" customFormat="1" ht="15.75" customHeight="1" x14ac:dyDescent="0.2">
      <c r="A148" s="26">
        <v>2489</v>
      </c>
      <c r="B148" s="27" t="s">
        <v>451</v>
      </c>
      <c r="C148" s="27" t="s">
        <v>3094</v>
      </c>
      <c r="D148" s="28">
        <v>7.0000000000000007E-2</v>
      </c>
      <c r="E148" s="29">
        <v>65.989999999999995</v>
      </c>
      <c r="F148" s="29">
        <v>8.8000000000000007</v>
      </c>
      <c r="G148" s="30" t="s">
        <v>39</v>
      </c>
      <c r="H148" s="27" t="s">
        <v>71</v>
      </c>
      <c r="I148" s="27" t="s">
        <v>41</v>
      </c>
      <c r="J148" s="27" t="s">
        <v>135</v>
      </c>
      <c r="K148" s="27" t="s">
        <v>73</v>
      </c>
      <c r="L148" s="31" t="s">
        <v>452</v>
      </c>
      <c r="M148" s="32">
        <v>0.57999999999999996</v>
      </c>
      <c r="N148" s="27" t="s">
        <v>33</v>
      </c>
      <c r="O148" s="27" t="s">
        <v>60</v>
      </c>
      <c r="P148" s="27" t="s">
        <v>90</v>
      </c>
      <c r="Q148" s="27" t="s">
        <v>453</v>
      </c>
      <c r="R148" s="33">
        <v>94521</v>
      </c>
      <c r="S148" s="34">
        <v>42016</v>
      </c>
      <c r="T148" s="34">
        <v>42016</v>
      </c>
      <c r="U148" s="29">
        <v>109.836</v>
      </c>
      <c r="V148" s="26">
        <v>9</v>
      </c>
      <c r="W148" s="29">
        <v>471.66</v>
      </c>
      <c r="X148" s="26">
        <v>86886</v>
      </c>
      <c r="Y148" s="35">
        <v>20.27</v>
      </c>
      <c r="Z148" s="1" t="s">
        <v>3013</v>
      </c>
      <c r="AA148" s="36">
        <v>41.573700000000002</v>
      </c>
      <c r="AB148" s="54">
        <v>198.09720000000004</v>
      </c>
      <c r="AC148" s="54">
        <v>30.395866666666663</v>
      </c>
      <c r="AD148" s="36">
        <v>311.45030000000003</v>
      </c>
    </row>
    <row r="149" spans="1:30" s="37" customFormat="1" ht="15.75" customHeight="1" x14ac:dyDescent="0.2">
      <c r="A149" s="26">
        <v>2491</v>
      </c>
      <c r="B149" s="27" t="s">
        <v>457</v>
      </c>
      <c r="C149" s="27" t="s">
        <v>3094</v>
      </c>
      <c r="D149" s="28">
        <v>0</v>
      </c>
      <c r="E149" s="29">
        <v>10.01</v>
      </c>
      <c r="F149" s="29">
        <v>1.99</v>
      </c>
      <c r="G149" s="30" t="s">
        <v>87</v>
      </c>
      <c r="H149" s="27" t="s">
        <v>71</v>
      </c>
      <c r="I149" s="27" t="s">
        <v>41</v>
      </c>
      <c r="J149" s="27" t="s">
        <v>42</v>
      </c>
      <c r="K149" s="27" t="s">
        <v>43</v>
      </c>
      <c r="L149" s="31" t="s">
        <v>455</v>
      </c>
      <c r="M149" s="32">
        <v>0.41</v>
      </c>
      <c r="N149" s="27" t="s">
        <v>33</v>
      </c>
      <c r="O149" s="27" t="s">
        <v>60</v>
      </c>
      <c r="P149" s="27" t="s">
        <v>90</v>
      </c>
      <c r="Q149" s="27" t="s">
        <v>100</v>
      </c>
      <c r="R149" s="33">
        <v>90045</v>
      </c>
      <c r="S149" s="34">
        <v>42016</v>
      </c>
      <c r="T149" s="34">
        <v>42018</v>
      </c>
      <c r="U149" s="29">
        <v>128.03</v>
      </c>
      <c r="V149" s="26">
        <v>42</v>
      </c>
      <c r="W149" s="29">
        <v>457.63</v>
      </c>
      <c r="X149" s="26">
        <v>23877</v>
      </c>
      <c r="Y149" s="35">
        <v>136.94</v>
      </c>
      <c r="Z149" s="1" t="s">
        <v>3013</v>
      </c>
      <c r="AA149" s="36">
        <v>0</v>
      </c>
      <c r="AB149" s="54">
        <v>270.00170000000003</v>
      </c>
      <c r="AC149" s="54">
        <v>4.4673404761904756</v>
      </c>
      <c r="AD149" s="36">
        <v>327.61</v>
      </c>
    </row>
    <row r="150" spans="1:30" s="37" customFormat="1" ht="15.75" customHeight="1" x14ac:dyDescent="0.2">
      <c r="A150" s="26">
        <v>750</v>
      </c>
      <c r="B150" s="27" t="s">
        <v>448</v>
      </c>
      <c r="C150" s="27" t="s">
        <v>3094</v>
      </c>
      <c r="D150" s="28">
        <v>0.09</v>
      </c>
      <c r="E150" s="29">
        <v>27.75</v>
      </c>
      <c r="F150" s="29">
        <v>19.989999999999998</v>
      </c>
      <c r="G150" s="30" t="s">
        <v>39</v>
      </c>
      <c r="H150" s="27" t="s">
        <v>94</v>
      </c>
      <c r="I150" s="27" t="s">
        <v>49</v>
      </c>
      <c r="J150" s="27" t="s">
        <v>78</v>
      </c>
      <c r="K150" s="27" t="s">
        <v>73</v>
      </c>
      <c r="L150" s="31" t="s">
        <v>449</v>
      </c>
      <c r="M150" s="32">
        <v>0.67</v>
      </c>
      <c r="N150" s="27" t="s">
        <v>33</v>
      </c>
      <c r="O150" s="27" t="s">
        <v>34</v>
      </c>
      <c r="P150" s="27" t="s">
        <v>388</v>
      </c>
      <c r="Q150" s="27" t="s">
        <v>450</v>
      </c>
      <c r="R150" s="33">
        <v>41042</v>
      </c>
      <c r="S150" s="34">
        <v>42016</v>
      </c>
      <c r="T150" s="34">
        <v>42017</v>
      </c>
      <c r="U150" s="29">
        <v>-224.64400000000001</v>
      </c>
      <c r="V150" s="26">
        <v>10</v>
      </c>
      <c r="W150" s="29">
        <v>257.52</v>
      </c>
      <c r="X150" s="26">
        <v>91200</v>
      </c>
      <c r="Y150" s="35">
        <v>6.2</v>
      </c>
      <c r="Z150" s="1" t="s">
        <v>3011</v>
      </c>
      <c r="AA150" s="36">
        <v>24.975000000000001</v>
      </c>
      <c r="AB150" s="54">
        <v>84.981599999999986</v>
      </c>
      <c r="AC150" s="54">
        <v>17.25384</v>
      </c>
      <c r="AD150" s="36">
        <v>437.19899999999996</v>
      </c>
    </row>
    <row r="151" spans="1:30" s="37" customFormat="1" ht="15.75" customHeight="1" x14ac:dyDescent="0.2">
      <c r="A151" s="26">
        <v>899</v>
      </c>
      <c r="B151" s="27" t="s">
        <v>426</v>
      </c>
      <c r="C151" s="27" t="s">
        <v>38</v>
      </c>
      <c r="D151" s="28">
        <v>0.04</v>
      </c>
      <c r="E151" s="29">
        <v>90.97</v>
      </c>
      <c r="F151" s="29">
        <v>28</v>
      </c>
      <c r="G151" s="30" t="s">
        <v>27</v>
      </c>
      <c r="H151" s="27" t="s">
        <v>3095</v>
      </c>
      <c r="I151" s="27" t="s">
        <v>41</v>
      </c>
      <c r="J151" s="27" t="s">
        <v>57</v>
      </c>
      <c r="K151" s="27" t="s">
        <v>58</v>
      </c>
      <c r="L151" s="31" t="s">
        <v>425</v>
      </c>
      <c r="M151" s="32">
        <v>0.38</v>
      </c>
      <c r="N151" s="27" t="s">
        <v>33</v>
      </c>
      <c r="O151" s="27" t="s">
        <v>111</v>
      </c>
      <c r="P151" s="27" t="s">
        <v>320</v>
      </c>
      <c r="Q151" s="27" t="s">
        <v>427</v>
      </c>
      <c r="R151" s="33">
        <v>16602</v>
      </c>
      <c r="S151" s="34">
        <v>42016</v>
      </c>
      <c r="T151" s="34">
        <v>42017</v>
      </c>
      <c r="U151" s="29">
        <v>-173.09520000000001</v>
      </c>
      <c r="V151" s="26">
        <v>2</v>
      </c>
      <c r="W151" s="29">
        <v>191.1</v>
      </c>
      <c r="X151" s="26">
        <v>86263</v>
      </c>
      <c r="Y151" s="35">
        <v>260.89000000000004</v>
      </c>
      <c r="Z151" s="1" t="s">
        <v>3014</v>
      </c>
      <c r="AA151" s="36">
        <v>7.2775999999999996</v>
      </c>
      <c r="AB151" s="54">
        <v>118.482</v>
      </c>
      <c r="AC151" s="54">
        <v>36.308999999999997</v>
      </c>
      <c r="AD151" s="36">
        <v>328.91759999999999</v>
      </c>
    </row>
    <row r="152" spans="1:30" s="37" customFormat="1" ht="15.75" customHeight="1" x14ac:dyDescent="0.2">
      <c r="A152" s="26">
        <v>898</v>
      </c>
      <c r="B152" s="27" t="s">
        <v>424</v>
      </c>
      <c r="C152" s="27" t="s">
        <v>38</v>
      </c>
      <c r="D152" s="28">
        <v>7.0000000000000007E-2</v>
      </c>
      <c r="E152" s="29">
        <v>20.34</v>
      </c>
      <c r="F152" s="29">
        <v>35</v>
      </c>
      <c r="G152" s="30" t="s">
        <v>39</v>
      </c>
      <c r="H152" s="27" t="s">
        <v>3095</v>
      </c>
      <c r="I152" s="27" t="s">
        <v>49</v>
      </c>
      <c r="J152" s="27" t="s">
        <v>78</v>
      </c>
      <c r="K152" s="27" t="s">
        <v>65</v>
      </c>
      <c r="L152" s="31" t="s">
        <v>260</v>
      </c>
      <c r="M152" s="32">
        <v>0.84</v>
      </c>
      <c r="N152" s="27" t="s">
        <v>33</v>
      </c>
      <c r="O152" s="27" t="s">
        <v>111</v>
      </c>
      <c r="P152" s="27" t="s">
        <v>112</v>
      </c>
      <c r="Q152" s="27" t="s">
        <v>113</v>
      </c>
      <c r="R152" s="33">
        <v>10039</v>
      </c>
      <c r="S152" s="34">
        <v>42016</v>
      </c>
      <c r="T152" s="34">
        <v>42017</v>
      </c>
      <c r="U152" s="29">
        <v>-96.16</v>
      </c>
      <c r="V152" s="26">
        <v>5</v>
      </c>
      <c r="W152" s="29">
        <v>140.22999999999999</v>
      </c>
      <c r="X152" s="26">
        <v>33635</v>
      </c>
      <c r="Y152" s="35">
        <v>350.94</v>
      </c>
      <c r="Z152" s="1" t="s">
        <v>3014</v>
      </c>
      <c r="AA152" s="36">
        <v>7.1190000000000007</v>
      </c>
      <c r="AB152" s="54">
        <v>22.436800000000002</v>
      </c>
      <c r="AC152" s="54">
        <v>23.558639999999997</v>
      </c>
      <c r="AD152" s="36">
        <v>194.27099999999999</v>
      </c>
    </row>
    <row r="153" spans="1:30" s="37" customFormat="1" ht="15.75" customHeight="1" x14ac:dyDescent="0.2">
      <c r="A153" s="26">
        <v>2069</v>
      </c>
      <c r="B153" s="27" t="s">
        <v>445</v>
      </c>
      <c r="C153" s="27" t="s">
        <v>116</v>
      </c>
      <c r="D153" s="28">
        <v>0.1</v>
      </c>
      <c r="E153" s="29">
        <v>40.98</v>
      </c>
      <c r="F153" s="29">
        <v>6.5</v>
      </c>
      <c r="G153" s="30" t="s">
        <v>39</v>
      </c>
      <c r="H153" s="27" t="s">
        <v>40</v>
      </c>
      <c r="I153" s="27" t="s">
        <v>41</v>
      </c>
      <c r="J153" s="27" t="s">
        <v>42</v>
      </c>
      <c r="K153" s="27" t="s">
        <v>73</v>
      </c>
      <c r="L153" s="31" t="s">
        <v>446</v>
      </c>
      <c r="M153" s="32">
        <v>0.74</v>
      </c>
      <c r="N153" s="27" t="s">
        <v>33</v>
      </c>
      <c r="O153" s="27" t="s">
        <v>34</v>
      </c>
      <c r="P153" s="27" t="s">
        <v>388</v>
      </c>
      <c r="Q153" s="27" t="s">
        <v>447</v>
      </c>
      <c r="R153" s="33">
        <v>41075</v>
      </c>
      <c r="S153" s="34">
        <v>42016</v>
      </c>
      <c r="T153" s="34">
        <v>42018</v>
      </c>
      <c r="U153" s="29">
        <v>66.852000000000004</v>
      </c>
      <c r="V153" s="26">
        <v>3</v>
      </c>
      <c r="W153" s="29">
        <v>120.34</v>
      </c>
      <c r="X153" s="26">
        <v>88554</v>
      </c>
      <c r="Y153" s="35">
        <v>8.74</v>
      </c>
      <c r="Z153" s="1" t="s">
        <v>3011</v>
      </c>
      <c r="AA153" s="36">
        <v>12.294</v>
      </c>
      <c r="AB153" s="54">
        <v>31.288400000000003</v>
      </c>
      <c r="AC153" s="54">
        <v>29.68386666666667</v>
      </c>
      <c r="AD153" s="36">
        <v>34.694000000000003</v>
      </c>
    </row>
    <row r="154" spans="1:30" s="37" customFormat="1" ht="15.75" customHeight="1" x14ac:dyDescent="0.2">
      <c r="A154" s="26">
        <v>2490</v>
      </c>
      <c r="B154" s="27" t="s">
        <v>454</v>
      </c>
      <c r="C154" s="27" t="s">
        <v>3094</v>
      </c>
      <c r="D154" s="28">
        <v>0</v>
      </c>
      <c r="E154" s="29">
        <v>10.01</v>
      </c>
      <c r="F154" s="29">
        <v>1.99</v>
      </c>
      <c r="G154" s="30" t="s">
        <v>87</v>
      </c>
      <c r="H154" s="27" t="s">
        <v>71</v>
      </c>
      <c r="I154" s="27" t="s">
        <v>41</v>
      </c>
      <c r="J154" s="27" t="s">
        <v>42</v>
      </c>
      <c r="K154" s="27" t="s">
        <v>43</v>
      </c>
      <c r="L154" s="31" t="s">
        <v>455</v>
      </c>
      <c r="M154" s="32">
        <v>0.41</v>
      </c>
      <c r="N154" s="27" t="s">
        <v>33</v>
      </c>
      <c r="O154" s="27" t="s">
        <v>60</v>
      </c>
      <c r="P154" s="27" t="s">
        <v>90</v>
      </c>
      <c r="Q154" s="27" t="s">
        <v>456</v>
      </c>
      <c r="R154" s="33">
        <v>92627</v>
      </c>
      <c r="S154" s="34">
        <v>42016</v>
      </c>
      <c r="T154" s="34">
        <v>42018</v>
      </c>
      <c r="U154" s="29">
        <v>82.703400000000002</v>
      </c>
      <c r="V154" s="26">
        <v>11</v>
      </c>
      <c r="W154" s="29">
        <v>119.86</v>
      </c>
      <c r="X154" s="26">
        <v>86886</v>
      </c>
      <c r="Y154" s="35">
        <v>1.96</v>
      </c>
      <c r="Z154" s="1" t="s">
        <v>3013</v>
      </c>
      <c r="AA154" s="36">
        <v>0</v>
      </c>
      <c r="AB154" s="54">
        <v>70.717400000000012</v>
      </c>
      <c r="AC154" s="54">
        <v>4.4675090909090907</v>
      </c>
      <c r="AD154" s="36">
        <v>35.166600000000003</v>
      </c>
    </row>
    <row r="155" spans="1:30" s="37" customFormat="1" ht="15.75" customHeight="1" x14ac:dyDescent="0.2">
      <c r="A155" s="26">
        <v>823</v>
      </c>
      <c r="B155" s="27" t="s">
        <v>431</v>
      </c>
      <c r="C155" s="27" t="s">
        <v>48</v>
      </c>
      <c r="D155" s="28">
        <v>0.04</v>
      </c>
      <c r="E155" s="29">
        <v>6.24</v>
      </c>
      <c r="F155" s="29">
        <v>5.22</v>
      </c>
      <c r="G155" s="30" t="s">
        <v>39</v>
      </c>
      <c r="H155" s="27" t="s">
        <v>3095</v>
      </c>
      <c r="I155" s="27" t="s">
        <v>29</v>
      </c>
      <c r="J155" s="27" t="s">
        <v>126</v>
      </c>
      <c r="K155" s="27" t="s">
        <v>73</v>
      </c>
      <c r="L155" s="31" t="s">
        <v>432</v>
      </c>
      <c r="M155" s="32">
        <v>0.6</v>
      </c>
      <c r="N155" s="27" t="s">
        <v>33</v>
      </c>
      <c r="O155" s="27" t="s">
        <v>34</v>
      </c>
      <c r="P155" s="27" t="s">
        <v>400</v>
      </c>
      <c r="Q155" s="27" t="s">
        <v>433</v>
      </c>
      <c r="R155" s="33">
        <v>37167</v>
      </c>
      <c r="S155" s="34">
        <v>42016</v>
      </c>
      <c r="T155" s="34">
        <v>42021</v>
      </c>
      <c r="U155" s="29">
        <v>4.3808999999999996</v>
      </c>
      <c r="V155" s="26">
        <v>13</v>
      </c>
      <c r="W155" s="29">
        <v>80.23</v>
      </c>
      <c r="X155" s="26">
        <v>89257</v>
      </c>
      <c r="Y155" s="35">
        <v>29.88</v>
      </c>
      <c r="Z155" s="1" t="s">
        <v>3011</v>
      </c>
      <c r="AA155" s="36">
        <v>3.2448000000000001</v>
      </c>
      <c r="AB155" s="54">
        <v>32.092000000000006</v>
      </c>
      <c r="AC155" s="54">
        <v>3.702923076923077</v>
      </c>
      <c r="AD155" s="36">
        <v>67.38430000000001</v>
      </c>
    </row>
    <row r="156" spans="1:30" s="37" customFormat="1" ht="15.75" customHeight="1" x14ac:dyDescent="0.2">
      <c r="A156" s="26">
        <v>1424</v>
      </c>
      <c r="B156" s="27" t="s">
        <v>437</v>
      </c>
      <c r="C156" s="27" t="s">
        <v>48</v>
      </c>
      <c r="D156" s="28">
        <v>0</v>
      </c>
      <c r="E156" s="29">
        <v>8.74</v>
      </c>
      <c r="F156" s="29">
        <v>1.39</v>
      </c>
      <c r="G156" s="30" t="s">
        <v>39</v>
      </c>
      <c r="H156" s="27" t="s">
        <v>71</v>
      </c>
      <c r="I156" s="27" t="s">
        <v>49</v>
      </c>
      <c r="J156" s="27" t="s">
        <v>345</v>
      </c>
      <c r="K156" s="27" t="s">
        <v>73</v>
      </c>
      <c r="L156" s="31" t="s">
        <v>440</v>
      </c>
      <c r="M156" s="32">
        <v>0.38</v>
      </c>
      <c r="N156" s="27" t="s">
        <v>33</v>
      </c>
      <c r="O156" s="27" t="s">
        <v>60</v>
      </c>
      <c r="P156" s="27" t="s">
        <v>61</v>
      </c>
      <c r="Q156" s="27" t="s">
        <v>439</v>
      </c>
      <c r="R156" s="33">
        <v>80112</v>
      </c>
      <c r="S156" s="34">
        <v>42016</v>
      </c>
      <c r="T156" s="34">
        <v>42020</v>
      </c>
      <c r="U156" s="29">
        <v>44.988</v>
      </c>
      <c r="V156" s="26">
        <v>7</v>
      </c>
      <c r="W156" s="29">
        <v>65.2</v>
      </c>
      <c r="X156" s="26">
        <v>89448</v>
      </c>
      <c r="Y156" s="35">
        <v>40.879999999999995</v>
      </c>
      <c r="Z156" s="1" t="s">
        <v>3013</v>
      </c>
      <c r="AA156" s="36">
        <v>0</v>
      </c>
      <c r="AB156" s="54">
        <v>40.423999999999999</v>
      </c>
      <c r="AC156" s="54">
        <v>3.5394285714285716</v>
      </c>
      <c r="AD156" s="36">
        <v>18.822000000000003</v>
      </c>
    </row>
    <row r="157" spans="1:30" s="37" customFormat="1" ht="15.75" customHeight="1" x14ac:dyDescent="0.2">
      <c r="A157" s="26">
        <v>120</v>
      </c>
      <c r="B157" s="27" t="s">
        <v>421</v>
      </c>
      <c r="C157" s="27" t="s">
        <v>38</v>
      </c>
      <c r="D157" s="28">
        <v>0.05</v>
      </c>
      <c r="E157" s="29">
        <v>6.3</v>
      </c>
      <c r="F157" s="29">
        <v>0.5</v>
      </c>
      <c r="G157" s="30" t="s">
        <v>39</v>
      </c>
      <c r="H157" s="27" t="s">
        <v>94</v>
      </c>
      <c r="I157" s="27" t="s">
        <v>49</v>
      </c>
      <c r="J157" s="27" t="s">
        <v>152</v>
      </c>
      <c r="K157" s="27" t="s">
        <v>73</v>
      </c>
      <c r="L157" s="31" t="s">
        <v>422</v>
      </c>
      <c r="M157" s="32">
        <v>0.39</v>
      </c>
      <c r="N157" s="27" t="s">
        <v>33</v>
      </c>
      <c r="O157" s="27" t="s">
        <v>60</v>
      </c>
      <c r="P157" s="27" t="s">
        <v>146</v>
      </c>
      <c r="Q157" s="27" t="s">
        <v>181</v>
      </c>
      <c r="R157" s="33">
        <v>84041</v>
      </c>
      <c r="S157" s="34">
        <v>42016</v>
      </c>
      <c r="T157" s="34">
        <v>42017</v>
      </c>
      <c r="U157" s="29">
        <v>41.296500000000002</v>
      </c>
      <c r="V157" s="26">
        <v>10</v>
      </c>
      <c r="W157" s="29">
        <v>59.85</v>
      </c>
      <c r="X157" s="26">
        <v>86520</v>
      </c>
      <c r="Y157" s="35">
        <v>27.66</v>
      </c>
      <c r="Z157" s="1" t="s">
        <v>3013</v>
      </c>
      <c r="AA157" s="36">
        <v>3.15</v>
      </c>
      <c r="AB157" s="54">
        <v>36.508499999999998</v>
      </c>
      <c r="AC157" s="54">
        <v>2.3341500000000002</v>
      </c>
      <c r="AD157" s="36">
        <v>14.903500000000001</v>
      </c>
    </row>
    <row r="158" spans="1:30" s="37" customFormat="1" ht="15.75" customHeight="1" x14ac:dyDescent="0.2">
      <c r="A158" s="26">
        <v>2715</v>
      </c>
      <c r="B158" s="27" t="s">
        <v>442</v>
      </c>
      <c r="C158" s="27" t="s">
        <v>48</v>
      </c>
      <c r="D158" s="28">
        <v>0.01</v>
      </c>
      <c r="E158" s="29">
        <v>29.89</v>
      </c>
      <c r="F158" s="29">
        <v>1.99</v>
      </c>
      <c r="G158" s="30" t="s">
        <v>39</v>
      </c>
      <c r="H158" s="27" t="s">
        <v>94</v>
      </c>
      <c r="I158" s="27" t="s">
        <v>41</v>
      </c>
      <c r="J158" s="27" t="s">
        <v>42</v>
      </c>
      <c r="K158" s="27" t="s">
        <v>43</v>
      </c>
      <c r="L158" s="31" t="s">
        <v>443</v>
      </c>
      <c r="M158" s="32">
        <v>0.5</v>
      </c>
      <c r="N158" s="27" t="s">
        <v>33</v>
      </c>
      <c r="O158" s="27" t="s">
        <v>53</v>
      </c>
      <c r="P158" s="27" t="s">
        <v>289</v>
      </c>
      <c r="Q158" s="27" t="s">
        <v>444</v>
      </c>
      <c r="R158" s="33">
        <v>48911</v>
      </c>
      <c r="S158" s="34">
        <v>42016</v>
      </c>
      <c r="T158" s="34">
        <v>42020</v>
      </c>
      <c r="U158" s="29">
        <v>-74.64</v>
      </c>
      <c r="V158" s="26">
        <v>1</v>
      </c>
      <c r="W158" s="29">
        <v>31.96</v>
      </c>
      <c r="X158" s="26">
        <v>88702</v>
      </c>
      <c r="Y158" s="35">
        <v>65.92</v>
      </c>
      <c r="Z158" s="1" t="s">
        <v>3012</v>
      </c>
      <c r="AA158" s="36">
        <v>0.2989</v>
      </c>
      <c r="AB158" s="54">
        <v>15.98</v>
      </c>
      <c r="AC158" s="54">
        <v>15.98</v>
      </c>
      <c r="AD158" s="36">
        <v>104.31110000000001</v>
      </c>
    </row>
    <row r="159" spans="1:30" s="37" customFormat="1" ht="15.75" customHeight="1" x14ac:dyDescent="0.2">
      <c r="A159" s="26">
        <v>899</v>
      </c>
      <c r="B159" s="27" t="s">
        <v>426</v>
      </c>
      <c r="C159" s="27" t="s">
        <v>38</v>
      </c>
      <c r="D159" s="28">
        <v>7.0000000000000007E-2</v>
      </c>
      <c r="E159" s="29">
        <v>20.34</v>
      </c>
      <c r="F159" s="29">
        <v>35</v>
      </c>
      <c r="G159" s="30" t="s">
        <v>39</v>
      </c>
      <c r="H159" s="27" t="s">
        <v>3095</v>
      </c>
      <c r="I159" s="27" t="s">
        <v>49</v>
      </c>
      <c r="J159" s="27" t="s">
        <v>78</v>
      </c>
      <c r="K159" s="27" t="s">
        <v>65</v>
      </c>
      <c r="L159" s="31" t="s">
        <v>260</v>
      </c>
      <c r="M159" s="32">
        <v>0.84</v>
      </c>
      <c r="N159" s="27" t="s">
        <v>33</v>
      </c>
      <c r="O159" s="27" t="s">
        <v>111</v>
      </c>
      <c r="P159" s="27" t="s">
        <v>320</v>
      </c>
      <c r="Q159" s="27" t="s">
        <v>427</v>
      </c>
      <c r="R159" s="33">
        <v>16602</v>
      </c>
      <c r="S159" s="34">
        <v>42016</v>
      </c>
      <c r="T159" s="34">
        <v>42017</v>
      </c>
      <c r="U159" s="29">
        <v>-96.16</v>
      </c>
      <c r="V159" s="26">
        <v>1</v>
      </c>
      <c r="W159" s="29">
        <v>28.05</v>
      </c>
      <c r="X159" s="26">
        <v>86263</v>
      </c>
      <c r="Y159" s="35">
        <v>10.01</v>
      </c>
      <c r="Z159" s="1" t="s">
        <v>3014</v>
      </c>
      <c r="AA159" s="36">
        <v>1.4238000000000002</v>
      </c>
      <c r="AB159" s="54">
        <v>4.4880000000000013</v>
      </c>
      <c r="AC159" s="54">
        <v>23.562000000000001</v>
      </c>
      <c r="AD159" s="36">
        <v>87.786199999999994</v>
      </c>
    </row>
    <row r="160" spans="1:30" s="37" customFormat="1" ht="15.75" customHeight="1" x14ac:dyDescent="0.2">
      <c r="A160" s="26">
        <v>1424</v>
      </c>
      <c r="B160" s="27" t="s">
        <v>437</v>
      </c>
      <c r="C160" s="27" t="s">
        <v>48</v>
      </c>
      <c r="D160" s="28">
        <v>0.02</v>
      </c>
      <c r="E160" s="29">
        <v>1.98</v>
      </c>
      <c r="F160" s="29">
        <v>0.7</v>
      </c>
      <c r="G160" s="30" t="s">
        <v>39</v>
      </c>
      <c r="H160" s="27" t="s">
        <v>71</v>
      </c>
      <c r="I160" s="27" t="s">
        <v>49</v>
      </c>
      <c r="J160" s="27" t="s">
        <v>176</v>
      </c>
      <c r="K160" s="27" t="s">
        <v>51</v>
      </c>
      <c r="L160" s="31" t="s">
        <v>441</v>
      </c>
      <c r="M160" s="32">
        <v>0.83</v>
      </c>
      <c r="N160" s="27" t="s">
        <v>33</v>
      </c>
      <c r="O160" s="27" t="s">
        <v>60</v>
      </c>
      <c r="P160" s="27" t="s">
        <v>61</v>
      </c>
      <c r="Q160" s="27" t="s">
        <v>439</v>
      </c>
      <c r="R160" s="33">
        <v>80112</v>
      </c>
      <c r="S160" s="34">
        <v>42016</v>
      </c>
      <c r="T160" s="34">
        <v>42020</v>
      </c>
      <c r="U160" s="29">
        <v>-20.732800000000001</v>
      </c>
      <c r="V160" s="26">
        <v>11</v>
      </c>
      <c r="W160" s="29">
        <v>22.59</v>
      </c>
      <c r="X160" s="26">
        <v>89448</v>
      </c>
      <c r="Y160" s="35">
        <v>65.92</v>
      </c>
      <c r="Z160" s="1" t="s">
        <v>3013</v>
      </c>
      <c r="AA160" s="36">
        <v>0.43560000000000004</v>
      </c>
      <c r="AB160" s="54">
        <v>3.8403000000000009</v>
      </c>
      <c r="AC160" s="54">
        <v>1.7045181818181818</v>
      </c>
      <c r="AD160" s="36">
        <v>42.187200000000004</v>
      </c>
    </row>
    <row r="161" spans="1:30" s="37" customFormat="1" ht="15.75" customHeight="1" x14ac:dyDescent="0.2">
      <c r="A161" s="26">
        <v>2776</v>
      </c>
      <c r="B161" s="27" t="s">
        <v>417</v>
      </c>
      <c r="C161" s="27" t="s">
        <v>26</v>
      </c>
      <c r="D161" s="28">
        <v>0.04</v>
      </c>
      <c r="E161" s="29">
        <v>1.68</v>
      </c>
      <c r="F161" s="29">
        <v>1</v>
      </c>
      <c r="G161" s="30" t="s">
        <v>39</v>
      </c>
      <c r="H161" s="27" t="s">
        <v>40</v>
      </c>
      <c r="I161" s="27" t="s">
        <v>49</v>
      </c>
      <c r="J161" s="27" t="s">
        <v>50</v>
      </c>
      <c r="K161" s="27" t="s">
        <v>51</v>
      </c>
      <c r="L161" s="31" t="s">
        <v>420</v>
      </c>
      <c r="M161" s="32">
        <v>0.35</v>
      </c>
      <c r="N161" s="27" t="s">
        <v>33</v>
      </c>
      <c r="O161" s="27" t="s">
        <v>111</v>
      </c>
      <c r="P161" s="27" t="s">
        <v>418</v>
      </c>
      <c r="Q161" s="27" t="s">
        <v>419</v>
      </c>
      <c r="R161" s="33">
        <v>20877</v>
      </c>
      <c r="S161" s="34">
        <v>42016</v>
      </c>
      <c r="T161" s="34">
        <v>42018</v>
      </c>
      <c r="U161" s="29">
        <v>2.0672000000000001</v>
      </c>
      <c r="V161" s="26">
        <v>8</v>
      </c>
      <c r="W161" s="29">
        <v>14.18</v>
      </c>
      <c r="X161" s="26">
        <v>91228</v>
      </c>
      <c r="Y161" s="35">
        <v>10.01</v>
      </c>
      <c r="Z161" s="1" t="s">
        <v>3014</v>
      </c>
      <c r="AA161" s="36">
        <v>0.53759999999999997</v>
      </c>
      <c r="AB161" s="54">
        <v>9.2170000000000005</v>
      </c>
      <c r="AC161" s="54">
        <v>0.6203749999999999</v>
      </c>
      <c r="AD161" s="36">
        <v>10.575199999999999</v>
      </c>
    </row>
    <row r="162" spans="1:30" s="37" customFormat="1" ht="15.75" customHeight="1" x14ac:dyDescent="0.2">
      <c r="A162" s="26">
        <v>3340</v>
      </c>
      <c r="B162" s="27" t="s">
        <v>473</v>
      </c>
      <c r="C162" s="27" t="s">
        <v>116</v>
      </c>
      <c r="D162" s="28">
        <v>0.08</v>
      </c>
      <c r="E162" s="29">
        <v>125.99</v>
      </c>
      <c r="F162" s="29">
        <v>4.2</v>
      </c>
      <c r="G162" s="30" t="s">
        <v>39</v>
      </c>
      <c r="H162" s="27" t="s">
        <v>40</v>
      </c>
      <c r="I162" s="27" t="s">
        <v>41</v>
      </c>
      <c r="J162" s="27" t="s">
        <v>135</v>
      </c>
      <c r="K162" s="27" t="s">
        <v>73</v>
      </c>
      <c r="L162" s="31" t="s">
        <v>474</v>
      </c>
      <c r="M162" s="32">
        <v>0.56999999999999995</v>
      </c>
      <c r="N162" s="27" t="s">
        <v>33</v>
      </c>
      <c r="O162" s="27" t="s">
        <v>60</v>
      </c>
      <c r="P162" s="27" t="s">
        <v>139</v>
      </c>
      <c r="Q162" s="27" t="s">
        <v>475</v>
      </c>
      <c r="R162" s="33">
        <v>97060</v>
      </c>
      <c r="S162" s="34">
        <v>42017</v>
      </c>
      <c r="T162" s="34">
        <v>42018</v>
      </c>
      <c r="U162" s="29">
        <v>989.81190000000004</v>
      </c>
      <c r="V162" s="26">
        <v>14</v>
      </c>
      <c r="W162" s="29">
        <v>1434.51</v>
      </c>
      <c r="X162" s="26">
        <v>85980</v>
      </c>
      <c r="Y162" s="35">
        <v>2.02</v>
      </c>
      <c r="Z162" s="1" t="s">
        <v>3013</v>
      </c>
      <c r="AA162" s="36">
        <v>141.1088</v>
      </c>
      <c r="AB162" s="54">
        <v>616.83930000000009</v>
      </c>
      <c r="AC162" s="54">
        <v>58.405049999999996</v>
      </c>
      <c r="AD162" s="36">
        <v>299.38929999999982</v>
      </c>
    </row>
    <row r="163" spans="1:30" s="37" customFormat="1" ht="15.75" customHeight="1" x14ac:dyDescent="0.2">
      <c r="A163" s="26">
        <v>510</v>
      </c>
      <c r="B163" s="27" t="s">
        <v>461</v>
      </c>
      <c r="C163" s="27" t="s">
        <v>48</v>
      </c>
      <c r="D163" s="28">
        <v>0.02</v>
      </c>
      <c r="E163" s="29">
        <v>48.04</v>
      </c>
      <c r="F163" s="29">
        <v>5.09</v>
      </c>
      <c r="G163" s="30" t="s">
        <v>39</v>
      </c>
      <c r="H163" s="27" t="s">
        <v>94</v>
      </c>
      <c r="I163" s="27" t="s">
        <v>49</v>
      </c>
      <c r="J163" s="27" t="s">
        <v>88</v>
      </c>
      <c r="K163" s="27" t="s">
        <v>73</v>
      </c>
      <c r="L163" s="31" t="s">
        <v>462</v>
      </c>
      <c r="M163" s="32">
        <v>0.37</v>
      </c>
      <c r="N163" s="27" t="s">
        <v>33</v>
      </c>
      <c r="O163" s="27" t="s">
        <v>60</v>
      </c>
      <c r="P163" s="27" t="s">
        <v>90</v>
      </c>
      <c r="Q163" s="27" t="s">
        <v>463</v>
      </c>
      <c r="R163" s="33">
        <v>95336</v>
      </c>
      <c r="S163" s="34">
        <v>42017</v>
      </c>
      <c r="T163" s="34">
        <v>42017</v>
      </c>
      <c r="U163" s="29">
        <v>105.2526</v>
      </c>
      <c r="V163" s="26">
        <v>3</v>
      </c>
      <c r="W163" s="29">
        <v>152.54</v>
      </c>
      <c r="X163" s="26">
        <v>90058</v>
      </c>
      <c r="Y163" s="35">
        <v>48.019999999999996</v>
      </c>
      <c r="Z163" s="1" t="s">
        <v>3013</v>
      </c>
      <c r="AA163" s="36">
        <v>2.8824000000000001</v>
      </c>
      <c r="AB163" s="54">
        <v>96.100200000000001</v>
      </c>
      <c r="AC163" s="54">
        <v>18.813266666666664</v>
      </c>
      <c r="AD163" s="36">
        <v>39.314999999999984</v>
      </c>
    </row>
    <row r="164" spans="1:30" s="37" customFormat="1" ht="15.75" customHeight="1" x14ac:dyDescent="0.2">
      <c r="A164" s="26">
        <v>2369</v>
      </c>
      <c r="B164" s="27" t="s">
        <v>470</v>
      </c>
      <c r="C164" s="27" t="s">
        <v>48</v>
      </c>
      <c r="D164" s="28">
        <v>7.0000000000000007E-2</v>
      </c>
      <c r="E164" s="29">
        <v>5.98</v>
      </c>
      <c r="F164" s="29">
        <v>5.79</v>
      </c>
      <c r="G164" s="30" t="s">
        <v>39</v>
      </c>
      <c r="H164" s="27" t="s">
        <v>40</v>
      </c>
      <c r="I164" s="27" t="s">
        <v>49</v>
      </c>
      <c r="J164" s="27" t="s">
        <v>88</v>
      </c>
      <c r="K164" s="27" t="s">
        <v>73</v>
      </c>
      <c r="L164" s="31" t="s">
        <v>471</v>
      </c>
      <c r="M164" s="32">
        <v>0.36</v>
      </c>
      <c r="N164" s="27" t="s">
        <v>33</v>
      </c>
      <c r="O164" s="27" t="s">
        <v>34</v>
      </c>
      <c r="P164" s="27" t="s">
        <v>123</v>
      </c>
      <c r="Q164" s="27" t="s">
        <v>472</v>
      </c>
      <c r="R164" s="33">
        <v>33024</v>
      </c>
      <c r="S164" s="34">
        <v>42017</v>
      </c>
      <c r="T164" s="34">
        <v>42019</v>
      </c>
      <c r="U164" s="29">
        <v>-41.972700000000003</v>
      </c>
      <c r="V164" s="26">
        <v>13</v>
      </c>
      <c r="W164" s="29">
        <v>77.42</v>
      </c>
      <c r="X164" s="26">
        <v>90408</v>
      </c>
      <c r="Y164" s="35">
        <v>7.9300000000000006</v>
      </c>
      <c r="Z164" s="1" t="s">
        <v>3011</v>
      </c>
      <c r="AA164" s="36">
        <v>5.4418000000000006</v>
      </c>
      <c r="AB164" s="54">
        <v>49.5488</v>
      </c>
      <c r="AC164" s="54">
        <v>2.1439384615384616</v>
      </c>
      <c r="AD164" s="36">
        <v>108.1609</v>
      </c>
    </row>
    <row r="165" spans="1:30" s="37" customFormat="1" ht="15.75" customHeight="1" x14ac:dyDescent="0.2">
      <c r="A165" s="26">
        <v>570</v>
      </c>
      <c r="B165" s="27" t="s">
        <v>464</v>
      </c>
      <c r="C165" s="27" t="s">
        <v>48</v>
      </c>
      <c r="D165" s="28">
        <v>0.06</v>
      </c>
      <c r="E165" s="29">
        <v>7.99</v>
      </c>
      <c r="F165" s="29">
        <v>5.03</v>
      </c>
      <c r="G165" s="30" t="s">
        <v>39</v>
      </c>
      <c r="H165" s="27" t="s">
        <v>40</v>
      </c>
      <c r="I165" s="27" t="s">
        <v>41</v>
      </c>
      <c r="J165" s="27" t="s">
        <v>135</v>
      </c>
      <c r="K165" s="27" t="s">
        <v>144</v>
      </c>
      <c r="L165" s="31" t="s">
        <v>465</v>
      </c>
      <c r="M165" s="32">
        <v>0.6</v>
      </c>
      <c r="N165" s="27" t="s">
        <v>33</v>
      </c>
      <c r="O165" s="27" t="s">
        <v>60</v>
      </c>
      <c r="P165" s="27" t="s">
        <v>296</v>
      </c>
      <c r="Q165" s="27" t="s">
        <v>466</v>
      </c>
      <c r="R165" s="33">
        <v>89015</v>
      </c>
      <c r="S165" s="34">
        <v>42017</v>
      </c>
      <c r="T165" s="34">
        <v>42017</v>
      </c>
      <c r="U165" s="29">
        <v>-122.133</v>
      </c>
      <c r="V165" s="26">
        <v>10</v>
      </c>
      <c r="W165" s="29">
        <v>65.739999999999995</v>
      </c>
      <c r="X165" s="26">
        <v>88881</v>
      </c>
      <c r="Y165" s="35">
        <v>4.4200000000000008</v>
      </c>
      <c r="Z165" s="1" t="s">
        <v>3013</v>
      </c>
      <c r="AA165" s="36">
        <v>4.7939999999999996</v>
      </c>
      <c r="AB165" s="54">
        <v>26.295999999999999</v>
      </c>
      <c r="AC165" s="54">
        <v>3.9443999999999999</v>
      </c>
      <c r="AD165" s="36">
        <v>178.04899999999998</v>
      </c>
    </row>
    <row r="166" spans="1:30" s="37" customFormat="1" ht="15.75" customHeight="1" x14ac:dyDescent="0.2">
      <c r="A166" s="26">
        <v>576</v>
      </c>
      <c r="B166" s="27" t="s">
        <v>467</v>
      </c>
      <c r="C166" s="27" t="s">
        <v>48</v>
      </c>
      <c r="D166" s="28">
        <v>0.06</v>
      </c>
      <c r="E166" s="29">
        <v>4.4800000000000004</v>
      </c>
      <c r="F166" s="29">
        <v>49</v>
      </c>
      <c r="G166" s="30" t="s">
        <v>39</v>
      </c>
      <c r="H166" s="27" t="s">
        <v>94</v>
      </c>
      <c r="I166" s="27" t="s">
        <v>49</v>
      </c>
      <c r="J166" s="27" t="s">
        <v>95</v>
      </c>
      <c r="K166" s="27" t="s">
        <v>65</v>
      </c>
      <c r="L166" s="31" t="s">
        <v>468</v>
      </c>
      <c r="M166" s="32">
        <v>0.6</v>
      </c>
      <c r="N166" s="27" t="s">
        <v>33</v>
      </c>
      <c r="O166" s="27" t="s">
        <v>60</v>
      </c>
      <c r="P166" s="27" t="s">
        <v>90</v>
      </c>
      <c r="Q166" s="27" t="s">
        <v>469</v>
      </c>
      <c r="R166" s="33">
        <v>91767</v>
      </c>
      <c r="S166" s="34">
        <v>42017</v>
      </c>
      <c r="T166" s="34">
        <v>42021</v>
      </c>
      <c r="U166" s="29">
        <v>-566</v>
      </c>
      <c r="V166" s="26">
        <v>4</v>
      </c>
      <c r="W166" s="29">
        <v>32.6</v>
      </c>
      <c r="X166" s="26">
        <v>88645</v>
      </c>
      <c r="Y166" s="35">
        <v>5.91</v>
      </c>
      <c r="Z166" s="1" t="s">
        <v>3013</v>
      </c>
      <c r="AA166" s="36">
        <v>1.0752000000000002</v>
      </c>
      <c r="AB166" s="54">
        <v>13.040000000000001</v>
      </c>
      <c r="AC166" s="54">
        <v>4.8899999999999997</v>
      </c>
      <c r="AD166" s="36">
        <v>548.52480000000003</v>
      </c>
    </row>
    <row r="167" spans="1:30" s="37" customFormat="1" ht="15.75" customHeight="1" x14ac:dyDescent="0.2">
      <c r="A167" s="26">
        <v>2338</v>
      </c>
      <c r="B167" s="27" t="s">
        <v>458</v>
      </c>
      <c r="C167" s="27" t="s">
        <v>26</v>
      </c>
      <c r="D167" s="28">
        <v>0.06</v>
      </c>
      <c r="E167" s="29">
        <v>2.08</v>
      </c>
      <c r="F167" s="29">
        <v>5.33</v>
      </c>
      <c r="G167" s="30" t="s">
        <v>39</v>
      </c>
      <c r="H167" s="27" t="s">
        <v>71</v>
      </c>
      <c r="I167" s="27" t="s">
        <v>29</v>
      </c>
      <c r="J167" s="27" t="s">
        <v>126</v>
      </c>
      <c r="K167" s="27" t="s">
        <v>73</v>
      </c>
      <c r="L167" s="31" t="s">
        <v>459</v>
      </c>
      <c r="M167" s="32">
        <v>0.43</v>
      </c>
      <c r="N167" s="27" t="s">
        <v>33</v>
      </c>
      <c r="O167" s="27" t="s">
        <v>111</v>
      </c>
      <c r="P167" s="27" t="s">
        <v>418</v>
      </c>
      <c r="Q167" s="27" t="s">
        <v>460</v>
      </c>
      <c r="R167" s="33">
        <v>20740</v>
      </c>
      <c r="S167" s="34">
        <v>42017</v>
      </c>
      <c r="T167" s="34">
        <v>42017</v>
      </c>
      <c r="U167" s="29">
        <v>-82.559200000000004</v>
      </c>
      <c r="V167" s="26">
        <v>4</v>
      </c>
      <c r="W167" s="29">
        <v>9.23</v>
      </c>
      <c r="X167" s="26">
        <v>91480</v>
      </c>
      <c r="Y167" s="35">
        <v>125.91</v>
      </c>
      <c r="Z167" s="1" t="s">
        <v>3014</v>
      </c>
      <c r="AA167" s="36">
        <v>0.49919999999999998</v>
      </c>
      <c r="AB167" s="54">
        <v>5.2611000000000008</v>
      </c>
      <c r="AC167" s="54">
        <v>0.99222500000000002</v>
      </c>
      <c r="AD167" s="36">
        <v>85.960000000000008</v>
      </c>
    </row>
    <row r="168" spans="1:30" s="37" customFormat="1" ht="15.75" customHeight="1" x14ac:dyDescent="0.2">
      <c r="A168" s="26">
        <v>3149</v>
      </c>
      <c r="B168" s="27" t="s">
        <v>492</v>
      </c>
      <c r="C168" s="27" t="s">
        <v>116</v>
      </c>
      <c r="D168" s="28">
        <v>0.06</v>
      </c>
      <c r="E168" s="29">
        <v>320.98</v>
      </c>
      <c r="F168" s="29">
        <v>58.95</v>
      </c>
      <c r="G168" s="30" t="s">
        <v>27</v>
      </c>
      <c r="H168" s="27" t="s">
        <v>94</v>
      </c>
      <c r="I168" s="27" t="s">
        <v>29</v>
      </c>
      <c r="J168" s="27" t="s">
        <v>109</v>
      </c>
      <c r="K168" s="27" t="s">
        <v>58</v>
      </c>
      <c r="L168" s="31" t="s">
        <v>493</v>
      </c>
      <c r="M168" s="32">
        <v>0.56999999999999995</v>
      </c>
      <c r="N168" s="27" t="s">
        <v>33</v>
      </c>
      <c r="O168" s="27" t="s">
        <v>60</v>
      </c>
      <c r="P168" s="27" t="s">
        <v>490</v>
      </c>
      <c r="Q168" s="27" t="s">
        <v>494</v>
      </c>
      <c r="R168" s="33">
        <v>83440</v>
      </c>
      <c r="S168" s="34">
        <v>42018</v>
      </c>
      <c r="T168" s="34">
        <v>42020</v>
      </c>
      <c r="U168" s="29">
        <v>971.62199999999996</v>
      </c>
      <c r="V168" s="26">
        <v>6</v>
      </c>
      <c r="W168" s="29">
        <v>1952.43</v>
      </c>
      <c r="X168" s="26">
        <v>89716</v>
      </c>
      <c r="Y168" s="35">
        <v>7.6899999999999995</v>
      </c>
      <c r="Z168" s="1" t="s">
        <v>3013</v>
      </c>
      <c r="AA168" s="36">
        <v>115.5528</v>
      </c>
      <c r="AB168" s="54">
        <v>839.5449000000001</v>
      </c>
      <c r="AC168" s="54">
        <v>185.48085</v>
      </c>
      <c r="AD168" s="36">
        <v>806.30520000000024</v>
      </c>
    </row>
    <row r="169" spans="1:30" s="37" customFormat="1" ht="15.75" customHeight="1" x14ac:dyDescent="0.2">
      <c r="A169" s="26">
        <v>463</v>
      </c>
      <c r="B169" s="27" t="s">
        <v>482</v>
      </c>
      <c r="C169" s="27" t="s">
        <v>48</v>
      </c>
      <c r="D169" s="28">
        <v>7.0000000000000007E-2</v>
      </c>
      <c r="E169" s="29">
        <v>165.2</v>
      </c>
      <c r="F169" s="29">
        <v>19.989999999999998</v>
      </c>
      <c r="G169" s="30" t="s">
        <v>39</v>
      </c>
      <c r="H169" s="27" t="s">
        <v>3095</v>
      </c>
      <c r="I169" s="27" t="s">
        <v>49</v>
      </c>
      <c r="J169" s="27" t="s">
        <v>78</v>
      </c>
      <c r="K169" s="27" t="s">
        <v>73</v>
      </c>
      <c r="L169" s="31" t="s">
        <v>483</v>
      </c>
      <c r="M169" s="32">
        <v>0.59</v>
      </c>
      <c r="N169" s="27" t="s">
        <v>33</v>
      </c>
      <c r="O169" s="27" t="s">
        <v>60</v>
      </c>
      <c r="P169" s="27" t="s">
        <v>90</v>
      </c>
      <c r="Q169" s="27" t="s">
        <v>484</v>
      </c>
      <c r="R169" s="33">
        <v>90069</v>
      </c>
      <c r="S169" s="34">
        <v>42018</v>
      </c>
      <c r="T169" s="34">
        <v>42020</v>
      </c>
      <c r="U169" s="29">
        <v>521.69000000000005</v>
      </c>
      <c r="V169" s="26">
        <v>7</v>
      </c>
      <c r="W169" s="29">
        <v>1081.54</v>
      </c>
      <c r="X169" s="26">
        <v>88061</v>
      </c>
      <c r="Y169" s="35">
        <v>18.869999999999997</v>
      </c>
      <c r="Z169" s="1" t="s">
        <v>3013</v>
      </c>
      <c r="AA169" s="36">
        <v>80.948000000000008</v>
      </c>
      <c r="AB169" s="54">
        <v>443.4314</v>
      </c>
      <c r="AC169" s="54">
        <v>91.158371428571414</v>
      </c>
      <c r="AD169" s="36">
        <v>458.91199999999992</v>
      </c>
    </row>
    <row r="170" spans="1:30" s="37" customFormat="1" ht="15.75" customHeight="1" x14ac:dyDescent="0.2">
      <c r="A170" s="26">
        <v>3225</v>
      </c>
      <c r="B170" s="27" t="s">
        <v>498</v>
      </c>
      <c r="C170" s="27" t="s">
        <v>3094</v>
      </c>
      <c r="D170" s="28">
        <v>0.1</v>
      </c>
      <c r="E170" s="29">
        <v>208.16</v>
      </c>
      <c r="F170" s="29">
        <v>68.02</v>
      </c>
      <c r="G170" s="30" t="s">
        <v>27</v>
      </c>
      <c r="H170" s="27" t="s">
        <v>3095</v>
      </c>
      <c r="I170" s="27" t="s">
        <v>49</v>
      </c>
      <c r="J170" s="27" t="s">
        <v>95</v>
      </c>
      <c r="K170" s="27" t="s">
        <v>58</v>
      </c>
      <c r="L170" s="31" t="s">
        <v>499</v>
      </c>
      <c r="M170" s="32">
        <v>0.57999999999999996</v>
      </c>
      <c r="N170" s="27" t="s">
        <v>33</v>
      </c>
      <c r="O170" s="27" t="s">
        <v>34</v>
      </c>
      <c r="P170" s="27" t="s">
        <v>400</v>
      </c>
      <c r="Q170" s="27" t="s">
        <v>500</v>
      </c>
      <c r="R170" s="33">
        <v>38138</v>
      </c>
      <c r="S170" s="34">
        <v>42018</v>
      </c>
      <c r="T170" s="34">
        <v>42018</v>
      </c>
      <c r="U170" s="29">
        <v>-137.52199999999999</v>
      </c>
      <c r="V170" s="26">
        <v>4</v>
      </c>
      <c r="W170" s="29">
        <v>768.81</v>
      </c>
      <c r="X170" s="26">
        <v>86507</v>
      </c>
      <c r="Y170" s="35">
        <v>115.91</v>
      </c>
      <c r="Z170" s="1" t="s">
        <v>3011</v>
      </c>
      <c r="AA170" s="36">
        <v>83.26400000000001</v>
      </c>
      <c r="AB170" s="54">
        <v>322.90019999999998</v>
      </c>
      <c r="AC170" s="54">
        <v>111.47744999999999</v>
      </c>
      <c r="AD170" s="36">
        <v>755.04799999999989</v>
      </c>
    </row>
    <row r="171" spans="1:30" s="37" customFormat="1" ht="15.75" customHeight="1" x14ac:dyDescent="0.2">
      <c r="A171" s="26">
        <v>1636</v>
      </c>
      <c r="B171" s="27" t="s">
        <v>428</v>
      </c>
      <c r="C171" s="27" t="s">
        <v>26</v>
      </c>
      <c r="D171" s="28">
        <v>0.08</v>
      </c>
      <c r="E171" s="29">
        <v>115.99</v>
      </c>
      <c r="F171" s="29">
        <v>56.14</v>
      </c>
      <c r="G171" s="30" t="s">
        <v>27</v>
      </c>
      <c r="H171" s="27" t="s">
        <v>71</v>
      </c>
      <c r="I171" s="27" t="s">
        <v>41</v>
      </c>
      <c r="J171" s="27" t="s">
        <v>57</v>
      </c>
      <c r="K171" s="27" t="s">
        <v>58</v>
      </c>
      <c r="L171" s="31" t="s">
        <v>480</v>
      </c>
      <c r="M171" s="32">
        <v>0.4</v>
      </c>
      <c r="N171" s="27" t="s">
        <v>33</v>
      </c>
      <c r="O171" s="27" t="s">
        <v>60</v>
      </c>
      <c r="P171" s="27" t="s">
        <v>90</v>
      </c>
      <c r="Q171" s="27" t="s">
        <v>430</v>
      </c>
      <c r="R171" s="33">
        <v>93905</v>
      </c>
      <c r="S171" s="34">
        <v>42018</v>
      </c>
      <c r="T171" s="34">
        <v>42020</v>
      </c>
      <c r="U171" s="29">
        <v>-272.860884</v>
      </c>
      <c r="V171" s="26">
        <v>5</v>
      </c>
      <c r="W171" s="29">
        <v>562.92999999999995</v>
      </c>
      <c r="X171" s="26">
        <v>89704</v>
      </c>
      <c r="Y171" s="35">
        <v>4.2</v>
      </c>
      <c r="Z171" s="1" t="s">
        <v>3013</v>
      </c>
      <c r="AA171" s="36">
        <v>46.396000000000001</v>
      </c>
      <c r="AB171" s="54">
        <v>337.75799999999998</v>
      </c>
      <c r="AC171" s="54">
        <v>45.034399999999998</v>
      </c>
      <c r="AD171" s="36">
        <v>733.25488399999995</v>
      </c>
    </row>
    <row r="172" spans="1:30" s="37" customFormat="1" ht="15.75" customHeight="1" x14ac:dyDescent="0.2">
      <c r="A172" s="26">
        <v>2820</v>
      </c>
      <c r="B172" s="27" t="s">
        <v>495</v>
      </c>
      <c r="C172" s="27" t="s">
        <v>3094</v>
      </c>
      <c r="D172" s="28">
        <v>0.1</v>
      </c>
      <c r="E172" s="29">
        <v>22.01</v>
      </c>
      <c r="F172" s="29">
        <v>5.53</v>
      </c>
      <c r="G172" s="30" t="s">
        <v>39</v>
      </c>
      <c r="H172" s="27" t="s">
        <v>71</v>
      </c>
      <c r="I172" s="27" t="s">
        <v>49</v>
      </c>
      <c r="J172" s="27" t="s">
        <v>50</v>
      </c>
      <c r="K172" s="27" t="s">
        <v>43</v>
      </c>
      <c r="L172" s="31" t="s">
        <v>496</v>
      </c>
      <c r="M172" s="32">
        <v>0.59</v>
      </c>
      <c r="N172" s="27" t="s">
        <v>33</v>
      </c>
      <c r="O172" s="27" t="s">
        <v>53</v>
      </c>
      <c r="P172" s="27" t="s">
        <v>80</v>
      </c>
      <c r="Q172" s="27" t="s">
        <v>497</v>
      </c>
      <c r="R172" s="33">
        <v>63129</v>
      </c>
      <c r="S172" s="34">
        <v>42018</v>
      </c>
      <c r="T172" s="34">
        <v>42019</v>
      </c>
      <c r="U172" s="29">
        <v>31.59</v>
      </c>
      <c r="V172" s="26">
        <v>14</v>
      </c>
      <c r="W172" s="29">
        <v>281.75</v>
      </c>
      <c r="X172" s="26">
        <v>87900</v>
      </c>
      <c r="Y172" s="35">
        <v>165.13</v>
      </c>
      <c r="Z172" s="1" t="s">
        <v>3012</v>
      </c>
      <c r="AA172" s="36">
        <v>30.814</v>
      </c>
      <c r="AB172" s="54">
        <v>115.51750000000001</v>
      </c>
      <c r="AC172" s="54">
        <v>11.873749999999999</v>
      </c>
      <c r="AD172" s="36">
        <v>213.816</v>
      </c>
    </row>
    <row r="173" spans="1:30" s="37" customFormat="1" ht="15.75" customHeight="1" x14ac:dyDescent="0.2">
      <c r="A173" s="26">
        <v>3226</v>
      </c>
      <c r="B173" s="27" t="s">
        <v>501</v>
      </c>
      <c r="C173" s="27" t="s">
        <v>3094</v>
      </c>
      <c r="D173" s="28">
        <v>7.0000000000000007E-2</v>
      </c>
      <c r="E173" s="29">
        <v>90.48</v>
      </c>
      <c r="F173" s="29">
        <v>19.989999999999998</v>
      </c>
      <c r="G173" s="30" t="s">
        <v>39</v>
      </c>
      <c r="H173" s="27" t="s">
        <v>3095</v>
      </c>
      <c r="I173" s="27" t="s">
        <v>49</v>
      </c>
      <c r="J173" s="27" t="s">
        <v>345</v>
      </c>
      <c r="K173" s="27" t="s">
        <v>73</v>
      </c>
      <c r="L173" s="31" t="s">
        <v>502</v>
      </c>
      <c r="M173" s="32">
        <v>0.4</v>
      </c>
      <c r="N173" s="27" t="s">
        <v>33</v>
      </c>
      <c r="O173" s="27" t="s">
        <v>34</v>
      </c>
      <c r="P173" s="27" t="s">
        <v>400</v>
      </c>
      <c r="Q173" s="27" t="s">
        <v>503</v>
      </c>
      <c r="R173" s="33">
        <v>37075</v>
      </c>
      <c r="S173" s="34">
        <v>42018</v>
      </c>
      <c r="T173" s="34">
        <v>42019</v>
      </c>
      <c r="U173" s="29">
        <v>-11.816000000000001</v>
      </c>
      <c r="V173" s="26">
        <v>2</v>
      </c>
      <c r="W173" s="29">
        <v>183.39</v>
      </c>
      <c r="X173" s="26">
        <v>86507</v>
      </c>
      <c r="Y173" s="35">
        <v>6.42</v>
      </c>
      <c r="Z173" s="1" t="s">
        <v>3011</v>
      </c>
      <c r="AA173" s="36">
        <v>12.667200000000001</v>
      </c>
      <c r="AB173" s="54">
        <v>110.03399999999999</v>
      </c>
      <c r="AC173" s="54">
        <v>36.677999999999997</v>
      </c>
      <c r="AD173" s="36">
        <v>162.54879999999997</v>
      </c>
    </row>
    <row r="174" spans="1:30" s="37" customFormat="1" ht="15.75" customHeight="1" x14ac:dyDescent="0.2">
      <c r="A174" s="26">
        <v>3148</v>
      </c>
      <c r="B174" s="27" t="s">
        <v>488</v>
      </c>
      <c r="C174" s="27" t="s">
        <v>116</v>
      </c>
      <c r="D174" s="28">
        <v>0.06</v>
      </c>
      <c r="E174" s="29">
        <v>19.989999999999998</v>
      </c>
      <c r="F174" s="29">
        <v>11.17</v>
      </c>
      <c r="G174" s="30" t="s">
        <v>39</v>
      </c>
      <c r="H174" s="27" t="s">
        <v>94</v>
      </c>
      <c r="I174" s="27" t="s">
        <v>29</v>
      </c>
      <c r="J174" s="27" t="s">
        <v>126</v>
      </c>
      <c r="K174" s="27" t="s">
        <v>65</v>
      </c>
      <c r="L174" s="31" t="s">
        <v>489</v>
      </c>
      <c r="M174" s="32">
        <v>0.6</v>
      </c>
      <c r="N174" s="27" t="s">
        <v>33</v>
      </c>
      <c r="O174" s="27" t="s">
        <v>60</v>
      </c>
      <c r="P174" s="27" t="s">
        <v>490</v>
      </c>
      <c r="Q174" s="27" t="s">
        <v>491</v>
      </c>
      <c r="R174" s="33">
        <v>83854</v>
      </c>
      <c r="S174" s="34">
        <v>42018</v>
      </c>
      <c r="T174" s="34">
        <v>42018</v>
      </c>
      <c r="U174" s="29">
        <v>-66.823599999999999</v>
      </c>
      <c r="V174" s="26">
        <v>7</v>
      </c>
      <c r="W174" s="29">
        <v>139.49</v>
      </c>
      <c r="X174" s="26">
        <v>89716</v>
      </c>
      <c r="Y174" s="35">
        <v>19.93</v>
      </c>
      <c r="Z174" s="1" t="s">
        <v>3013</v>
      </c>
      <c r="AA174" s="36">
        <v>8.3957999999999977</v>
      </c>
      <c r="AB174" s="54">
        <v>55.796000000000006</v>
      </c>
      <c r="AC174" s="54">
        <v>11.956285714285714</v>
      </c>
      <c r="AD174" s="36">
        <v>186.74780000000001</v>
      </c>
    </row>
    <row r="175" spans="1:30" s="37" customFormat="1" ht="15.75" customHeight="1" x14ac:dyDescent="0.2">
      <c r="A175" s="26">
        <v>772</v>
      </c>
      <c r="B175" s="27" t="s">
        <v>476</v>
      </c>
      <c r="C175" s="27" t="s">
        <v>26</v>
      </c>
      <c r="D175" s="28">
        <v>0.1</v>
      </c>
      <c r="E175" s="29">
        <v>18.97</v>
      </c>
      <c r="F175" s="29">
        <v>9.5399999999999991</v>
      </c>
      <c r="G175" s="30" t="s">
        <v>87</v>
      </c>
      <c r="H175" s="27" t="s">
        <v>3095</v>
      </c>
      <c r="I175" s="27" t="s">
        <v>49</v>
      </c>
      <c r="J175" s="27" t="s">
        <v>88</v>
      </c>
      <c r="K175" s="27" t="s">
        <v>73</v>
      </c>
      <c r="L175" s="31" t="s">
        <v>479</v>
      </c>
      <c r="M175" s="32">
        <v>0.37</v>
      </c>
      <c r="N175" s="27" t="s">
        <v>33</v>
      </c>
      <c r="O175" s="27" t="s">
        <v>111</v>
      </c>
      <c r="P175" s="27" t="s">
        <v>320</v>
      </c>
      <c r="Q175" s="27" t="s">
        <v>478</v>
      </c>
      <c r="R175" s="33">
        <v>18103</v>
      </c>
      <c r="S175" s="34">
        <v>42018</v>
      </c>
      <c r="T175" s="34">
        <v>42020</v>
      </c>
      <c r="U175" s="29">
        <v>-9.1636000000000006</v>
      </c>
      <c r="V175" s="26">
        <v>3</v>
      </c>
      <c r="W175" s="29">
        <v>56.73</v>
      </c>
      <c r="X175" s="26">
        <v>88666</v>
      </c>
      <c r="Y175" s="35">
        <v>320.92</v>
      </c>
      <c r="Z175" s="1" t="s">
        <v>3014</v>
      </c>
      <c r="AA175" s="36">
        <v>5.6909999999999998</v>
      </c>
      <c r="AB175" s="54">
        <v>35.739899999999999</v>
      </c>
      <c r="AC175" s="54">
        <v>6.9966999999999997</v>
      </c>
      <c r="AD175" s="36">
        <v>50.662599999999998</v>
      </c>
    </row>
    <row r="176" spans="1:30" s="37" customFormat="1" ht="15.75" customHeight="1" x14ac:dyDescent="0.2">
      <c r="A176" s="26">
        <v>3064</v>
      </c>
      <c r="B176" s="27" t="s">
        <v>485</v>
      </c>
      <c r="C176" s="27" t="s">
        <v>48</v>
      </c>
      <c r="D176" s="28">
        <v>0.03</v>
      </c>
      <c r="E176" s="29">
        <v>6.45</v>
      </c>
      <c r="F176" s="29">
        <v>1.34</v>
      </c>
      <c r="G176" s="30" t="s">
        <v>39</v>
      </c>
      <c r="H176" s="27" t="s">
        <v>40</v>
      </c>
      <c r="I176" s="27" t="s">
        <v>49</v>
      </c>
      <c r="J176" s="27" t="s">
        <v>88</v>
      </c>
      <c r="K176" s="27" t="s">
        <v>51</v>
      </c>
      <c r="L176" s="31" t="s">
        <v>486</v>
      </c>
      <c r="M176" s="32">
        <v>0.36</v>
      </c>
      <c r="N176" s="27" t="s">
        <v>33</v>
      </c>
      <c r="O176" s="27" t="s">
        <v>60</v>
      </c>
      <c r="P176" s="27" t="s">
        <v>67</v>
      </c>
      <c r="Q176" s="27" t="s">
        <v>487</v>
      </c>
      <c r="R176" s="33">
        <v>98503</v>
      </c>
      <c r="S176" s="34">
        <v>42018</v>
      </c>
      <c r="T176" s="34">
        <v>42023</v>
      </c>
      <c r="U176" s="29">
        <v>39.129899999999999</v>
      </c>
      <c r="V176" s="26">
        <v>9</v>
      </c>
      <c r="W176" s="29">
        <v>56.71</v>
      </c>
      <c r="X176" s="26">
        <v>88448</v>
      </c>
      <c r="Y176" s="35">
        <v>21.91</v>
      </c>
      <c r="Z176" s="1" t="s">
        <v>3013</v>
      </c>
      <c r="AA176" s="36">
        <v>1.7415</v>
      </c>
      <c r="AB176" s="54">
        <v>36.294400000000003</v>
      </c>
      <c r="AC176" s="54">
        <v>2.2683999999999997</v>
      </c>
      <c r="AD176" s="36">
        <v>14.498599999999996</v>
      </c>
    </row>
    <row r="177" spans="1:30" s="37" customFormat="1" ht="15.75" customHeight="1" x14ac:dyDescent="0.2">
      <c r="A177" s="26">
        <v>772</v>
      </c>
      <c r="B177" s="27" t="s">
        <v>476</v>
      </c>
      <c r="C177" s="27" t="s">
        <v>26</v>
      </c>
      <c r="D177" s="28">
        <v>0.08</v>
      </c>
      <c r="E177" s="29">
        <v>7.77</v>
      </c>
      <c r="F177" s="29">
        <v>9.23</v>
      </c>
      <c r="G177" s="30" t="s">
        <v>39</v>
      </c>
      <c r="H177" s="27" t="s">
        <v>3095</v>
      </c>
      <c r="I177" s="27" t="s">
        <v>49</v>
      </c>
      <c r="J177" s="27" t="s">
        <v>95</v>
      </c>
      <c r="K177" s="27" t="s">
        <v>73</v>
      </c>
      <c r="L177" s="31" t="s">
        <v>477</v>
      </c>
      <c r="M177" s="32">
        <v>0.57999999999999996</v>
      </c>
      <c r="N177" s="27" t="s">
        <v>33</v>
      </c>
      <c r="O177" s="27" t="s">
        <v>111</v>
      </c>
      <c r="P177" s="27" t="s">
        <v>320</v>
      </c>
      <c r="Q177" s="27" t="s">
        <v>478</v>
      </c>
      <c r="R177" s="33">
        <v>18103</v>
      </c>
      <c r="S177" s="34">
        <v>42018</v>
      </c>
      <c r="T177" s="34">
        <v>42020</v>
      </c>
      <c r="U177" s="29">
        <v>-209.25</v>
      </c>
      <c r="V177" s="26">
        <v>7</v>
      </c>
      <c r="W177" s="29">
        <v>56.44</v>
      </c>
      <c r="X177" s="26">
        <v>88666</v>
      </c>
      <c r="Y177" s="35">
        <v>208.06</v>
      </c>
      <c r="Z177" s="1" t="s">
        <v>3014</v>
      </c>
      <c r="AA177" s="36">
        <v>4.3511999999999995</v>
      </c>
      <c r="AB177" s="54">
        <v>23.704800000000002</v>
      </c>
      <c r="AC177" s="54">
        <v>4.6764571428571422</v>
      </c>
      <c r="AD177" s="36">
        <v>252.1088</v>
      </c>
    </row>
    <row r="178" spans="1:30" s="37" customFormat="1" ht="15.75" customHeight="1" x14ac:dyDescent="0.2">
      <c r="A178" s="26">
        <v>1636</v>
      </c>
      <c r="B178" s="27" t="s">
        <v>428</v>
      </c>
      <c r="C178" s="27" t="s">
        <v>26</v>
      </c>
      <c r="D178" s="28">
        <v>0.08</v>
      </c>
      <c r="E178" s="29">
        <v>4.28</v>
      </c>
      <c r="F178" s="29">
        <v>0.94</v>
      </c>
      <c r="G178" s="30" t="s">
        <v>39</v>
      </c>
      <c r="H178" s="27" t="s">
        <v>71</v>
      </c>
      <c r="I178" s="27" t="s">
        <v>49</v>
      </c>
      <c r="J178" s="27" t="s">
        <v>50</v>
      </c>
      <c r="K178" s="27" t="s">
        <v>51</v>
      </c>
      <c r="L178" s="31" t="s">
        <v>481</v>
      </c>
      <c r="M178" s="32">
        <v>0.56000000000000005</v>
      </c>
      <c r="N178" s="27" t="s">
        <v>33</v>
      </c>
      <c r="O178" s="27" t="s">
        <v>60</v>
      </c>
      <c r="P178" s="27" t="s">
        <v>90</v>
      </c>
      <c r="Q178" s="27" t="s">
        <v>430</v>
      </c>
      <c r="R178" s="33">
        <v>93905</v>
      </c>
      <c r="S178" s="34">
        <v>42018</v>
      </c>
      <c r="T178" s="34">
        <v>42021</v>
      </c>
      <c r="U178" s="29">
        <v>10.5792</v>
      </c>
      <c r="V178" s="26">
        <v>7</v>
      </c>
      <c r="W178" s="29">
        <v>29.18</v>
      </c>
      <c r="X178" s="26">
        <v>89704</v>
      </c>
      <c r="Y178" s="35">
        <v>90.410000000000011</v>
      </c>
      <c r="Z178" s="1" t="s">
        <v>3013</v>
      </c>
      <c r="AA178" s="36">
        <v>2.3968000000000003</v>
      </c>
      <c r="AB178" s="54">
        <v>12.839199999999998</v>
      </c>
      <c r="AC178" s="54">
        <v>2.3344</v>
      </c>
      <c r="AD178" s="36">
        <v>15.263999999999999</v>
      </c>
    </row>
    <row r="179" spans="1:30" s="37" customFormat="1" ht="15.75" customHeight="1" x14ac:dyDescent="0.2">
      <c r="A179" s="26">
        <v>3226</v>
      </c>
      <c r="B179" s="27" t="s">
        <v>501</v>
      </c>
      <c r="C179" s="27" t="s">
        <v>3094</v>
      </c>
      <c r="D179" s="28">
        <v>0.02</v>
      </c>
      <c r="E179" s="29">
        <v>4.28</v>
      </c>
      <c r="F179" s="29">
        <v>0.94</v>
      </c>
      <c r="G179" s="30" t="s">
        <v>39</v>
      </c>
      <c r="H179" s="27" t="s">
        <v>3095</v>
      </c>
      <c r="I179" s="27" t="s">
        <v>49</v>
      </c>
      <c r="J179" s="27" t="s">
        <v>50</v>
      </c>
      <c r="K179" s="27" t="s">
        <v>51</v>
      </c>
      <c r="L179" s="31" t="s">
        <v>481</v>
      </c>
      <c r="M179" s="32">
        <v>0.56000000000000005</v>
      </c>
      <c r="N179" s="27" t="s">
        <v>33</v>
      </c>
      <c r="O179" s="27" t="s">
        <v>34</v>
      </c>
      <c r="P179" s="27" t="s">
        <v>400</v>
      </c>
      <c r="Q179" s="27" t="s">
        <v>503</v>
      </c>
      <c r="R179" s="33">
        <v>37075</v>
      </c>
      <c r="S179" s="34">
        <v>42018</v>
      </c>
      <c r="T179" s="34">
        <v>42019</v>
      </c>
      <c r="U179" s="29">
        <v>-105.126</v>
      </c>
      <c r="V179" s="26">
        <v>4</v>
      </c>
      <c r="W179" s="29">
        <v>17.89</v>
      </c>
      <c r="X179" s="26">
        <v>86507</v>
      </c>
      <c r="Y179" s="35">
        <v>9.4700000000000006</v>
      </c>
      <c r="Z179" s="1" t="s">
        <v>3011</v>
      </c>
      <c r="AA179" s="36">
        <v>0.34240000000000004</v>
      </c>
      <c r="AB179" s="54">
        <v>7.871599999999999</v>
      </c>
      <c r="AC179" s="54">
        <v>2.5046000000000004</v>
      </c>
      <c r="AD179" s="36">
        <v>121.73360000000001</v>
      </c>
    </row>
    <row r="180" spans="1:30" s="37" customFormat="1" ht="15.75" customHeight="1" x14ac:dyDescent="0.2">
      <c r="A180" s="26">
        <v>3226</v>
      </c>
      <c r="B180" s="27" t="s">
        <v>501</v>
      </c>
      <c r="C180" s="27" t="s">
        <v>3094</v>
      </c>
      <c r="D180" s="28">
        <v>0.01</v>
      </c>
      <c r="E180" s="29">
        <v>9.48</v>
      </c>
      <c r="F180" s="29">
        <v>7.29</v>
      </c>
      <c r="G180" s="30" t="s">
        <v>87</v>
      </c>
      <c r="H180" s="27" t="s">
        <v>3095</v>
      </c>
      <c r="I180" s="27" t="s">
        <v>29</v>
      </c>
      <c r="J180" s="27" t="s">
        <v>126</v>
      </c>
      <c r="K180" s="27" t="s">
        <v>43</v>
      </c>
      <c r="L180" s="31" t="s">
        <v>504</v>
      </c>
      <c r="M180" s="32">
        <v>0.45</v>
      </c>
      <c r="N180" s="27" t="s">
        <v>33</v>
      </c>
      <c r="O180" s="27" t="s">
        <v>34</v>
      </c>
      <c r="P180" s="27" t="s">
        <v>400</v>
      </c>
      <c r="Q180" s="27" t="s">
        <v>503</v>
      </c>
      <c r="R180" s="33">
        <v>37075</v>
      </c>
      <c r="S180" s="34">
        <v>42018</v>
      </c>
      <c r="T180" s="34">
        <v>42020</v>
      </c>
      <c r="U180" s="29">
        <v>238.93379999999999</v>
      </c>
      <c r="V180" s="26">
        <v>1</v>
      </c>
      <c r="W180" s="29">
        <v>12.9</v>
      </c>
      <c r="X180" s="26">
        <v>86507</v>
      </c>
      <c r="Y180" s="35">
        <v>4.2600000000000007</v>
      </c>
      <c r="Z180" s="1" t="s">
        <v>3011</v>
      </c>
      <c r="AA180" s="36">
        <v>9.4800000000000009E-2</v>
      </c>
      <c r="AB180" s="54">
        <v>7.0950000000000006</v>
      </c>
      <c r="AC180" s="54">
        <v>5.8050000000000006</v>
      </c>
      <c r="AD180" s="36">
        <v>-233.41859999999997</v>
      </c>
    </row>
    <row r="181" spans="1:30" s="37" customFormat="1" ht="15.75" customHeight="1" x14ac:dyDescent="0.2">
      <c r="A181" s="26">
        <v>1212</v>
      </c>
      <c r="B181" s="27" t="s">
        <v>515</v>
      </c>
      <c r="C181" s="27" t="s">
        <v>38</v>
      </c>
      <c r="D181" s="28">
        <v>0.01</v>
      </c>
      <c r="E181" s="29">
        <v>3499.99</v>
      </c>
      <c r="F181" s="29">
        <v>24.49</v>
      </c>
      <c r="G181" s="30" t="s">
        <v>39</v>
      </c>
      <c r="H181" s="27" t="s">
        <v>94</v>
      </c>
      <c r="I181" s="27" t="s">
        <v>41</v>
      </c>
      <c r="J181" s="27" t="s">
        <v>64</v>
      </c>
      <c r="K181" s="27" t="s">
        <v>65</v>
      </c>
      <c r="L181" s="31" t="s">
        <v>518</v>
      </c>
      <c r="M181" s="32">
        <v>0.37</v>
      </c>
      <c r="N181" s="27" t="s">
        <v>33</v>
      </c>
      <c r="O181" s="27" t="s">
        <v>53</v>
      </c>
      <c r="P181" s="27" t="s">
        <v>54</v>
      </c>
      <c r="Q181" s="27" t="s">
        <v>517</v>
      </c>
      <c r="R181" s="33">
        <v>46404</v>
      </c>
      <c r="S181" s="34">
        <v>42019</v>
      </c>
      <c r="T181" s="34">
        <v>42020</v>
      </c>
      <c r="U181" s="29">
        <v>-3061.82</v>
      </c>
      <c r="V181" s="26">
        <v>1</v>
      </c>
      <c r="W181" s="29">
        <v>3672.89</v>
      </c>
      <c r="X181" s="26">
        <v>88600</v>
      </c>
      <c r="Y181" s="35">
        <v>2.79</v>
      </c>
      <c r="Z181" s="1" t="s">
        <v>3012</v>
      </c>
      <c r="AA181" s="36">
        <v>34.999899999999997</v>
      </c>
      <c r="AB181" s="54">
        <v>2313.9207000000001</v>
      </c>
      <c r="AC181" s="54">
        <v>1358.9693</v>
      </c>
      <c r="AD181" s="36">
        <v>6675.2201000000005</v>
      </c>
    </row>
    <row r="182" spans="1:30" s="37" customFormat="1" ht="15.75" customHeight="1" x14ac:dyDescent="0.2">
      <c r="A182" s="26">
        <v>1402</v>
      </c>
      <c r="B182" s="27" t="s">
        <v>531</v>
      </c>
      <c r="C182" s="27" t="s">
        <v>3094</v>
      </c>
      <c r="D182" s="28">
        <v>0</v>
      </c>
      <c r="E182" s="29">
        <v>8.6</v>
      </c>
      <c r="F182" s="29">
        <v>6.19</v>
      </c>
      <c r="G182" s="30" t="s">
        <v>39</v>
      </c>
      <c r="H182" s="27" t="s">
        <v>94</v>
      </c>
      <c r="I182" s="27" t="s">
        <v>49</v>
      </c>
      <c r="J182" s="27" t="s">
        <v>72</v>
      </c>
      <c r="K182" s="27" t="s">
        <v>73</v>
      </c>
      <c r="L182" s="31" t="s">
        <v>532</v>
      </c>
      <c r="M182" s="32">
        <v>0.38</v>
      </c>
      <c r="N182" s="27" t="s">
        <v>33</v>
      </c>
      <c r="O182" s="27" t="s">
        <v>53</v>
      </c>
      <c r="P182" s="27" t="s">
        <v>103</v>
      </c>
      <c r="Q182" s="27" t="s">
        <v>533</v>
      </c>
      <c r="R182" s="33">
        <v>60653</v>
      </c>
      <c r="S182" s="34">
        <v>42019</v>
      </c>
      <c r="T182" s="34">
        <v>42019</v>
      </c>
      <c r="U182" s="29">
        <v>-42.8536</v>
      </c>
      <c r="V182" s="26">
        <v>48</v>
      </c>
      <c r="W182" s="29">
        <v>447.89</v>
      </c>
      <c r="X182" s="26">
        <v>37729</v>
      </c>
      <c r="Y182" s="35">
        <v>2.79</v>
      </c>
      <c r="Z182" s="1" t="s">
        <v>3012</v>
      </c>
      <c r="AA182" s="36">
        <v>0</v>
      </c>
      <c r="AB182" s="54">
        <v>277.6918</v>
      </c>
      <c r="AC182" s="54">
        <v>3.545795833333333</v>
      </c>
      <c r="AD182" s="36">
        <v>484.55359999999996</v>
      </c>
    </row>
    <row r="183" spans="1:30" s="37" customFormat="1" ht="15.75" customHeight="1" x14ac:dyDescent="0.2">
      <c r="A183" s="26">
        <v>428</v>
      </c>
      <c r="B183" s="27" t="s">
        <v>511</v>
      </c>
      <c r="C183" s="27" t="s">
        <v>38</v>
      </c>
      <c r="D183" s="28">
        <v>0.02</v>
      </c>
      <c r="E183" s="29">
        <v>15.28</v>
      </c>
      <c r="F183" s="29">
        <v>1.99</v>
      </c>
      <c r="G183" s="30" t="s">
        <v>39</v>
      </c>
      <c r="H183" s="27" t="s">
        <v>94</v>
      </c>
      <c r="I183" s="27" t="s">
        <v>41</v>
      </c>
      <c r="J183" s="27" t="s">
        <v>42</v>
      </c>
      <c r="K183" s="27" t="s">
        <v>43</v>
      </c>
      <c r="L183" s="31" t="s">
        <v>512</v>
      </c>
      <c r="M183" s="32">
        <v>0.42</v>
      </c>
      <c r="N183" s="27" t="s">
        <v>33</v>
      </c>
      <c r="O183" s="27" t="s">
        <v>60</v>
      </c>
      <c r="P183" s="27" t="s">
        <v>296</v>
      </c>
      <c r="Q183" s="27" t="s">
        <v>513</v>
      </c>
      <c r="R183" s="33">
        <v>89701</v>
      </c>
      <c r="S183" s="34">
        <v>42019</v>
      </c>
      <c r="T183" s="34">
        <v>42020</v>
      </c>
      <c r="U183" s="29">
        <v>163.1574</v>
      </c>
      <c r="V183" s="26">
        <v>15</v>
      </c>
      <c r="W183" s="29">
        <v>236.46</v>
      </c>
      <c r="X183" s="26">
        <v>88479</v>
      </c>
      <c r="Y183" s="35">
        <v>15.26</v>
      </c>
      <c r="Z183" s="1" t="s">
        <v>3013</v>
      </c>
      <c r="AA183" s="36">
        <v>4.5839999999999996</v>
      </c>
      <c r="AB183" s="54">
        <v>137.14680000000001</v>
      </c>
      <c r="AC183" s="54">
        <v>6.6208800000000005</v>
      </c>
      <c r="AD183" s="36">
        <v>66.7286</v>
      </c>
    </row>
    <row r="184" spans="1:30" s="37" customFormat="1" ht="15.75" customHeight="1" x14ac:dyDescent="0.2">
      <c r="A184" s="26">
        <v>1405</v>
      </c>
      <c r="B184" s="27" t="s">
        <v>534</v>
      </c>
      <c r="C184" s="27" t="s">
        <v>3094</v>
      </c>
      <c r="D184" s="28">
        <v>0</v>
      </c>
      <c r="E184" s="29">
        <v>8.6</v>
      </c>
      <c r="F184" s="29">
        <v>6.19</v>
      </c>
      <c r="G184" s="30" t="s">
        <v>39</v>
      </c>
      <c r="H184" s="27" t="s">
        <v>94</v>
      </c>
      <c r="I184" s="27" t="s">
        <v>49</v>
      </c>
      <c r="J184" s="27" t="s">
        <v>72</v>
      </c>
      <c r="K184" s="27" t="s">
        <v>73</v>
      </c>
      <c r="L184" s="31" t="s">
        <v>532</v>
      </c>
      <c r="M184" s="32">
        <v>0.38</v>
      </c>
      <c r="N184" s="27" t="s">
        <v>33</v>
      </c>
      <c r="O184" s="27" t="s">
        <v>53</v>
      </c>
      <c r="P184" s="27" t="s">
        <v>289</v>
      </c>
      <c r="Q184" s="27" t="s">
        <v>535</v>
      </c>
      <c r="R184" s="33">
        <v>49017</v>
      </c>
      <c r="S184" s="34">
        <v>42019</v>
      </c>
      <c r="T184" s="34">
        <v>42019</v>
      </c>
      <c r="U184" s="29">
        <v>-33.211539999999999</v>
      </c>
      <c r="V184" s="26">
        <v>12</v>
      </c>
      <c r="W184" s="29">
        <v>111.97</v>
      </c>
      <c r="X184" s="26">
        <v>86144</v>
      </c>
      <c r="Y184" s="35">
        <v>85.99</v>
      </c>
      <c r="Z184" s="1" t="s">
        <v>3012</v>
      </c>
      <c r="AA184" s="36">
        <v>0</v>
      </c>
      <c r="AB184" s="54">
        <v>69.421400000000006</v>
      </c>
      <c r="AC184" s="54">
        <v>3.5457166666666664</v>
      </c>
      <c r="AD184" s="36">
        <v>138.99153999999999</v>
      </c>
    </row>
    <row r="185" spans="1:30" s="37" customFormat="1" ht="15.75" customHeight="1" x14ac:dyDescent="0.2">
      <c r="A185" s="26">
        <v>3035</v>
      </c>
      <c r="B185" s="27" t="s">
        <v>524</v>
      </c>
      <c r="C185" s="27" t="s">
        <v>48</v>
      </c>
      <c r="D185" s="28">
        <v>0.04</v>
      </c>
      <c r="E185" s="29">
        <v>6.35</v>
      </c>
      <c r="F185" s="29">
        <v>1.02</v>
      </c>
      <c r="G185" s="30" t="s">
        <v>39</v>
      </c>
      <c r="H185" s="27" t="s">
        <v>71</v>
      </c>
      <c r="I185" s="27" t="s">
        <v>49</v>
      </c>
      <c r="J185" s="27" t="s">
        <v>88</v>
      </c>
      <c r="K185" s="27" t="s">
        <v>51</v>
      </c>
      <c r="L185" s="31" t="s">
        <v>527</v>
      </c>
      <c r="M185" s="32">
        <v>0.39</v>
      </c>
      <c r="N185" s="27" t="s">
        <v>33</v>
      </c>
      <c r="O185" s="27" t="s">
        <v>53</v>
      </c>
      <c r="P185" s="27" t="s">
        <v>103</v>
      </c>
      <c r="Q185" s="27" t="s">
        <v>526</v>
      </c>
      <c r="R185" s="33">
        <v>60148</v>
      </c>
      <c r="S185" s="34">
        <v>42019</v>
      </c>
      <c r="T185" s="34">
        <v>42024</v>
      </c>
      <c r="U185" s="29">
        <v>52.170900000000003</v>
      </c>
      <c r="V185" s="26">
        <v>12</v>
      </c>
      <c r="W185" s="29">
        <v>75.61</v>
      </c>
      <c r="X185" s="26">
        <v>89128</v>
      </c>
      <c r="Y185" s="35">
        <v>4.83</v>
      </c>
      <c r="Z185" s="1" t="s">
        <v>3012</v>
      </c>
      <c r="AA185" s="36">
        <v>3.048</v>
      </c>
      <c r="AB185" s="54">
        <v>46.122099999999996</v>
      </c>
      <c r="AC185" s="54">
        <v>2.457325</v>
      </c>
      <c r="AD185" s="36">
        <v>19.371099999999991</v>
      </c>
    </row>
    <row r="186" spans="1:30" s="37" customFormat="1" ht="15.75" customHeight="1" x14ac:dyDescent="0.2">
      <c r="A186" s="26">
        <v>428</v>
      </c>
      <c r="B186" s="27" t="s">
        <v>511</v>
      </c>
      <c r="C186" s="27" t="s">
        <v>38</v>
      </c>
      <c r="D186" s="28">
        <v>0</v>
      </c>
      <c r="E186" s="29">
        <v>85.99</v>
      </c>
      <c r="F186" s="29">
        <v>3.3</v>
      </c>
      <c r="G186" s="30" t="s">
        <v>39</v>
      </c>
      <c r="H186" s="27" t="s">
        <v>94</v>
      </c>
      <c r="I186" s="27" t="s">
        <v>41</v>
      </c>
      <c r="J186" s="27" t="s">
        <v>135</v>
      </c>
      <c r="K186" s="27" t="s">
        <v>43</v>
      </c>
      <c r="L186" s="31" t="s">
        <v>514</v>
      </c>
      <c r="M186" s="32">
        <v>0.37</v>
      </c>
      <c r="N186" s="27" t="s">
        <v>33</v>
      </c>
      <c r="O186" s="27" t="s">
        <v>60</v>
      </c>
      <c r="P186" s="27" t="s">
        <v>296</v>
      </c>
      <c r="Q186" s="27" t="s">
        <v>513</v>
      </c>
      <c r="R186" s="33">
        <v>89701</v>
      </c>
      <c r="S186" s="34">
        <v>42019</v>
      </c>
      <c r="T186" s="34">
        <v>42020</v>
      </c>
      <c r="U186" s="29">
        <v>-302.22500000000002</v>
      </c>
      <c r="V186" s="26">
        <v>1</v>
      </c>
      <c r="W186" s="29">
        <v>73.819999999999993</v>
      </c>
      <c r="X186" s="26">
        <v>88479</v>
      </c>
      <c r="Y186" s="35">
        <v>3499.9799999999996</v>
      </c>
      <c r="Z186" s="1" t="s">
        <v>3013</v>
      </c>
      <c r="AA186" s="36">
        <v>0</v>
      </c>
      <c r="AB186" s="54">
        <v>46.506599999999999</v>
      </c>
      <c r="AC186" s="54">
        <v>27.313399999999998</v>
      </c>
      <c r="AD186" s="36">
        <v>372.745</v>
      </c>
    </row>
    <row r="187" spans="1:30" s="37" customFormat="1" ht="15.75" customHeight="1" x14ac:dyDescent="0.2">
      <c r="A187" s="26">
        <v>1212</v>
      </c>
      <c r="B187" s="27" t="s">
        <v>515</v>
      </c>
      <c r="C187" s="27" t="s">
        <v>38</v>
      </c>
      <c r="D187" s="28">
        <v>0.08</v>
      </c>
      <c r="E187" s="29">
        <v>4.91</v>
      </c>
      <c r="F187" s="29">
        <v>4.97</v>
      </c>
      <c r="G187" s="30" t="s">
        <v>39</v>
      </c>
      <c r="H187" s="27" t="s">
        <v>94</v>
      </c>
      <c r="I187" s="27" t="s">
        <v>49</v>
      </c>
      <c r="J187" s="27" t="s">
        <v>72</v>
      </c>
      <c r="K187" s="27" t="s">
        <v>73</v>
      </c>
      <c r="L187" s="31" t="s">
        <v>516</v>
      </c>
      <c r="M187" s="32">
        <v>0.38</v>
      </c>
      <c r="N187" s="27" t="s">
        <v>33</v>
      </c>
      <c r="O187" s="27" t="s">
        <v>53</v>
      </c>
      <c r="P187" s="27" t="s">
        <v>54</v>
      </c>
      <c r="Q187" s="27" t="s">
        <v>517</v>
      </c>
      <c r="R187" s="33">
        <v>46404</v>
      </c>
      <c r="S187" s="34">
        <v>42019</v>
      </c>
      <c r="T187" s="34">
        <v>42020</v>
      </c>
      <c r="U187" s="29">
        <v>-99.762500000000003</v>
      </c>
      <c r="V187" s="26">
        <v>12</v>
      </c>
      <c r="W187" s="29">
        <v>58.95</v>
      </c>
      <c r="X187" s="26">
        <v>88600</v>
      </c>
      <c r="Y187" s="35">
        <v>5.81</v>
      </c>
      <c r="Z187" s="1" t="s">
        <v>3012</v>
      </c>
      <c r="AA187" s="36">
        <v>4.7136000000000005</v>
      </c>
      <c r="AB187" s="54">
        <v>36.548999999999999</v>
      </c>
      <c r="AC187" s="54">
        <v>1.8667500000000001</v>
      </c>
      <c r="AD187" s="36">
        <v>149.02890000000002</v>
      </c>
    </row>
    <row r="188" spans="1:30" s="37" customFormat="1" ht="15.75" customHeight="1" x14ac:dyDescent="0.2">
      <c r="A188" s="26">
        <v>3035</v>
      </c>
      <c r="B188" s="27" t="s">
        <v>524</v>
      </c>
      <c r="C188" s="27" t="s">
        <v>48</v>
      </c>
      <c r="D188" s="28">
        <v>0.01</v>
      </c>
      <c r="E188" s="29">
        <v>4.9800000000000004</v>
      </c>
      <c r="F188" s="29">
        <v>4.75</v>
      </c>
      <c r="G188" s="30" t="s">
        <v>39</v>
      </c>
      <c r="H188" s="27" t="s">
        <v>71</v>
      </c>
      <c r="I188" s="27" t="s">
        <v>49</v>
      </c>
      <c r="J188" s="27" t="s">
        <v>88</v>
      </c>
      <c r="K188" s="27" t="s">
        <v>73</v>
      </c>
      <c r="L188" s="31" t="s">
        <v>525</v>
      </c>
      <c r="M188" s="32">
        <v>0.36</v>
      </c>
      <c r="N188" s="27" t="s">
        <v>33</v>
      </c>
      <c r="O188" s="27" t="s">
        <v>53</v>
      </c>
      <c r="P188" s="27" t="s">
        <v>103</v>
      </c>
      <c r="Q188" s="27" t="s">
        <v>526</v>
      </c>
      <c r="R188" s="33">
        <v>60148</v>
      </c>
      <c r="S188" s="34">
        <v>42019</v>
      </c>
      <c r="T188" s="34">
        <v>42024</v>
      </c>
      <c r="U188" s="29">
        <v>-75.900400000000005</v>
      </c>
      <c r="V188" s="26">
        <v>10</v>
      </c>
      <c r="W188" s="29">
        <v>52.93</v>
      </c>
      <c r="X188" s="26">
        <v>89128</v>
      </c>
      <c r="Y188" s="35">
        <v>8.01</v>
      </c>
      <c r="Z188" s="1" t="s">
        <v>3012</v>
      </c>
      <c r="AA188" s="36">
        <v>0.49800000000000005</v>
      </c>
      <c r="AB188" s="54">
        <v>33.8752</v>
      </c>
      <c r="AC188" s="54">
        <v>1.9054800000000001</v>
      </c>
      <c r="AD188" s="36">
        <v>123.58240000000001</v>
      </c>
    </row>
    <row r="189" spans="1:30" s="37" customFormat="1" ht="15.75" customHeight="1" x14ac:dyDescent="0.2">
      <c r="A189" s="26">
        <v>1632</v>
      </c>
      <c r="B189" s="27" t="s">
        <v>521</v>
      </c>
      <c r="C189" s="27" t="s">
        <v>38</v>
      </c>
      <c r="D189" s="28">
        <v>0.08</v>
      </c>
      <c r="E189" s="29">
        <v>8.09</v>
      </c>
      <c r="F189" s="29">
        <v>7.96</v>
      </c>
      <c r="G189" s="30" t="s">
        <v>87</v>
      </c>
      <c r="H189" s="27" t="s">
        <v>71</v>
      </c>
      <c r="I189" s="27" t="s">
        <v>29</v>
      </c>
      <c r="J189" s="27" t="s">
        <v>126</v>
      </c>
      <c r="K189" s="27" t="s">
        <v>73</v>
      </c>
      <c r="L189" s="31" t="s">
        <v>522</v>
      </c>
      <c r="M189" s="32">
        <v>0.49</v>
      </c>
      <c r="N189" s="27" t="s">
        <v>33</v>
      </c>
      <c r="O189" s="27" t="s">
        <v>34</v>
      </c>
      <c r="P189" s="27" t="s">
        <v>35</v>
      </c>
      <c r="Q189" s="27" t="s">
        <v>523</v>
      </c>
      <c r="R189" s="33">
        <v>39401</v>
      </c>
      <c r="S189" s="34">
        <v>42019</v>
      </c>
      <c r="T189" s="34">
        <v>42020</v>
      </c>
      <c r="U189" s="29">
        <v>15.984</v>
      </c>
      <c r="V189" s="26">
        <v>6</v>
      </c>
      <c r="W189" s="29">
        <v>48.25</v>
      </c>
      <c r="X189" s="26">
        <v>90530</v>
      </c>
      <c r="Y189" s="35">
        <v>4.9700000000000006</v>
      </c>
      <c r="Z189" s="1" t="s">
        <v>3011</v>
      </c>
      <c r="AA189" s="36">
        <v>3.8832</v>
      </c>
      <c r="AB189" s="54">
        <v>24.607500000000002</v>
      </c>
      <c r="AC189" s="54">
        <v>3.9404166666666662</v>
      </c>
      <c r="AD189" s="36">
        <v>20.422800000000002</v>
      </c>
    </row>
    <row r="190" spans="1:30" s="37" customFormat="1" ht="15.75" customHeight="1" x14ac:dyDescent="0.2">
      <c r="A190" s="26">
        <v>2791</v>
      </c>
      <c r="B190" s="27" t="s">
        <v>508</v>
      </c>
      <c r="C190" s="27" t="s">
        <v>26</v>
      </c>
      <c r="D190" s="28">
        <v>0.09</v>
      </c>
      <c r="E190" s="29">
        <v>2.88</v>
      </c>
      <c r="F190" s="29">
        <v>0.7</v>
      </c>
      <c r="G190" s="30" t="s">
        <v>39</v>
      </c>
      <c r="H190" s="27" t="s">
        <v>94</v>
      </c>
      <c r="I190" s="27" t="s">
        <v>49</v>
      </c>
      <c r="J190" s="27" t="s">
        <v>50</v>
      </c>
      <c r="K190" s="27" t="s">
        <v>51</v>
      </c>
      <c r="L190" s="31" t="s">
        <v>509</v>
      </c>
      <c r="M190" s="32">
        <v>0.56000000000000005</v>
      </c>
      <c r="N190" s="27" t="s">
        <v>33</v>
      </c>
      <c r="O190" s="27" t="s">
        <v>53</v>
      </c>
      <c r="P190" s="27" t="s">
        <v>289</v>
      </c>
      <c r="Q190" s="27" t="s">
        <v>510</v>
      </c>
      <c r="R190" s="33">
        <v>48071</v>
      </c>
      <c r="S190" s="34">
        <v>42019</v>
      </c>
      <c r="T190" s="34">
        <v>42019</v>
      </c>
      <c r="U190" s="29">
        <v>4.8499999999999996</v>
      </c>
      <c r="V190" s="26">
        <v>7</v>
      </c>
      <c r="W190" s="29">
        <v>19.29</v>
      </c>
      <c r="X190" s="26">
        <v>88758</v>
      </c>
      <c r="Y190" s="35">
        <v>6.31</v>
      </c>
      <c r="Z190" s="1" t="s">
        <v>3012</v>
      </c>
      <c r="AA190" s="36">
        <v>1.8144</v>
      </c>
      <c r="AB190" s="54">
        <v>8.4875999999999987</v>
      </c>
      <c r="AC190" s="54">
        <v>1.5432000000000001</v>
      </c>
      <c r="AD190" s="36">
        <v>11.925599999999999</v>
      </c>
    </row>
    <row r="191" spans="1:30" s="37" customFormat="1" ht="15.75" customHeight="1" x14ac:dyDescent="0.2">
      <c r="A191" s="26">
        <v>145</v>
      </c>
      <c r="B191" s="27" t="s">
        <v>528</v>
      </c>
      <c r="C191" s="27" t="s">
        <v>116</v>
      </c>
      <c r="D191" s="28">
        <v>0.06</v>
      </c>
      <c r="E191" s="29">
        <v>7.04</v>
      </c>
      <c r="F191" s="29">
        <v>2.17</v>
      </c>
      <c r="G191" s="30" t="s">
        <v>39</v>
      </c>
      <c r="H191" s="27" t="s">
        <v>3095</v>
      </c>
      <c r="I191" s="27" t="s">
        <v>49</v>
      </c>
      <c r="J191" s="27" t="s">
        <v>88</v>
      </c>
      <c r="K191" s="27" t="s">
        <v>51</v>
      </c>
      <c r="L191" s="31" t="s">
        <v>529</v>
      </c>
      <c r="M191" s="32">
        <v>0.38</v>
      </c>
      <c r="N191" s="27" t="s">
        <v>33</v>
      </c>
      <c r="O191" s="27" t="s">
        <v>111</v>
      </c>
      <c r="P191" s="27" t="s">
        <v>320</v>
      </c>
      <c r="Q191" s="27" t="s">
        <v>530</v>
      </c>
      <c r="R191" s="33">
        <v>15122</v>
      </c>
      <c r="S191" s="34">
        <v>42019</v>
      </c>
      <c r="T191" s="34">
        <v>42021</v>
      </c>
      <c r="U191" s="29">
        <v>2.4851999999999999</v>
      </c>
      <c r="V191" s="26">
        <v>2</v>
      </c>
      <c r="W191" s="29">
        <v>14.65</v>
      </c>
      <c r="X191" s="26">
        <v>91086</v>
      </c>
      <c r="Y191" s="35">
        <v>6.98</v>
      </c>
      <c r="Z191" s="1" t="s">
        <v>3014</v>
      </c>
      <c r="AA191" s="36">
        <v>0.8448</v>
      </c>
      <c r="AB191" s="54">
        <v>9.0830000000000002</v>
      </c>
      <c r="AC191" s="54">
        <v>2.7835000000000001</v>
      </c>
      <c r="AD191" s="36">
        <v>9.15</v>
      </c>
    </row>
    <row r="192" spans="1:30" s="37" customFormat="1" ht="15.75" customHeight="1" x14ac:dyDescent="0.2">
      <c r="A192" s="26">
        <v>1213</v>
      </c>
      <c r="B192" s="27" t="s">
        <v>519</v>
      </c>
      <c r="C192" s="27" t="s">
        <v>38</v>
      </c>
      <c r="D192" s="28">
        <v>0.03</v>
      </c>
      <c r="E192" s="29">
        <v>5.84</v>
      </c>
      <c r="F192" s="29">
        <v>1.2</v>
      </c>
      <c r="G192" s="30" t="s">
        <v>39</v>
      </c>
      <c r="H192" s="27" t="s">
        <v>94</v>
      </c>
      <c r="I192" s="27" t="s">
        <v>49</v>
      </c>
      <c r="J192" s="27" t="s">
        <v>50</v>
      </c>
      <c r="K192" s="27" t="s">
        <v>51</v>
      </c>
      <c r="L192" s="31" t="s">
        <v>69</v>
      </c>
      <c r="M192" s="32">
        <v>0.55000000000000004</v>
      </c>
      <c r="N192" s="27" t="s">
        <v>33</v>
      </c>
      <c r="O192" s="27" t="s">
        <v>53</v>
      </c>
      <c r="P192" s="27" t="s">
        <v>54</v>
      </c>
      <c r="Q192" s="27" t="s">
        <v>520</v>
      </c>
      <c r="R192" s="33">
        <v>46530</v>
      </c>
      <c r="S192" s="34">
        <v>42019</v>
      </c>
      <c r="T192" s="34">
        <v>42021</v>
      </c>
      <c r="U192" s="29">
        <v>-0.01</v>
      </c>
      <c r="V192" s="26">
        <v>2</v>
      </c>
      <c r="W192" s="29">
        <v>11.74</v>
      </c>
      <c r="X192" s="26">
        <v>88600</v>
      </c>
      <c r="Y192" s="35">
        <v>8.6</v>
      </c>
      <c r="Z192" s="1" t="s">
        <v>3012</v>
      </c>
      <c r="AA192" s="36">
        <v>0.35039999999999999</v>
      </c>
      <c r="AB192" s="54">
        <v>5.2829999999999995</v>
      </c>
      <c r="AC192" s="54">
        <v>3.2285000000000004</v>
      </c>
      <c r="AD192" s="36">
        <v>10.1996</v>
      </c>
    </row>
    <row r="193" spans="1:30" s="37" customFormat="1" ht="15.75" customHeight="1" x14ac:dyDescent="0.2">
      <c r="A193" s="26">
        <v>152</v>
      </c>
      <c r="B193" s="27" t="s">
        <v>505</v>
      </c>
      <c r="C193" s="27" t="s">
        <v>26</v>
      </c>
      <c r="D193" s="28">
        <v>0.09</v>
      </c>
      <c r="E193" s="29">
        <v>2.88</v>
      </c>
      <c r="F193" s="29">
        <v>0.7</v>
      </c>
      <c r="G193" s="30" t="s">
        <v>39</v>
      </c>
      <c r="H193" s="27" t="s">
        <v>40</v>
      </c>
      <c r="I193" s="27" t="s">
        <v>49</v>
      </c>
      <c r="J193" s="27" t="s">
        <v>50</v>
      </c>
      <c r="K193" s="27" t="s">
        <v>51</v>
      </c>
      <c r="L193" s="31" t="s">
        <v>506</v>
      </c>
      <c r="M193" s="32">
        <v>0.56000000000000005</v>
      </c>
      <c r="N193" s="27" t="s">
        <v>33</v>
      </c>
      <c r="O193" s="27" t="s">
        <v>34</v>
      </c>
      <c r="P193" s="27" t="s">
        <v>400</v>
      </c>
      <c r="Q193" s="27" t="s">
        <v>507</v>
      </c>
      <c r="R193" s="33">
        <v>37918</v>
      </c>
      <c r="S193" s="34">
        <v>42019</v>
      </c>
      <c r="T193" s="34">
        <v>42020</v>
      </c>
      <c r="U193" s="29">
        <v>-172.71799999999999</v>
      </c>
      <c r="V193" s="26">
        <v>2</v>
      </c>
      <c r="W193" s="29">
        <v>5.5</v>
      </c>
      <c r="X193" s="26">
        <v>89520</v>
      </c>
      <c r="Y193" s="35">
        <v>8.6</v>
      </c>
      <c r="Z193" s="1" t="s">
        <v>3011</v>
      </c>
      <c r="AA193" s="36">
        <v>0.51839999999999997</v>
      </c>
      <c r="AB193" s="54">
        <v>2.42</v>
      </c>
      <c r="AC193" s="54">
        <v>1.54</v>
      </c>
      <c r="AD193" s="36">
        <v>176.99959999999999</v>
      </c>
    </row>
    <row r="194" spans="1:30" s="37" customFormat="1" ht="15.75" customHeight="1" x14ac:dyDescent="0.2">
      <c r="A194" s="26">
        <v>667</v>
      </c>
      <c r="B194" s="27" t="s">
        <v>553</v>
      </c>
      <c r="C194" s="27" t="s">
        <v>48</v>
      </c>
      <c r="D194" s="28">
        <v>0.04</v>
      </c>
      <c r="E194" s="29">
        <v>22.72</v>
      </c>
      <c r="F194" s="29">
        <v>8.99</v>
      </c>
      <c r="G194" s="30" t="s">
        <v>39</v>
      </c>
      <c r="H194" s="27" t="s">
        <v>94</v>
      </c>
      <c r="I194" s="27" t="s">
        <v>29</v>
      </c>
      <c r="J194" s="27" t="s">
        <v>126</v>
      </c>
      <c r="K194" s="27" t="s">
        <v>43</v>
      </c>
      <c r="L194" s="31" t="s">
        <v>328</v>
      </c>
      <c r="M194" s="32">
        <v>0.44</v>
      </c>
      <c r="N194" s="27" t="s">
        <v>33</v>
      </c>
      <c r="O194" s="27" t="s">
        <v>53</v>
      </c>
      <c r="P194" s="27" t="s">
        <v>187</v>
      </c>
      <c r="Q194" s="27" t="s">
        <v>554</v>
      </c>
      <c r="R194" s="33">
        <v>75203</v>
      </c>
      <c r="S194" s="34">
        <v>42020</v>
      </c>
      <c r="T194" s="34">
        <v>42024</v>
      </c>
      <c r="U194" s="29">
        <v>70.028000000000006</v>
      </c>
      <c r="V194" s="26">
        <v>37</v>
      </c>
      <c r="W194" s="29">
        <v>832.14</v>
      </c>
      <c r="X194" s="26">
        <v>22147</v>
      </c>
      <c r="Y194" s="35">
        <v>28.39</v>
      </c>
      <c r="Z194" s="1" t="s">
        <v>3012</v>
      </c>
      <c r="AA194" s="36">
        <v>33.625599999999999</v>
      </c>
      <c r="AB194" s="54">
        <v>465.99840000000006</v>
      </c>
      <c r="AC194" s="54">
        <v>9.8957189189189183</v>
      </c>
      <c r="AD194" s="36">
        <v>719.49639999999999</v>
      </c>
    </row>
    <row r="195" spans="1:30" s="37" customFormat="1" ht="15.75" customHeight="1" x14ac:dyDescent="0.2">
      <c r="A195" s="26">
        <v>288</v>
      </c>
      <c r="B195" s="27" t="s">
        <v>536</v>
      </c>
      <c r="C195" s="27" t="s">
        <v>26</v>
      </c>
      <c r="D195" s="28">
        <v>0.08</v>
      </c>
      <c r="E195" s="29">
        <v>65.989999999999995</v>
      </c>
      <c r="F195" s="29">
        <v>4.99</v>
      </c>
      <c r="G195" s="30" t="s">
        <v>87</v>
      </c>
      <c r="H195" s="27" t="s">
        <v>3095</v>
      </c>
      <c r="I195" s="27" t="s">
        <v>41</v>
      </c>
      <c r="J195" s="27" t="s">
        <v>135</v>
      </c>
      <c r="K195" s="27" t="s">
        <v>73</v>
      </c>
      <c r="L195" s="31" t="s">
        <v>539</v>
      </c>
      <c r="M195" s="32">
        <v>0.57999999999999996</v>
      </c>
      <c r="N195" s="27" t="s">
        <v>33</v>
      </c>
      <c r="O195" s="27" t="s">
        <v>53</v>
      </c>
      <c r="P195" s="27" t="s">
        <v>537</v>
      </c>
      <c r="Q195" s="27" t="s">
        <v>538</v>
      </c>
      <c r="R195" s="33">
        <v>67212</v>
      </c>
      <c r="S195" s="34">
        <v>42020</v>
      </c>
      <c r="T195" s="34">
        <v>42022</v>
      </c>
      <c r="U195" s="29">
        <v>496.89</v>
      </c>
      <c r="V195" s="26">
        <v>14</v>
      </c>
      <c r="W195" s="29">
        <v>748.1</v>
      </c>
      <c r="X195" s="26">
        <v>89762</v>
      </c>
      <c r="Y195" s="35">
        <v>65.91</v>
      </c>
      <c r="Z195" s="1" t="s">
        <v>3012</v>
      </c>
      <c r="AA195" s="36">
        <v>73.908799999999985</v>
      </c>
      <c r="AB195" s="54">
        <v>314.20200000000006</v>
      </c>
      <c r="AC195" s="54">
        <v>30.992714285714285</v>
      </c>
      <c r="AD195" s="36">
        <v>172.31119999999999</v>
      </c>
    </row>
    <row r="196" spans="1:30" s="37" customFormat="1" ht="15.75" customHeight="1" x14ac:dyDescent="0.2">
      <c r="A196" s="26">
        <v>3385</v>
      </c>
      <c r="B196" s="27" t="s">
        <v>555</v>
      </c>
      <c r="C196" s="27" t="s">
        <v>48</v>
      </c>
      <c r="D196" s="28">
        <v>0.01</v>
      </c>
      <c r="E196" s="29">
        <v>125.99</v>
      </c>
      <c r="F196" s="29">
        <v>8.99</v>
      </c>
      <c r="G196" s="30" t="s">
        <v>39</v>
      </c>
      <c r="H196" s="27" t="s">
        <v>94</v>
      </c>
      <c r="I196" s="27" t="s">
        <v>41</v>
      </c>
      <c r="J196" s="27" t="s">
        <v>135</v>
      </c>
      <c r="K196" s="27" t="s">
        <v>73</v>
      </c>
      <c r="L196" s="31" t="s">
        <v>353</v>
      </c>
      <c r="M196" s="32">
        <v>0.59</v>
      </c>
      <c r="N196" s="27" t="s">
        <v>33</v>
      </c>
      <c r="O196" s="27" t="s">
        <v>111</v>
      </c>
      <c r="P196" s="27" t="s">
        <v>317</v>
      </c>
      <c r="Q196" s="27" t="s">
        <v>557</v>
      </c>
      <c r="R196" s="33">
        <v>44512</v>
      </c>
      <c r="S196" s="34">
        <v>42020</v>
      </c>
      <c r="T196" s="34">
        <v>42025</v>
      </c>
      <c r="U196" s="29">
        <v>426.46032000000002</v>
      </c>
      <c r="V196" s="26">
        <v>6</v>
      </c>
      <c r="W196" s="29">
        <v>680.65</v>
      </c>
      <c r="X196" s="26">
        <v>88745</v>
      </c>
      <c r="Y196" s="35">
        <v>2.0900000000000003</v>
      </c>
      <c r="Z196" s="1" t="s">
        <v>3014</v>
      </c>
      <c r="AA196" s="36">
        <v>7.5594000000000001</v>
      </c>
      <c r="AB196" s="54">
        <v>279.06650000000002</v>
      </c>
      <c r="AC196" s="54">
        <v>66.930583333333331</v>
      </c>
      <c r="AD196" s="36">
        <v>237.64027999999996</v>
      </c>
    </row>
    <row r="197" spans="1:30" s="37" customFormat="1" ht="15.75" customHeight="1" x14ac:dyDescent="0.2">
      <c r="A197" s="26">
        <v>3036</v>
      </c>
      <c r="B197" s="27" t="s">
        <v>564</v>
      </c>
      <c r="C197" s="27" t="s">
        <v>3094</v>
      </c>
      <c r="D197" s="28">
        <v>0.05</v>
      </c>
      <c r="E197" s="29">
        <v>35.44</v>
      </c>
      <c r="F197" s="29">
        <v>7.5</v>
      </c>
      <c r="G197" s="30" t="s">
        <v>39</v>
      </c>
      <c r="H197" s="27" t="s">
        <v>71</v>
      </c>
      <c r="I197" s="27" t="s">
        <v>49</v>
      </c>
      <c r="J197" s="27" t="s">
        <v>88</v>
      </c>
      <c r="K197" s="27" t="s">
        <v>73</v>
      </c>
      <c r="L197" s="31" t="s">
        <v>567</v>
      </c>
      <c r="M197" s="32">
        <v>0.38</v>
      </c>
      <c r="N197" s="27" t="s">
        <v>33</v>
      </c>
      <c r="O197" s="27" t="s">
        <v>53</v>
      </c>
      <c r="P197" s="27" t="s">
        <v>565</v>
      </c>
      <c r="Q197" s="27" t="s">
        <v>566</v>
      </c>
      <c r="R197" s="33">
        <v>58554</v>
      </c>
      <c r="S197" s="34">
        <v>42020</v>
      </c>
      <c r="T197" s="34">
        <v>42022</v>
      </c>
      <c r="U197" s="29">
        <v>165.88980000000001</v>
      </c>
      <c r="V197" s="26">
        <v>7</v>
      </c>
      <c r="W197" s="29">
        <v>240.42</v>
      </c>
      <c r="X197" s="26">
        <v>89129</v>
      </c>
      <c r="Y197" s="35">
        <v>179.23999999999998</v>
      </c>
      <c r="Z197" s="1" t="s">
        <v>3012</v>
      </c>
      <c r="AA197" s="36">
        <v>12.404</v>
      </c>
      <c r="AB197" s="54">
        <v>149.06039999999999</v>
      </c>
      <c r="AC197" s="54">
        <v>13.051371428571429</v>
      </c>
      <c r="AD197" s="36">
        <v>54.626199999999983</v>
      </c>
    </row>
    <row r="198" spans="1:30" s="37" customFormat="1" ht="15.75" customHeight="1" x14ac:dyDescent="0.2">
      <c r="A198" s="26">
        <v>2924</v>
      </c>
      <c r="B198" s="27" t="s">
        <v>544</v>
      </c>
      <c r="C198" s="27" t="s">
        <v>26</v>
      </c>
      <c r="D198" s="28">
        <v>0.02</v>
      </c>
      <c r="E198" s="29">
        <v>110.98</v>
      </c>
      <c r="F198" s="29">
        <v>13.99</v>
      </c>
      <c r="G198" s="30" t="s">
        <v>39</v>
      </c>
      <c r="H198" s="27" t="s">
        <v>40</v>
      </c>
      <c r="I198" s="27" t="s">
        <v>29</v>
      </c>
      <c r="J198" s="27" t="s">
        <v>126</v>
      </c>
      <c r="K198" s="27" t="s">
        <v>144</v>
      </c>
      <c r="L198" s="31" t="s">
        <v>545</v>
      </c>
      <c r="M198" s="32">
        <v>0.69</v>
      </c>
      <c r="N198" s="27" t="s">
        <v>33</v>
      </c>
      <c r="O198" s="27" t="s">
        <v>111</v>
      </c>
      <c r="P198" s="27" t="s">
        <v>418</v>
      </c>
      <c r="Q198" s="27" t="s">
        <v>546</v>
      </c>
      <c r="R198" s="33">
        <v>20707</v>
      </c>
      <c r="S198" s="34">
        <v>42020</v>
      </c>
      <c r="T198" s="34">
        <v>42022</v>
      </c>
      <c r="U198" s="29">
        <v>-106.3424</v>
      </c>
      <c r="V198" s="26">
        <v>2</v>
      </c>
      <c r="W198" s="29">
        <v>226.53</v>
      </c>
      <c r="X198" s="26">
        <v>86591</v>
      </c>
      <c r="Y198" s="35">
        <v>110.96000000000001</v>
      </c>
      <c r="Z198" s="1" t="s">
        <v>3014</v>
      </c>
      <c r="AA198" s="36">
        <v>4.4392000000000005</v>
      </c>
      <c r="AB198" s="54">
        <v>70.224300000000014</v>
      </c>
      <c r="AC198" s="54">
        <v>78.152850000000001</v>
      </c>
      <c r="AD198" s="36">
        <v>314.44319999999999</v>
      </c>
    </row>
    <row r="199" spans="1:30" s="37" customFormat="1" ht="15.75" customHeight="1" x14ac:dyDescent="0.2">
      <c r="A199" s="26">
        <v>665</v>
      </c>
      <c r="B199" s="27" t="s">
        <v>551</v>
      </c>
      <c r="C199" s="27" t="s">
        <v>48</v>
      </c>
      <c r="D199" s="28">
        <v>0.04</v>
      </c>
      <c r="E199" s="29">
        <v>22.72</v>
      </c>
      <c r="F199" s="29">
        <v>8.99</v>
      </c>
      <c r="G199" s="30" t="s">
        <v>39</v>
      </c>
      <c r="H199" s="27" t="s">
        <v>94</v>
      </c>
      <c r="I199" s="27" t="s">
        <v>29</v>
      </c>
      <c r="J199" s="27" t="s">
        <v>126</v>
      </c>
      <c r="K199" s="27" t="s">
        <v>43</v>
      </c>
      <c r="L199" s="31" t="s">
        <v>328</v>
      </c>
      <c r="M199" s="32">
        <v>0.44</v>
      </c>
      <c r="N199" s="27" t="s">
        <v>33</v>
      </c>
      <c r="O199" s="27" t="s">
        <v>34</v>
      </c>
      <c r="P199" s="27" t="s">
        <v>400</v>
      </c>
      <c r="Q199" s="27" t="s">
        <v>552</v>
      </c>
      <c r="R199" s="33">
        <v>37130</v>
      </c>
      <c r="S199" s="34">
        <v>42020</v>
      </c>
      <c r="T199" s="34">
        <v>42024</v>
      </c>
      <c r="U199" s="29">
        <v>-678.49599999999998</v>
      </c>
      <c r="V199" s="26">
        <v>9</v>
      </c>
      <c r="W199" s="29">
        <v>202.41</v>
      </c>
      <c r="X199" s="26">
        <v>88677</v>
      </c>
      <c r="Y199" s="35">
        <v>8</v>
      </c>
      <c r="Z199" s="1" t="s">
        <v>3011</v>
      </c>
      <c r="AA199" s="36">
        <v>8.1791999999999998</v>
      </c>
      <c r="AB199" s="54">
        <v>113.34960000000001</v>
      </c>
      <c r="AC199" s="54">
        <v>9.8956</v>
      </c>
      <c r="AD199" s="36">
        <v>863.7367999999999</v>
      </c>
    </row>
    <row r="200" spans="1:30" s="37" customFormat="1" ht="15.75" customHeight="1" x14ac:dyDescent="0.2">
      <c r="A200" s="26">
        <v>288</v>
      </c>
      <c r="B200" s="27" t="s">
        <v>536</v>
      </c>
      <c r="C200" s="27" t="s">
        <v>26</v>
      </c>
      <c r="D200" s="28">
        <v>0.09</v>
      </c>
      <c r="E200" s="29">
        <v>28.48</v>
      </c>
      <c r="F200" s="29">
        <v>1.99</v>
      </c>
      <c r="G200" s="30" t="s">
        <v>39</v>
      </c>
      <c r="H200" s="27" t="s">
        <v>3095</v>
      </c>
      <c r="I200" s="27" t="s">
        <v>41</v>
      </c>
      <c r="J200" s="27" t="s">
        <v>42</v>
      </c>
      <c r="K200" s="27" t="s">
        <v>43</v>
      </c>
      <c r="L200" s="31" t="s">
        <v>212</v>
      </c>
      <c r="M200" s="32">
        <v>0.4</v>
      </c>
      <c r="N200" s="27" t="s">
        <v>33</v>
      </c>
      <c r="O200" s="27" t="s">
        <v>53</v>
      </c>
      <c r="P200" s="27" t="s">
        <v>537</v>
      </c>
      <c r="Q200" s="27" t="s">
        <v>538</v>
      </c>
      <c r="R200" s="33">
        <v>67212</v>
      </c>
      <c r="S200" s="34">
        <v>42020</v>
      </c>
      <c r="T200" s="34">
        <v>42023</v>
      </c>
      <c r="U200" s="29">
        <v>132.68700000000001</v>
      </c>
      <c r="V200" s="26">
        <v>7</v>
      </c>
      <c r="W200" s="29">
        <v>192.3</v>
      </c>
      <c r="X200" s="26">
        <v>89762</v>
      </c>
      <c r="Y200" s="35">
        <v>7.34</v>
      </c>
      <c r="Z200" s="1" t="s">
        <v>3012</v>
      </c>
      <c r="AA200" s="36">
        <v>17.942399999999999</v>
      </c>
      <c r="AB200" s="54">
        <v>115.38</v>
      </c>
      <c r="AC200" s="54">
        <v>10.988571428571429</v>
      </c>
      <c r="AD200" s="36">
        <v>39.680599999999998</v>
      </c>
    </row>
    <row r="201" spans="1:30" s="37" customFormat="1" ht="15.75" customHeight="1" x14ac:dyDescent="0.2">
      <c r="A201" s="26">
        <v>1603</v>
      </c>
      <c r="B201" s="27" t="s">
        <v>540</v>
      </c>
      <c r="C201" s="27" t="s">
        <v>26</v>
      </c>
      <c r="D201" s="28">
        <v>0.05</v>
      </c>
      <c r="E201" s="29">
        <v>179.29</v>
      </c>
      <c r="F201" s="29">
        <v>29.21</v>
      </c>
      <c r="G201" s="30" t="s">
        <v>27</v>
      </c>
      <c r="H201" s="27" t="s">
        <v>3095</v>
      </c>
      <c r="I201" s="27" t="s">
        <v>29</v>
      </c>
      <c r="J201" s="27" t="s">
        <v>30</v>
      </c>
      <c r="K201" s="27" t="s">
        <v>31</v>
      </c>
      <c r="L201" s="31" t="s">
        <v>543</v>
      </c>
      <c r="M201" s="32">
        <v>0.76</v>
      </c>
      <c r="N201" s="27" t="s">
        <v>33</v>
      </c>
      <c r="O201" s="27" t="s">
        <v>111</v>
      </c>
      <c r="P201" s="27" t="s">
        <v>112</v>
      </c>
      <c r="Q201" s="27" t="s">
        <v>542</v>
      </c>
      <c r="R201" s="33">
        <v>11598</v>
      </c>
      <c r="S201" s="34">
        <v>42020</v>
      </c>
      <c r="T201" s="34">
        <v>42022</v>
      </c>
      <c r="U201" s="29">
        <v>-537.27977731999999</v>
      </c>
      <c r="V201" s="26">
        <v>1</v>
      </c>
      <c r="W201" s="29">
        <v>186.64</v>
      </c>
      <c r="X201" s="26">
        <v>89679</v>
      </c>
      <c r="Y201" s="35">
        <v>22.68</v>
      </c>
      <c r="Z201" s="1" t="s">
        <v>3014</v>
      </c>
      <c r="AA201" s="36">
        <v>8.9644999999999992</v>
      </c>
      <c r="AB201" s="54">
        <v>44.793599999999998</v>
      </c>
      <c r="AC201" s="54">
        <v>141.84639999999999</v>
      </c>
      <c r="AD201" s="36">
        <v>685.74527732000001</v>
      </c>
    </row>
    <row r="202" spans="1:30" s="37" customFormat="1" ht="15.75" customHeight="1" x14ac:dyDescent="0.2">
      <c r="A202" s="26">
        <v>3036</v>
      </c>
      <c r="B202" s="27" t="s">
        <v>564</v>
      </c>
      <c r="C202" s="27" t="s">
        <v>3094</v>
      </c>
      <c r="D202" s="28">
        <v>0.02</v>
      </c>
      <c r="E202" s="29">
        <v>12.98</v>
      </c>
      <c r="F202" s="29">
        <v>3.14</v>
      </c>
      <c r="G202" s="30" t="s">
        <v>39</v>
      </c>
      <c r="H202" s="27" t="s">
        <v>71</v>
      </c>
      <c r="I202" s="27" t="s">
        <v>49</v>
      </c>
      <c r="J202" s="27" t="s">
        <v>568</v>
      </c>
      <c r="K202" s="27" t="s">
        <v>43</v>
      </c>
      <c r="L202" s="31" t="s">
        <v>569</v>
      </c>
      <c r="M202" s="32">
        <v>0.6</v>
      </c>
      <c r="N202" s="27" t="s">
        <v>33</v>
      </c>
      <c r="O202" s="27" t="s">
        <v>53</v>
      </c>
      <c r="P202" s="27" t="s">
        <v>565</v>
      </c>
      <c r="Q202" s="27" t="s">
        <v>566</v>
      </c>
      <c r="R202" s="33">
        <v>58554</v>
      </c>
      <c r="S202" s="34">
        <v>42020</v>
      </c>
      <c r="T202" s="34">
        <v>42023</v>
      </c>
      <c r="U202" s="29">
        <v>75.010000000000005</v>
      </c>
      <c r="V202" s="26">
        <v>14</v>
      </c>
      <c r="W202" s="29">
        <v>184.4</v>
      </c>
      <c r="X202" s="26">
        <v>89129</v>
      </c>
      <c r="Y202" s="35">
        <v>22.68</v>
      </c>
      <c r="Z202" s="1" t="s">
        <v>3012</v>
      </c>
      <c r="AA202" s="36">
        <v>3.6343999999999999</v>
      </c>
      <c r="AB202" s="54">
        <v>73.760000000000005</v>
      </c>
      <c r="AC202" s="54">
        <v>7.902857142857143</v>
      </c>
      <c r="AD202" s="36">
        <v>102.6156</v>
      </c>
    </row>
    <row r="203" spans="1:30" s="37" customFormat="1" ht="15.75" customHeight="1" x14ac:dyDescent="0.2">
      <c r="A203" s="26">
        <v>1697</v>
      </c>
      <c r="B203" s="27" t="s">
        <v>558</v>
      </c>
      <c r="C203" s="27" t="s">
        <v>116</v>
      </c>
      <c r="D203" s="28">
        <v>0</v>
      </c>
      <c r="E203" s="29">
        <v>13.43</v>
      </c>
      <c r="F203" s="29">
        <v>5.5</v>
      </c>
      <c r="G203" s="30" t="s">
        <v>39</v>
      </c>
      <c r="H203" s="27" t="s">
        <v>71</v>
      </c>
      <c r="I203" s="27" t="s">
        <v>49</v>
      </c>
      <c r="J203" s="27" t="s">
        <v>78</v>
      </c>
      <c r="K203" s="27" t="s">
        <v>73</v>
      </c>
      <c r="L203" s="31" t="s">
        <v>559</v>
      </c>
      <c r="M203" s="32">
        <v>0.56999999999999995</v>
      </c>
      <c r="N203" s="27" t="s">
        <v>33</v>
      </c>
      <c r="O203" s="27" t="s">
        <v>34</v>
      </c>
      <c r="P203" s="27" t="s">
        <v>45</v>
      </c>
      <c r="Q203" s="27" t="s">
        <v>560</v>
      </c>
      <c r="R203" s="33">
        <v>71901</v>
      </c>
      <c r="S203" s="34">
        <v>42020</v>
      </c>
      <c r="T203" s="34">
        <v>42021</v>
      </c>
      <c r="U203" s="29">
        <v>-253.77799999999999</v>
      </c>
      <c r="V203" s="26">
        <v>9</v>
      </c>
      <c r="W203" s="29">
        <v>129.54</v>
      </c>
      <c r="X203" s="26">
        <v>86338</v>
      </c>
      <c r="Y203" s="35">
        <v>2.94</v>
      </c>
      <c r="Z203" s="1" t="s">
        <v>3011</v>
      </c>
      <c r="AA203" s="36">
        <v>0</v>
      </c>
      <c r="AB203" s="54">
        <v>55.702200000000005</v>
      </c>
      <c r="AC203" s="54">
        <v>8.2041999999999984</v>
      </c>
      <c r="AD203" s="36">
        <v>377.81799999999998</v>
      </c>
    </row>
    <row r="204" spans="1:30" s="37" customFormat="1" ht="15.75" customHeight="1" x14ac:dyDescent="0.2">
      <c r="A204" s="26">
        <v>202</v>
      </c>
      <c r="B204" s="27" t="s">
        <v>548</v>
      </c>
      <c r="C204" s="27" t="s">
        <v>38</v>
      </c>
      <c r="D204" s="28">
        <v>0.03</v>
      </c>
      <c r="E204" s="29">
        <v>7.37</v>
      </c>
      <c r="F204" s="29">
        <v>5.53</v>
      </c>
      <c r="G204" s="30" t="s">
        <v>39</v>
      </c>
      <c r="H204" s="27" t="s">
        <v>94</v>
      </c>
      <c r="I204" s="27" t="s">
        <v>41</v>
      </c>
      <c r="J204" s="27" t="s">
        <v>42</v>
      </c>
      <c r="K204" s="27" t="s">
        <v>43</v>
      </c>
      <c r="L204" s="31" t="s">
        <v>549</v>
      </c>
      <c r="M204" s="32">
        <v>0.69</v>
      </c>
      <c r="N204" s="27" t="s">
        <v>33</v>
      </c>
      <c r="O204" s="27" t="s">
        <v>53</v>
      </c>
      <c r="P204" s="27" t="s">
        <v>207</v>
      </c>
      <c r="Q204" s="27" t="s">
        <v>550</v>
      </c>
      <c r="R204" s="33">
        <v>74006</v>
      </c>
      <c r="S204" s="34">
        <v>42020</v>
      </c>
      <c r="T204" s="34">
        <v>42022</v>
      </c>
      <c r="U204" s="29">
        <v>-133.69999999999999</v>
      </c>
      <c r="V204" s="26">
        <v>11</v>
      </c>
      <c r="W204" s="29">
        <v>85.79</v>
      </c>
      <c r="X204" s="26">
        <v>88972</v>
      </c>
      <c r="Y204" s="35">
        <v>125.97999999999999</v>
      </c>
      <c r="Z204" s="1" t="s">
        <v>3012</v>
      </c>
      <c r="AA204" s="36">
        <v>2.4320999999999997</v>
      </c>
      <c r="AB204" s="54">
        <v>26.594900000000006</v>
      </c>
      <c r="AC204" s="54">
        <v>5.3813727272727272</v>
      </c>
      <c r="AD204" s="36">
        <v>211.52789999999999</v>
      </c>
    </row>
    <row r="205" spans="1:30" s="37" customFormat="1" ht="15.75" customHeight="1" x14ac:dyDescent="0.2">
      <c r="A205" s="26">
        <v>2924</v>
      </c>
      <c r="B205" s="27" t="s">
        <v>544</v>
      </c>
      <c r="C205" s="27" t="s">
        <v>26</v>
      </c>
      <c r="D205" s="28">
        <v>0.01</v>
      </c>
      <c r="E205" s="29">
        <v>8.01</v>
      </c>
      <c r="F205" s="29">
        <v>2.87</v>
      </c>
      <c r="G205" s="30" t="s">
        <v>39</v>
      </c>
      <c r="H205" s="27" t="s">
        <v>40</v>
      </c>
      <c r="I205" s="27" t="s">
        <v>49</v>
      </c>
      <c r="J205" s="27" t="s">
        <v>88</v>
      </c>
      <c r="K205" s="27" t="s">
        <v>51</v>
      </c>
      <c r="L205" s="31" t="s">
        <v>547</v>
      </c>
      <c r="M205" s="32">
        <v>0.4</v>
      </c>
      <c r="N205" s="27" t="s">
        <v>33</v>
      </c>
      <c r="O205" s="27" t="s">
        <v>111</v>
      </c>
      <c r="P205" s="27" t="s">
        <v>418</v>
      </c>
      <c r="Q205" s="27" t="s">
        <v>546</v>
      </c>
      <c r="R205" s="33">
        <v>20707</v>
      </c>
      <c r="S205" s="34">
        <v>42020</v>
      </c>
      <c r="T205" s="34">
        <v>42022</v>
      </c>
      <c r="U205" s="29">
        <v>44.976799999999997</v>
      </c>
      <c r="V205" s="26">
        <v>8</v>
      </c>
      <c r="W205" s="29">
        <v>68.650000000000006</v>
      </c>
      <c r="X205" s="26">
        <v>86591</v>
      </c>
      <c r="Y205" s="35">
        <v>13.43</v>
      </c>
      <c r="Z205" s="1" t="s">
        <v>3014</v>
      </c>
      <c r="AA205" s="36">
        <v>0.64080000000000004</v>
      </c>
      <c r="AB205" s="54">
        <v>41.190000000000005</v>
      </c>
      <c r="AC205" s="54">
        <v>3.4325000000000006</v>
      </c>
      <c r="AD205" s="36">
        <v>20.162400000000012</v>
      </c>
    </row>
    <row r="206" spans="1:30" s="37" customFormat="1" ht="15.75" customHeight="1" x14ac:dyDescent="0.2">
      <c r="A206" s="26">
        <v>3036</v>
      </c>
      <c r="B206" s="27" t="s">
        <v>564</v>
      </c>
      <c r="C206" s="27" t="s">
        <v>3094</v>
      </c>
      <c r="D206" s="28">
        <v>0.02</v>
      </c>
      <c r="E206" s="29">
        <v>12.99</v>
      </c>
      <c r="F206" s="29">
        <v>14.37</v>
      </c>
      <c r="G206" s="30" t="s">
        <v>39</v>
      </c>
      <c r="H206" s="27" t="s">
        <v>71</v>
      </c>
      <c r="I206" s="27" t="s">
        <v>29</v>
      </c>
      <c r="J206" s="27" t="s">
        <v>126</v>
      </c>
      <c r="K206" s="27" t="s">
        <v>65</v>
      </c>
      <c r="L206" s="31" t="s">
        <v>406</v>
      </c>
      <c r="M206" s="32">
        <v>0.73</v>
      </c>
      <c r="N206" s="27" t="s">
        <v>33</v>
      </c>
      <c r="O206" s="27" t="s">
        <v>53</v>
      </c>
      <c r="P206" s="27" t="s">
        <v>565</v>
      </c>
      <c r="Q206" s="27" t="s">
        <v>566</v>
      </c>
      <c r="R206" s="33">
        <v>58554</v>
      </c>
      <c r="S206" s="34">
        <v>42020</v>
      </c>
      <c r="T206" s="34">
        <v>42022</v>
      </c>
      <c r="U206" s="29">
        <v>-159.86000000000001</v>
      </c>
      <c r="V206" s="26">
        <v>5</v>
      </c>
      <c r="W206" s="29">
        <v>67.64</v>
      </c>
      <c r="X206" s="26">
        <v>89129</v>
      </c>
      <c r="Y206" s="35">
        <v>5.71</v>
      </c>
      <c r="Z206" s="1" t="s">
        <v>3012</v>
      </c>
      <c r="AA206" s="36">
        <v>1.2990000000000002</v>
      </c>
      <c r="AB206" s="54">
        <v>18.262800000000002</v>
      </c>
      <c r="AC206" s="54">
        <v>9.8754399999999993</v>
      </c>
      <c r="AD206" s="36">
        <v>211.83100000000002</v>
      </c>
    </row>
    <row r="207" spans="1:30" s="37" customFormat="1" ht="15.75" customHeight="1" x14ac:dyDescent="0.2">
      <c r="A207" s="26">
        <v>3133</v>
      </c>
      <c r="B207" s="27" t="s">
        <v>561</v>
      </c>
      <c r="C207" s="27" t="s">
        <v>116</v>
      </c>
      <c r="D207" s="28">
        <v>0.1</v>
      </c>
      <c r="E207" s="29">
        <v>5.81</v>
      </c>
      <c r="F207" s="29">
        <v>8.49</v>
      </c>
      <c r="G207" s="30" t="s">
        <v>39</v>
      </c>
      <c r="H207" s="27" t="s">
        <v>94</v>
      </c>
      <c r="I207" s="27" t="s">
        <v>49</v>
      </c>
      <c r="J207" s="27" t="s">
        <v>72</v>
      </c>
      <c r="K207" s="27" t="s">
        <v>73</v>
      </c>
      <c r="L207" s="31" t="s">
        <v>330</v>
      </c>
      <c r="M207" s="32">
        <v>0.39</v>
      </c>
      <c r="N207" s="27" t="s">
        <v>33</v>
      </c>
      <c r="O207" s="27" t="s">
        <v>53</v>
      </c>
      <c r="P207" s="27" t="s">
        <v>103</v>
      </c>
      <c r="Q207" s="27" t="s">
        <v>562</v>
      </c>
      <c r="R207" s="33">
        <v>60540</v>
      </c>
      <c r="S207" s="34">
        <v>42020</v>
      </c>
      <c r="T207" s="34">
        <v>42021</v>
      </c>
      <c r="U207" s="29">
        <v>-350.43950000000001</v>
      </c>
      <c r="V207" s="26">
        <v>12</v>
      </c>
      <c r="W207" s="29">
        <v>64.959999999999994</v>
      </c>
      <c r="X207" s="26">
        <v>86789</v>
      </c>
      <c r="Y207" s="35">
        <v>1.78</v>
      </c>
      <c r="Z207" s="1" t="s">
        <v>3012</v>
      </c>
      <c r="AA207" s="36">
        <v>6.9719999999999995</v>
      </c>
      <c r="AB207" s="54">
        <v>39.625599999999999</v>
      </c>
      <c r="AC207" s="54">
        <v>2.1112000000000002</v>
      </c>
      <c r="AD207" s="36">
        <v>399.9375</v>
      </c>
    </row>
    <row r="208" spans="1:30" s="37" customFormat="1" ht="15.75" customHeight="1" x14ac:dyDescent="0.2">
      <c r="A208" s="26">
        <v>3133</v>
      </c>
      <c r="B208" s="27" t="s">
        <v>561</v>
      </c>
      <c r="C208" s="27" t="s">
        <v>116</v>
      </c>
      <c r="D208" s="28">
        <v>0.03</v>
      </c>
      <c r="E208" s="29">
        <v>1.81</v>
      </c>
      <c r="F208" s="29">
        <v>0.75</v>
      </c>
      <c r="G208" s="30" t="s">
        <v>39</v>
      </c>
      <c r="H208" s="27" t="s">
        <v>94</v>
      </c>
      <c r="I208" s="27" t="s">
        <v>49</v>
      </c>
      <c r="J208" s="27" t="s">
        <v>176</v>
      </c>
      <c r="K208" s="27" t="s">
        <v>51</v>
      </c>
      <c r="L208" s="31" t="s">
        <v>563</v>
      </c>
      <c r="M208" s="32">
        <v>0.52</v>
      </c>
      <c r="N208" s="27" t="s">
        <v>33</v>
      </c>
      <c r="O208" s="27" t="s">
        <v>53</v>
      </c>
      <c r="P208" s="27" t="s">
        <v>103</v>
      </c>
      <c r="Q208" s="27" t="s">
        <v>562</v>
      </c>
      <c r="R208" s="33">
        <v>60540</v>
      </c>
      <c r="S208" s="34">
        <v>42020</v>
      </c>
      <c r="T208" s="34">
        <v>42021</v>
      </c>
      <c r="U208" s="29">
        <v>4.2027999999999999</v>
      </c>
      <c r="V208" s="26">
        <v>10</v>
      </c>
      <c r="W208" s="29">
        <v>19.14</v>
      </c>
      <c r="X208" s="26">
        <v>86789</v>
      </c>
      <c r="Y208" s="35">
        <v>12.97</v>
      </c>
      <c r="Z208" s="1" t="s">
        <v>3012</v>
      </c>
      <c r="AA208" s="36">
        <v>0.54300000000000004</v>
      </c>
      <c r="AB208" s="54">
        <v>9.1872000000000007</v>
      </c>
      <c r="AC208" s="54">
        <v>0.99528000000000016</v>
      </c>
      <c r="AD208" s="36">
        <v>13.644200000000001</v>
      </c>
    </row>
    <row r="209" spans="1:30" s="37" customFormat="1" ht="15.75" customHeight="1" x14ac:dyDescent="0.2">
      <c r="A209" s="26">
        <v>1603</v>
      </c>
      <c r="B209" s="27" t="s">
        <v>540</v>
      </c>
      <c r="C209" s="27" t="s">
        <v>26</v>
      </c>
      <c r="D209" s="28">
        <v>0.09</v>
      </c>
      <c r="E209" s="29">
        <v>2.1800000000000002</v>
      </c>
      <c r="F209" s="29">
        <v>0.78</v>
      </c>
      <c r="G209" s="30" t="s">
        <v>39</v>
      </c>
      <c r="H209" s="27" t="s">
        <v>3095</v>
      </c>
      <c r="I209" s="27" t="s">
        <v>49</v>
      </c>
      <c r="J209" s="27" t="s">
        <v>176</v>
      </c>
      <c r="K209" s="27" t="s">
        <v>51</v>
      </c>
      <c r="L209" s="31" t="s">
        <v>541</v>
      </c>
      <c r="M209" s="32">
        <v>0.52</v>
      </c>
      <c r="N209" s="27" t="s">
        <v>33</v>
      </c>
      <c r="O209" s="27" t="s">
        <v>111</v>
      </c>
      <c r="P209" s="27" t="s">
        <v>112</v>
      </c>
      <c r="Q209" s="27" t="s">
        <v>542</v>
      </c>
      <c r="R209" s="33">
        <v>11598</v>
      </c>
      <c r="S209" s="34">
        <v>42020</v>
      </c>
      <c r="T209" s="34">
        <v>42022</v>
      </c>
      <c r="U209" s="29">
        <v>2.4548000000000001</v>
      </c>
      <c r="V209" s="26">
        <v>9</v>
      </c>
      <c r="W209" s="29">
        <v>19.12</v>
      </c>
      <c r="X209" s="26">
        <v>89679</v>
      </c>
      <c r="Y209" s="35">
        <v>35.39</v>
      </c>
      <c r="Z209" s="1" t="s">
        <v>3014</v>
      </c>
      <c r="AA209" s="36">
        <v>1.7658</v>
      </c>
      <c r="AB209" s="54">
        <v>9.1776</v>
      </c>
      <c r="AC209" s="54">
        <v>1.1047111111111112</v>
      </c>
      <c r="AD209" s="36">
        <v>14.119400000000001</v>
      </c>
    </row>
    <row r="210" spans="1:30" s="37" customFormat="1" ht="15.75" customHeight="1" x14ac:dyDescent="0.2">
      <c r="A210" s="26">
        <v>3385</v>
      </c>
      <c r="B210" s="27" t="s">
        <v>555</v>
      </c>
      <c r="C210" s="27" t="s">
        <v>48</v>
      </c>
      <c r="D210" s="28">
        <v>0.04</v>
      </c>
      <c r="E210" s="29">
        <v>2.98</v>
      </c>
      <c r="F210" s="29">
        <v>2.0299999999999998</v>
      </c>
      <c r="G210" s="30" t="s">
        <v>87</v>
      </c>
      <c r="H210" s="27" t="s">
        <v>94</v>
      </c>
      <c r="I210" s="27" t="s">
        <v>49</v>
      </c>
      <c r="J210" s="27" t="s">
        <v>50</v>
      </c>
      <c r="K210" s="27" t="s">
        <v>51</v>
      </c>
      <c r="L210" s="31" t="s">
        <v>556</v>
      </c>
      <c r="M210" s="32">
        <v>0.56999999999999995</v>
      </c>
      <c r="N210" s="27" t="s">
        <v>33</v>
      </c>
      <c r="O210" s="27" t="s">
        <v>111</v>
      </c>
      <c r="P210" s="27" t="s">
        <v>317</v>
      </c>
      <c r="Q210" s="27" t="s">
        <v>557</v>
      </c>
      <c r="R210" s="33">
        <v>44512</v>
      </c>
      <c r="S210" s="34">
        <v>42020</v>
      </c>
      <c r="T210" s="34">
        <v>42020</v>
      </c>
      <c r="U210" s="29">
        <v>-22.01</v>
      </c>
      <c r="V210" s="26">
        <v>5</v>
      </c>
      <c r="W210" s="29">
        <v>15.7</v>
      </c>
      <c r="X210" s="26">
        <v>88745</v>
      </c>
      <c r="Y210" s="35">
        <v>12.96</v>
      </c>
      <c r="Z210" s="1" t="s">
        <v>3014</v>
      </c>
      <c r="AA210" s="36">
        <v>0.59599999999999997</v>
      </c>
      <c r="AB210" s="54">
        <v>6.7510000000000003</v>
      </c>
      <c r="AC210" s="54">
        <v>1.7897999999999996</v>
      </c>
      <c r="AD210" s="36">
        <v>35.084000000000003</v>
      </c>
    </row>
    <row r="211" spans="1:30" s="37" customFormat="1" ht="15.75" customHeight="1" x14ac:dyDescent="0.2">
      <c r="A211" s="26">
        <v>366</v>
      </c>
      <c r="B211" s="27" t="s">
        <v>582</v>
      </c>
      <c r="C211" s="27" t="s">
        <v>116</v>
      </c>
      <c r="D211" s="28">
        <v>0.05</v>
      </c>
      <c r="E211" s="29">
        <v>328.14</v>
      </c>
      <c r="F211" s="29">
        <v>91.05</v>
      </c>
      <c r="G211" s="30" t="s">
        <v>27</v>
      </c>
      <c r="H211" s="27" t="s">
        <v>3095</v>
      </c>
      <c r="I211" s="27" t="s">
        <v>49</v>
      </c>
      <c r="J211" s="27" t="s">
        <v>95</v>
      </c>
      <c r="K211" s="27" t="s">
        <v>58</v>
      </c>
      <c r="L211" s="31" t="s">
        <v>583</v>
      </c>
      <c r="M211" s="32">
        <v>0.56999999999999995</v>
      </c>
      <c r="N211" s="27" t="s">
        <v>33</v>
      </c>
      <c r="O211" s="27" t="s">
        <v>111</v>
      </c>
      <c r="P211" s="27" t="s">
        <v>584</v>
      </c>
      <c r="Q211" s="27" t="s">
        <v>585</v>
      </c>
      <c r="R211" s="33">
        <v>2910</v>
      </c>
      <c r="S211" s="34">
        <v>42021</v>
      </c>
      <c r="T211" s="34">
        <v>42023</v>
      </c>
      <c r="U211" s="29">
        <v>411.5172</v>
      </c>
      <c r="V211" s="26">
        <v>6</v>
      </c>
      <c r="W211" s="29">
        <v>1967.98</v>
      </c>
      <c r="X211" s="26">
        <v>87347</v>
      </c>
      <c r="Y211" s="35">
        <v>30.450000000000003</v>
      </c>
      <c r="Z211" s="1" t="s">
        <v>3014</v>
      </c>
      <c r="AA211" s="36">
        <v>98.442000000000007</v>
      </c>
      <c r="AB211" s="54">
        <v>846.23140000000012</v>
      </c>
      <c r="AC211" s="54">
        <v>186.95809999999997</v>
      </c>
      <c r="AD211" s="36">
        <v>1366.9708000000001</v>
      </c>
    </row>
    <row r="212" spans="1:30" s="37" customFormat="1" ht="15.75" customHeight="1" x14ac:dyDescent="0.2">
      <c r="A212" s="26">
        <v>744</v>
      </c>
      <c r="B212" s="27" t="s">
        <v>586</v>
      </c>
      <c r="C212" s="27" t="s">
        <v>116</v>
      </c>
      <c r="D212" s="28">
        <v>0.03</v>
      </c>
      <c r="E212" s="29">
        <v>119.99</v>
      </c>
      <c r="F212" s="29">
        <v>56.14</v>
      </c>
      <c r="G212" s="30" t="s">
        <v>27</v>
      </c>
      <c r="H212" s="27" t="s">
        <v>40</v>
      </c>
      <c r="I212" s="27" t="s">
        <v>41</v>
      </c>
      <c r="J212" s="27" t="s">
        <v>57</v>
      </c>
      <c r="K212" s="27" t="s">
        <v>31</v>
      </c>
      <c r="L212" s="31" t="s">
        <v>587</v>
      </c>
      <c r="M212" s="32">
        <v>0.39</v>
      </c>
      <c r="N212" s="27" t="s">
        <v>33</v>
      </c>
      <c r="O212" s="27" t="s">
        <v>60</v>
      </c>
      <c r="P212" s="27" t="s">
        <v>588</v>
      </c>
      <c r="Q212" s="27" t="s">
        <v>589</v>
      </c>
      <c r="R212" s="33">
        <v>85737</v>
      </c>
      <c r="S212" s="34">
        <v>42021</v>
      </c>
      <c r="T212" s="34">
        <v>42023</v>
      </c>
      <c r="U212" s="29">
        <v>1400.1</v>
      </c>
      <c r="V212" s="26">
        <v>13</v>
      </c>
      <c r="W212" s="29">
        <v>1545.58</v>
      </c>
      <c r="X212" s="26">
        <v>87726</v>
      </c>
      <c r="Y212" s="35">
        <v>1.67</v>
      </c>
      <c r="Z212" s="1" t="s">
        <v>3013</v>
      </c>
      <c r="AA212" s="36">
        <v>46.796099999999996</v>
      </c>
      <c r="AB212" s="54">
        <v>942.80379999999991</v>
      </c>
      <c r="AC212" s="54">
        <v>46.367399999999996</v>
      </c>
      <c r="AD212" s="36">
        <v>42.543899999999894</v>
      </c>
    </row>
    <row r="213" spans="1:30" s="37" customFormat="1" ht="15.75" customHeight="1" x14ac:dyDescent="0.2">
      <c r="A213" s="26">
        <v>2628</v>
      </c>
      <c r="B213" s="27" t="s">
        <v>610</v>
      </c>
      <c r="C213" s="27" t="s">
        <v>116</v>
      </c>
      <c r="D213" s="28">
        <v>0.02</v>
      </c>
      <c r="E213" s="29">
        <v>30.53</v>
      </c>
      <c r="F213" s="29">
        <v>19.989999999999998</v>
      </c>
      <c r="G213" s="30" t="s">
        <v>87</v>
      </c>
      <c r="H213" s="27" t="s">
        <v>94</v>
      </c>
      <c r="I213" s="27" t="s">
        <v>49</v>
      </c>
      <c r="J213" s="27" t="s">
        <v>152</v>
      </c>
      <c r="K213" s="27" t="s">
        <v>73</v>
      </c>
      <c r="L213" s="31" t="s">
        <v>571</v>
      </c>
      <c r="M213" s="32">
        <v>0.39</v>
      </c>
      <c r="N213" s="27" t="s">
        <v>33</v>
      </c>
      <c r="O213" s="27" t="s">
        <v>53</v>
      </c>
      <c r="P213" s="27" t="s">
        <v>207</v>
      </c>
      <c r="Q213" s="27" t="s">
        <v>611</v>
      </c>
      <c r="R213" s="33">
        <v>73160</v>
      </c>
      <c r="S213" s="34">
        <v>42021</v>
      </c>
      <c r="T213" s="34">
        <v>42023</v>
      </c>
      <c r="U213" s="29">
        <v>-54.63</v>
      </c>
      <c r="V213" s="26">
        <v>14</v>
      </c>
      <c r="W213" s="29">
        <v>448.47</v>
      </c>
      <c r="X213" s="26">
        <v>85916</v>
      </c>
      <c r="Y213" s="35">
        <v>4.84</v>
      </c>
      <c r="Z213" s="1" t="s">
        <v>3012</v>
      </c>
      <c r="AA213" s="36">
        <v>8.5484000000000009</v>
      </c>
      <c r="AB213" s="54">
        <v>273.56670000000003</v>
      </c>
      <c r="AC213" s="54">
        <v>12.493092857142857</v>
      </c>
      <c r="AD213" s="36">
        <v>474.5616</v>
      </c>
    </row>
    <row r="214" spans="1:30" s="37" customFormat="1" ht="15.75" customHeight="1" x14ac:dyDescent="0.2">
      <c r="A214" s="26">
        <v>745</v>
      </c>
      <c r="B214" s="27" t="s">
        <v>590</v>
      </c>
      <c r="C214" s="27" t="s">
        <v>116</v>
      </c>
      <c r="D214" s="28">
        <v>0.05</v>
      </c>
      <c r="E214" s="29">
        <v>115.79</v>
      </c>
      <c r="F214" s="29">
        <v>1.99</v>
      </c>
      <c r="G214" s="30" t="s">
        <v>39</v>
      </c>
      <c r="H214" s="27" t="s">
        <v>40</v>
      </c>
      <c r="I214" s="27" t="s">
        <v>41</v>
      </c>
      <c r="J214" s="27" t="s">
        <v>42</v>
      </c>
      <c r="K214" s="27" t="s">
        <v>43</v>
      </c>
      <c r="L214" s="31" t="s">
        <v>591</v>
      </c>
      <c r="M214" s="32">
        <v>0.49</v>
      </c>
      <c r="N214" s="27" t="s">
        <v>33</v>
      </c>
      <c r="O214" s="27" t="s">
        <v>60</v>
      </c>
      <c r="P214" s="27" t="s">
        <v>588</v>
      </c>
      <c r="Q214" s="27" t="s">
        <v>592</v>
      </c>
      <c r="R214" s="33">
        <v>85345</v>
      </c>
      <c r="S214" s="34">
        <v>42021</v>
      </c>
      <c r="T214" s="34">
        <v>42023</v>
      </c>
      <c r="U214" s="29">
        <v>67.599999999999994</v>
      </c>
      <c r="V214" s="26">
        <v>3</v>
      </c>
      <c r="W214" s="29">
        <v>353.1</v>
      </c>
      <c r="X214" s="26">
        <v>87726</v>
      </c>
      <c r="Y214" s="35">
        <v>1.81</v>
      </c>
      <c r="Z214" s="1" t="s">
        <v>3013</v>
      </c>
      <c r="AA214" s="36">
        <v>17.368500000000001</v>
      </c>
      <c r="AB214" s="54">
        <v>180.08100000000002</v>
      </c>
      <c r="AC214" s="54">
        <v>57.673000000000002</v>
      </c>
      <c r="AD214" s="36">
        <v>266.14150000000006</v>
      </c>
    </row>
    <row r="215" spans="1:30" s="37" customFormat="1" ht="15.75" customHeight="1" x14ac:dyDescent="0.2">
      <c r="A215" s="26">
        <v>2618</v>
      </c>
      <c r="B215" s="27" t="s">
        <v>607</v>
      </c>
      <c r="C215" s="27" t="s">
        <v>116</v>
      </c>
      <c r="D215" s="28">
        <v>0</v>
      </c>
      <c r="E215" s="29">
        <v>125.99</v>
      </c>
      <c r="F215" s="29">
        <v>2.5</v>
      </c>
      <c r="G215" s="30" t="s">
        <v>39</v>
      </c>
      <c r="H215" s="27" t="s">
        <v>94</v>
      </c>
      <c r="I215" s="27" t="s">
        <v>41</v>
      </c>
      <c r="J215" s="27" t="s">
        <v>135</v>
      </c>
      <c r="K215" s="27" t="s">
        <v>73</v>
      </c>
      <c r="L215" s="31" t="s">
        <v>609</v>
      </c>
      <c r="M215" s="32">
        <v>0.59</v>
      </c>
      <c r="N215" s="27" t="s">
        <v>33</v>
      </c>
      <c r="O215" s="27" t="s">
        <v>111</v>
      </c>
      <c r="P215" s="27" t="s">
        <v>112</v>
      </c>
      <c r="Q215" s="27" t="s">
        <v>113</v>
      </c>
      <c r="R215" s="33">
        <v>10004</v>
      </c>
      <c r="S215" s="34">
        <v>42021</v>
      </c>
      <c r="T215" s="34">
        <v>42023</v>
      </c>
      <c r="U215" s="29">
        <v>-815.9008</v>
      </c>
      <c r="V215" s="26">
        <v>3</v>
      </c>
      <c r="W215" s="29">
        <v>337.34</v>
      </c>
      <c r="X215" s="26">
        <v>46884</v>
      </c>
      <c r="Y215" s="35">
        <v>328.09</v>
      </c>
      <c r="Z215" s="1" t="s">
        <v>3014</v>
      </c>
      <c r="AA215" s="36">
        <v>0</v>
      </c>
      <c r="AB215" s="54">
        <v>138.30940000000001</v>
      </c>
      <c r="AC215" s="54">
        <v>66.343533333333326</v>
      </c>
      <c r="AD215" s="36">
        <v>1150.7408</v>
      </c>
    </row>
    <row r="216" spans="1:30" s="37" customFormat="1" ht="15.75" customHeight="1" x14ac:dyDescent="0.2">
      <c r="A216" s="26">
        <v>2059</v>
      </c>
      <c r="B216" s="27" t="s">
        <v>616</v>
      </c>
      <c r="C216" s="27" t="s">
        <v>3094</v>
      </c>
      <c r="D216" s="28">
        <v>0.09</v>
      </c>
      <c r="E216" s="29">
        <v>28.48</v>
      </c>
      <c r="F216" s="29">
        <v>1.99</v>
      </c>
      <c r="G216" s="30" t="s">
        <v>39</v>
      </c>
      <c r="H216" s="27" t="s">
        <v>94</v>
      </c>
      <c r="I216" s="27" t="s">
        <v>41</v>
      </c>
      <c r="J216" s="27" t="s">
        <v>42</v>
      </c>
      <c r="K216" s="27" t="s">
        <v>43</v>
      </c>
      <c r="L216" s="31" t="s">
        <v>212</v>
      </c>
      <c r="M216" s="32">
        <v>0.4</v>
      </c>
      <c r="N216" s="27" t="s">
        <v>33</v>
      </c>
      <c r="O216" s="27" t="s">
        <v>34</v>
      </c>
      <c r="P216" s="27" t="s">
        <v>97</v>
      </c>
      <c r="Q216" s="27" t="s">
        <v>617</v>
      </c>
      <c r="R216" s="33">
        <v>27260</v>
      </c>
      <c r="S216" s="34">
        <v>42021</v>
      </c>
      <c r="T216" s="34">
        <v>42022</v>
      </c>
      <c r="U216" s="29">
        <v>-1250.7460000000001</v>
      </c>
      <c r="V216" s="26">
        <v>13</v>
      </c>
      <c r="W216" s="29">
        <v>336.92</v>
      </c>
      <c r="X216" s="26">
        <v>88039</v>
      </c>
      <c r="Y216" s="35">
        <v>119.96</v>
      </c>
      <c r="Z216" s="1" t="s">
        <v>3011</v>
      </c>
      <c r="AA216" s="36">
        <v>33.321600000000004</v>
      </c>
      <c r="AB216" s="54">
        <v>202.15200000000002</v>
      </c>
      <c r="AC216" s="54">
        <v>10.366769230769231</v>
      </c>
      <c r="AD216" s="36">
        <v>1552.3544000000002</v>
      </c>
    </row>
    <row r="217" spans="1:30" s="37" customFormat="1" ht="15.75" customHeight="1" x14ac:dyDescent="0.2">
      <c r="A217" s="26">
        <v>592</v>
      </c>
      <c r="B217" s="27" t="s">
        <v>570</v>
      </c>
      <c r="C217" s="27" t="s">
        <v>26</v>
      </c>
      <c r="D217" s="28">
        <v>0.08</v>
      </c>
      <c r="E217" s="29">
        <v>30.53</v>
      </c>
      <c r="F217" s="29">
        <v>19.989999999999998</v>
      </c>
      <c r="G217" s="30" t="s">
        <v>39</v>
      </c>
      <c r="H217" s="27" t="s">
        <v>3095</v>
      </c>
      <c r="I217" s="27" t="s">
        <v>49</v>
      </c>
      <c r="J217" s="27" t="s">
        <v>152</v>
      </c>
      <c r="K217" s="27" t="s">
        <v>73</v>
      </c>
      <c r="L217" s="31" t="s">
        <v>571</v>
      </c>
      <c r="M217" s="32">
        <v>0.39</v>
      </c>
      <c r="N217" s="27" t="s">
        <v>33</v>
      </c>
      <c r="O217" s="27" t="s">
        <v>53</v>
      </c>
      <c r="P217" s="27" t="s">
        <v>103</v>
      </c>
      <c r="Q217" s="27" t="s">
        <v>572</v>
      </c>
      <c r="R217" s="33">
        <v>60091</v>
      </c>
      <c r="S217" s="34">
        <v>42021</v>
      </c>
      <c r="T217" s="34">
        <v>42021</v>
      </c>
      <c r="U217" s="29">
        <v>-239.8656</v>
      </c>
      <c r="V217" s="26">
        <v>10</v>
      </c>
      <c r="W217" s="29">
        <v>285.87</v>
      </c>
      <c r="X217" s="26">
        <v>86307</v>
      </c>
      <c r="Y217" s="35">
        <v>115.74000000000001</v>
      </c>
      <c r="Z217" s="1" t="s">
        <v>3012</v>
      </c>
      <c r="AA217" s="36">
        <v>24.423999999999999</v>
      </c>
      <c r="AB217" s="54">
        <v>174.38069999999999</v>
      </c>
      <c r="AC217" s="54">
        <v>11.14893</v>
      </c>
      <c r="AD217" s="36">
        <v>481.32159999999999</v>
      </c>
    </row>
    <row r="218" spans="1:30" s="37" customFormat="1" ht="15.75" customHeight="1" x14ac:dyDescent="0.2">
      <c r="A218" s="26">
        <v>2725</v>
      </c>
      <c r="B218" s="27" t="s">
        <v>618</v>
      </c>
      <c r="C218" s="27" t="s">
        <v>3094</v>
      </c>
      <c r="D218" s="28">
        <v>0.05</v>
      </c>
      <c r="E218" s="29">
        <v>28.15</v>
      </c>
      <c r="F218" s="29">
        <v>6.17</v>
      </c>
      <c r="G218" s="30" t="s">
        <v>39</v>
      </c>
      <c r="H218" s="27" t="s">
        <v>71</v>
      </c>
      <c r="I218" s="27" t="s">
        <v>49</v>
      </c>
      <c r="J218" s="27" t="s">
        <v>50</v>
      </c>
      <c r="K218" s="27" t="s">
        <v>43</v>
      </c>
      <c r="L218" s="31" t="s">
        <v>619</v>
      </c>
      <c r="M218" s="32">
        <v>0.55000000000000004</v>
      </c>
      <c r="N218" s="27" t="s">
        <v>33</v>
      </c>
      <c r="O218" s="27" t="s">
        <v>34</v>
      </c>
      <c r="P218" s="27" t="s">
        <v>400</v>
      </c>
      <c r="Q218" s="27" t="s">
        <v>620</v>
      </c>
      <c r="R218" s="33">
        <v>37042</v>
      </c>
      <c r="S218" s="34">
        <v>42021</v>
      </c>
      <c r="T218" s="34">
        <v>42022</v>
      </c>
      <c r="U218" s="29">
        <v>-66.248000000000005</v>
      </c>
      <c r="V218" s="26">
        <v>10</v>
      </c>
      <c r="W218" s="29">
        <v>282.38</v>
      </c>
      <c r="X218" s="26">
        <v>88958</v>
      </c>
      <c r="Y218" s="35">
        <v>14.76</v>
      </c>
      <c r="Z218" s="1" t="s">
        <v>3011</v>
      </c>
      <c r="AA218" s="36">
        <v>14.074999999999999</v>
      </c>
      <c r="AB218" s="54">
        <v>127.07099999999998</v>
      </c>
      <c r="AC218" s="54">
        <v>15.530900000000001</v>
      </c>
      <c r="AD218" s="36">
        <v>328.38299999999998</v>
      </c>
    </row>
    <row r="219" spans="1:30" s="37" customFormat="1" ht="15.75" customHeight="1" x14ac:dyDescent="0.2">
      <c r="A219" s="26">
        <v>2618</v>
      </c>
      <c r="B219" s="27" t="s">
        <v>607</v>
      </c>
      <c r="C219" s="27" t="s">
        <v>116</v>
      </c>
      <c r="D219" s="28">
        <v>0.1</v>
      </c>
      <c r="E219" s="29">
        <v>11.55</v>
      </c>
      <c r="F219" s="29">
        <v>2.36</v>
      </c>
      <c r="G219" s="30" t="s">
        <v>39</v>
      </c>
      <c r="H219" s="27" t="s">
        <v>94</v>
      </c>
      <c r="I219" s="27" t="s">
        <v>49</v>
      </c>
      <c r="J219" s="27" t="s">
        <v>50</v>
      </c>
      <c r="K219" s="27" t="s">
        <v>51</v>
      </c>
      <c r="L219" s="31" t="s">
        <v>380</v>
      </c>
      <c r="M219" s="32">
        <v>0.55000000000000004</v>
      </c>
      <c r="N219" s="27" t="s">
        <v>33</v>
      </c>
      <c r="O219" s="27" t="s">
        <v>111</v>
      </c>
      <c r="P219" s="27" t="s">
        <v>112</v>
      </c>
      <c r="Q219" s="27" t="s">
        <v>113</v>
      </c>
      <c r="R219" s="33">
        <v>10004</v>
      </c>
      <c r="S219" s="34">
        <v>42021</v>
      </c>
      <c r="T219" s="34">
        <v>42022</v>
      </c>
      <c r="U219" s="29">
        <v>15.808</v>
      </c>
      <c r="V219" s="26">
        <v>25</v>
      </c>
      <c r="W219" s="29">
        <v>280.43</v>
      </c>
      <c r="X219" s="26">
        <v>46884</v>
      </c>
      <c r="Y219" s="35">
        <v>4.1500000000000004</v>
      </c>
      <c r="Z219" s="1" t="s">
        <v>3014</v>
      </c>
      <c r="AA219" s="36">
        <v>28.875</v>
      </c>
      <c r="AB219" s="54">
        <v>126.19349999999999</v>
      </c>
      <c r="AC219" s="54">
        <v>6.1694600000000008</v>
      </c>
      <c r="AD219" s="36">
        <v>233.387</v>
      </c>
    </row>
    <row r="220" spans="1:30" s="37" customFormat="1" ht="15.75" customHeight="1" x14ac:dyDescent="0.2">
      <c r="A220" s="26">
        <v>1873</v>
      </c>
      <c r="B220" s="27" t="s">
        <v>603</v>
      </c>
      <c r="C220" s="27" t="s">
        <v>116</v>
      </c>
      <c r="D220" s="28">
        <v>0.06</v>
      </c>
      <c r="E220" s="29">
        <v>22.84</v>
      </c>
      <c r="F220" s="29">
        <v>8.18</v>
      </c>
      <c r="G220" s="30" t="s">
        <v>39</v>
      </c>
      <c r="H220" s="27" t="s">
        <v>94</v>
      </c>
      <c r="I220" s="27" t="s">
        <v>49</v>
      </c>
      <c r="J220" s="27" t="s">
        <v>88</v>
      </c>
      <c r="K220" s="27" t="s">
        <v>73</v>
      </c>
      <c r="L220" s="31" t="s">
        <v>605</v>
      </c>
      <c r="M220" s="32">
        <v>0.39</v>
      </c>
      <c r="N220" s="27" t="s">
        <v>33</v>
      </c>
      <c r="O220" s="27" t="s">
        <v>34</v>
      </c>
      <c r="P220" s="27" t="s">
        <v>123</v>
      </c>
      <c r="Q220" s="27" t="s">
        <v>604</v>
      </c>
      <c r="R220" s="33">
        <v>33403</v>
      </c>
      <c r="S220" s="34">
        <v>42021</v>
      </c>
      <c r="T220" s="34">
        <v>42021</v>
      </c>
      <c r="U220" s="29">
        <v>-357.92399999999998</v>
      </c>
      <c r="V220" s="26">
        <v>7</v>
      </c>
      <c r="W220" s="29">
        <v>152.49</v>
      </c>
      <c r="X220" s="26">
        <v>90099</v>
      </c>
      <c r="Y220" s="35">
        <v>5.63</v>
      </c>
      <c r="Z220" s="1" t="s">
        <v>3011</v>
      </c>
      <c r="AA220" s="36">
        <v>9.5927999999999987</v>
      </c>
      <c r="AB220" s="54">
        <v>93.018900000000002</v>
      </c>
      <c r="AC220" s="54">
        <v>8.4958714285714301</v>
      </c>
      <c r="AD220" s="36">
        <v>492.64119999999997</v>
      </c>
    </row>
    <row r="221" spans="1:30" s="37" customFormat="1" ht="15.75" customHeight="1" x14ac:dyDescent="0.2">
      <c r="A221" s="26">
        <v>2618</v>
      </c>
      <c r="B221" s="27" t="s">
        <v>607</v>
      </c>
      <c r="C221" s="27" t="s">
        <v>116</v>
      </c>
      <c r="D221" s="28">
        <v>0.1</v>
      </c>
      <c r="E221" s="29">
        <v>7.64</v>
      </c>
      <c r="F221" s="29">
        <v>1.39</v>
      </c>
      <c r="G221" s="30" t="s">
        <v>39</v>
      </c>
      <c r="H221" s="27" t="s">
        <v>94</v>
      </c>
      <c r="I221" s="27" t="s">
        <v>49</v>
      </c>
      <c r="J221" s="27" t="s">
        <v>345</v>
      </c>
      <c r="K221" s="27" t="s">
        <v>73</v>
      </c>
      <c r="L221" s="31" t="s">
        <v>608</v>
      </c>
      <c r="M221" s="32">
        <v>0.36</v>
      </c>
      <c r="N221" s="27" t="s">
        <v>33</v>
      </c>
      <c r="O221" s="27" t="s">
        <v>111</v>
      </c>
      <c r="P221" s="27" t="s">
        <v>112</v>
      </c>
      <c r="Q221" s="27" t="s">
        <v>113</v>
      </c>
      <c r="R221" s="33">
        <v>10004</v>
      </c>
      <c r="S221" s="34">
        <v>42021</v>
      </c>
      <c r="T221" s="34">
        <v>42023</v>
      </c>
      <c r="U221" s="29">
        <v>16.12</v>
      </c>
      <c r="V221" s="26">
        <v>18</v>
      </c>
      <c r="W221" s="29">
        <v>130.11000000000001</v>
      </c>
      <c r="X221" s="26">
        <v>46884</v>
      </c>
      <c r="Y221" s="35">
        <v>16.420000000000002</v>
      </c>
      <c r="Z221" s="1" t="s">
        <v>3014</v>
      </c>
      <c r="AA221" s="36">
        <v>13.752000000000001</v>
      </c>
      <c r="AB221" s="54">
        <v>83.270400000000009</v>
      </c>
      <c r="AC221" s="54">
        <v>2.6022000000000003</v>
      </c>
      <c r="AD221" s="36">
        <v>98.848000000000013</v>
      </c>
    </row>
    <row r="222" spans="1:30" s="37" customFormat="1" ht="15.75" customHeight="1" x14ac:dyDescent="0.2">
      <c r="A222" s="26">
        <v>1719</v>
      </c>
      <c r="B222" s="27" t="s">
        <v>600</v>
      </c>
      <c r="C222" s="27" t="s">
        <v>116</v>
      </c>
      <c r="D222" s="28">
        <v>0.06</v>
      </c>
      <c r="E222" s="29">
        <v>16.48</v>
      </c>
      <c r="F222" s="29">
        <v>1.99</v>
      </c>
      <c r="G222" s="30" t="s">
        <v>39</v>
      </c>
      <c r="H222" s="27" t="s">
        <v>94</v>
      </c>
      <c r="I222" s="27" t="s">
        <v>41</v>
      </c>
      <c r="J222" s="27" t="s">
        <v>42</v>
      </c>
      <c r="K222" s="27" t="s">
        <v>43</v>
      </c>
      <c r="L222" s="31" t="s">
        <v>601</v>
      </c>
      <c r="M222" s="32">
        <v>0.42</v>
      </c>
      <c r="N222" s="27" t="s">
        <v>33</v>
      </c>
      <c r="O222" s="27" t="s">
        <v>34</v>
      </c>
      <c r="P222" s="27" t="s">
        <v>164</v>
      </c>
      <c r="Q222" s="27" t="s">
        <v>602</v>
      </c>
      <c r="R222" s="33">
        <v>35473</v>
      </c>
      <c r="S222" s="34">
        <v>42021</v>
      </c>
      <c r="T222" s="34">
        <v>42023</v>
      </c>
      <c r="U222" s="29">
        <v>-144.59200000000001</v>
      </c>
      <c r="V222" s="26">
        <v>8</v>
      </c>
      <c r="W222" s="29">
        <v>128.13</v>
      </c>
      <c r="X222" s="26">
        <v>90786</v>
      </c>
      <c r="Y222" s="35">
        <v>90.45</v>
      </c>
      <c r="Z222" s="1" t="s">
        <v>3011</v>
      </c>
      <c r="AA222" s="36">
        <v>7.9104000000000001</v>
      </c>
      <c r="AB222" s="54">
        <v>74.315400000000011</v>
      </c>
      <c r="AC222" s="54">
        <v>6.7268249999999998</v>
      </c>
      <c r="AD222" s="36">
        <v>262.82159999999999</v>
      </c>
    </row>
    <row r="223" spans="1:30" s="37" customFormat="1" ht="15.75" customHeight="1" x14ac:dyDescent="0.2">
      <c r="A223" s="26">
        <v>1873</v>
      </c>
      <c r="B223" s="27" t="s">
        <v>603</v>
      </c>
      <c r="C223" s="27" t="s">
        <v>116</v>
      </c>
      <c r="D223" s="28">
        <v>0.03</v>
      </c>
      <c r="E223" s="29">
        <v>90.48</v>
      </c>
      <c r="F223" s="29">
        <v>19.989999999999998</v>
      </c>
      <c r="G223" s="30" t="s">
        <v>39</v>
      </c>
      <c r="H223" s="27" t="s">
        <v>94</v>
      </c>
      <c r="I223" s="27" t="s">
        <v>49</v>
      </c>
      <c r="J223" s="27" t="s">
        <v>345</v>
      </c>
      <c r="K223" s="27" t="s">
        <v>73</v>
      </c>
      <c r="L223" s="31" t="s">
        <v>502</v>
      </c>
      <c r="M223" s="32">
        <v>0.4</v>
      </c>
      <c r="N223" s="27" t="s">
        <v>33</v>
      </c>
      <c r="O223" s="27" t="s">
        <v>34</v>
      </c>
      <c r="P223" s="27" t="s">
        <v>123</v>
      </c>
      <c r="Q223" s="27" t="s">
        <v>604</v>
      </c>
      <c r="R223" s="33">
        <v>33403</v>
      </c>
      <c r="S223" s="34">
        <v>42021</v>
      </c>
      <c r="T223" s="34">
        <v>42023</v>
      </c>
      <c r="U223" s="29">
        <v>15.353999999999999</v>
      </c>
      <c r="V223" s="26">
        <v>1</v>
      </c>
      <c r="W223" s="29">
        <v>99.69</v>
      </c>
      <c r="X223" s="26">
        <v>90099</v>
      </c>
      <c r="Y223" s="35">
        <v>22.78</v>
      </c>
      <c r="Z223" s="1" t="s">
        <v>3011</v>
      </c>
      <c r="AA223" s="36">
        <v>2.7143999999999999</v>
      </c>
      <c r="AB223" s="54">
        <v>59.813999999999993</v>
      </c>
      <c r="AC223" s="54">
        <v>39.876000000000005</v>
      </c>
      <c r="AD223" s="36">
        <v>61.631600000000006</v>
      </c>
    </row>
    <row r="224" spans="1:30" s="37" customFormat="1" ht="15.75" customHeight="1" x14ac:dyDescent="0.2">
      <c r="A224" s="26">
        <v>526</v>
      </c>
      <c r="B224" s="27" t="s">
        <v>612</v>
      </c>
      <c r="C224" s="27" t="s">
        <v>3094</v>
      </c>
      <c r="D224" s="28">
        <v>0.06</v>
      </c>
      <c r="E224" s="29">
        <v>5.78</v>
      </c>
      <c r="F224" s="29">
        <v>5.67</v>
      </c>
      <c r="G224" s="30" t="s">
        <v>39</v>
      </c>
      <c r="H224" s="27" t="s">
        <v>71</v>
      </c>
      <c r="I224" s="27" t="s">
        <v>49</v>
      </c>
      <c r="J224" s="27" t="s">
        <v>88</v>
      </c>
      <c r="K224" s="27" t="s">
        <v>73</v>
      </c>
      <c r="L224" s="31" t="s">
        <v>615</v>
      </c>
      <c r="M224" s="32">
        <v>0.36</v>
      </c>
      <c r="N224" s="27" t="s">
        <v>33</v>
      </c>
      <c r="O224" s="27" t="s">
        <v>60</v>
      </c>
      <c r="P224" s="27" t="s">
        <v>588</v>
      </c>
      <c r="Q224" s="27" t="s">
        <v>614</v>
      </c>
      <c r="R224" s="33">
        <v>85204</v>
      </c>
      <c r="S224" s="34">
        <v>42021</v>
      </c>
      <c r="T224" s="34">
        <v>42022</v>
      </c>
      <c r="U224" s="29">
        <v>-108.19</v>
      </c>
      <c r="V224" s="26">
        <v>15</v>
      </c>
      <c r="W224" s="29">
        <v>87.27</v>
      </c>
      <c r="X224" s="26">
        <v>90027</v>
      </c>
      <c r="Y224" s="35">
        <v>1.69</v>
      </c>
      <c r="Z224" s="1" t="s">
        <v>3013</v>
      </c>
      <c r="AA224" s="36">
        <v>5.202</v>
      </c>
      <c r="AB224" s="54">
        <v>55.852800000000002</v>
      </c>
      <c r="AC224" s="54">
        <v>2.0944799999999999</v>
      </c>
      <c r="AD224" s="36">
        <v>184.58799999999999</v>
      </c>
    </row>
    <row r="225" spans="1:30" s="37" customFormat="1" ht="15.75" customHeight="1" x14ac:dyDescent="0.2">
      <c r="A225" s="26">
        <v>1708</v>
      </c>
      <c r="B225" s="27" t="s">
        <v>597</v>
      </c>
      <c r="C225" s="27" t="s">
        <v>116</v>
      </c>
      <c r="D225" s="28">
        <v>0.05</v>
      </c>
      <c r="E225" s="29">
        <v>5.68</v>
      </c>
      <c r="F225" s="29">
        <v>1.39</v>
      </c>
      <c r="G225" s="30" t="s">
        <v>39</v>
      </c>
      <c r="H225" s="27" t="s">
        <v>3095</v>
      </c>
      <c r="I225" s="27" t="s">
        <v>49</v>
      </c>
      <c r="J225" s="27" t="s">
        <v>345</v>
      </c>
      <c r="K225" s="27" t="s">
        <v>73</v>
      </c>
      <c r="L225" s="31" t="s">
        <v>598</v>
      </c>
      <c r="M225" s="32">
        <v>0.38</v>
      </c>
      <c r="N225" s="27" t="s">
        <v>33</v>
      </c>
      <c r="O225" s="27" t="s">
        <v>111</v>
      </c>
      <c r="P225" s="27" t="s">
        <v>317</v>
      </c>
      <c r="Q225" s="27" t="s">
        <v>599</v>
      </c>
      <c r="R225" s="33">
        <v>44118</v>
      </c>
      <c r="S225" s="34">
        <v>42021</v>
      </c>
      <c r="T225" s="34">
        <v>42022</v>
      </c>
      <c r="U225" s="29">
        <v>38.281199999999998</v>
      </c>
      <c r="V225" s="26">
        <v>10</v>
      </c>
      <c r="W225" s="29">
        <v>55.48</v>
      </c>
      <c r="X225" s="26">
        <v>88781</v>
      </c>
      <c r="Y225" s="35">
        <v>7.54</v>
      </c>
      <c r="Z225" s="1" t="s">
        <v>3014</v>
      </c>
      <c r="AA225" s="36">
        <v>2.84</v>
      </c>
      <c r="AB225" s="54">
        <v>34.397599999999997</v>
      </c>
      <c r="AC225" s="54">
        <v>2.1082399999999999</v>
      </c>
      <c r="AD225" s="36">
        <v>12.968799999999995</v>
      </c>
    </row>
    <row r="226" spans="1:30" s="37" customFormat="1" ht="15.75" customHeight="1" x14ac:dyDescent="0.2">
      <c r="A226" s="26">
        <v>1702</v>
      </c>
      <c r="B226" s="27" t="s">
        <v>593</v>
      </c>
      <c r="C226" s="27" t="s">
        <v>116</v>
      </c>
      <c r="D226" s="28">
        <v>0.05</v>
      </c>
      <c r="E226" s="29">
        <v>14.81</v>
      </c>
      <c r="F226" s="29">
        <v>13.32</v>
      </c>
      <c r="G226" s="30" t="s">
        <v>39</v>
      </c>
      <c r="H226" s="27" t="s">
        <v>71</v>
      </c>
      <c r="I226" s="27" t="s">
        <v>49</v>
      </c>
      <c r="J226" s="27" t="s">
        <v>95</v>
      </c>
      <c r="K226" s="27" t="s">
        <v>73</v>
      </c>
      <c r="L226" s="31" t="s">
        <v>594</v>
      </c>
      <c r="M226" s="32">
        <v>0.43</v>
      </c>
      <c r="N226" s="27" t="s">
        <v>33</v>
      </c>
      <c r="O226" s="27" t="s">
        <v>34</v>
      </c>
      <c r="P226" s="27" t="s">
        <v>35</v>
      </c>
      <c r="Q226" s="27" t="s">
        <v>595</v>
      </c>
      <c r="R226" s="33">
        <v>39301</v>
      </c>
      <c r="S226" s="34">
        <v>42021</v>
      </c>
      <c r="T226" s="34">
        <v>42024</v>
      </c>
      <c r="U226" s="29">
        <v>-220.05199999999999</v>
      </c>
      <c r="V226" s="26">
        <v>3</v>
      </c>
      <c r="W226" s="29">
        <v>45.28</v>
      </c>
      <c r="X226" s="26">
        <v>90473</v>
      </c>
      <c r="Y226" s="35">
        <v>125.99</v>
      </c>
      <c r="Z226" s="1" t="s">
        <v>3011</v>
      </c>
      <c r="AA226" s="36">
        <v>2.2215000000000003</v>
      </c>
      <c r="AB226" s="54">
        <v>25.809600000000003</v>
      </c>
      <c r="AC226" s="54">
        <v>6.4901333333333335</v>
      </c>
      <c r="AD226" s="36">
        <v>249.79050000000001</v>
      </c>
    </row>
    <row r="227" spans="1:30" s="37" customFormat="1" ht="15.75" customHeight="1" x14ac:dyDescent="0.2">
      <c r="A227" s="26">
        <v>1531</v>
      </c>
      <c r="B227" s="27" t="s">
        <v>576</v>
      </c>
      <c r="C227" s="27" t="s">
        <v>26</v>
      </c>
      <c r="D227" s="28">
        <v>7.0000000000000007E-2</v>
      </c>
      <c r="E227" s="29">
        <v>4.91</v>
      </c>
      <c r="F227" s="29">
        <v>0.5</v>
      </c>
      <c r="G227" s="30" t="s">
        <v>39</v>
      </c>
      <c r="H227" s="27" t="s">
        <v>40</v>
      </c>
      <c r="I227" s="27" t="s">
        <v>49</v>
      </c>
      <c r="J227" s="27" t="s">
        <v>152</v>
      </c>
      <c r="K227" s="27" t="s">
        <v>73</v>
      </c>
      <c r="L227" s="31" t="s">
        <v>577</v>
      </c>
      <c r="M227" s="32">
        <v>0.36</v>
      </c>
      <c r="N227" s="27" t="s">
        <v>33</v>
      </c>
      <c r="O227" s="27" t="s">
        <v>34</v>
      </c>
      <c r="P227" s="27" t="s">
        <v>123</v>
      </c>
      <c r="Q227" s="27" t="s">
        <v>578</v>
      </c>
      <c r="R227" s="33">
        <v>32137</v>
      </c>
      <c r="S227" s="34">
        <v>42021</v>
      </c>
      <c r="T227" s="34">
        <v>42022</v>
      </c>
      <c r="U227" s="29">
        <v>-157.696</v>
      </c>
      <c r="V227" s="26">
        <v>6</v>
      </c>
      <c r="W227" s="29">
        <v>28.22</v>
      </c>
      <c r="X227" s="26">
        <v>88852</v>
      </c>
      <c r="Y227" s="35">
        <v>11.450000000000001</v>
      </c>
      <c r="Z227" s="1" t="s">
        <v>3011</v>
      </c>
      <c r="AA227" s="36">
        <v>2.0622000000000003</v>
      </c>
      <c r="AB227" s="54">
        <v>18.0608</v>
      </c>
      <c r="AC227" s="54">
        <v>1.6931999999999998</v>
      </c>
      <c r="AD227" s="36">
        <v>183.35380000000001</v>
      </c>
    </row>
    <row r="228" spans="1:30" s="37" customFormat="1" ht="15.75" customHeight="1" x14ac:dyDescent="0.2">
      <c r="A228" s="26">
        <v>2579</v>
      </c>
      <c r="B228" s="27" t="s">
        <v>162</v>
      </c>
      <c r="C228" s="27" t="s">
        <v>116</v>
      </c>
      <c r="D228" s="28">
        <v>7.0000000000000007E-2</v>
      </c>
      <c r="E228" s="29">
        <v>1.76</v>
      </c>
      <c r="F228" s="29">
        <v>4.8600000000000003</v>
      </c>
      <c r="G228" s="30" t="s">
        <v>39</v>
      </c>
      <c r="H228" s="27" t="s">
        <v>71</v>
      </c>
      <c r="I228" s="27" t="s">
        <v>29</v>
      </c>
      <c r="J228" s="27" t="s">
        <v>126</v>
      </c>
      <c r="K228" s="27" t="s">
        <v>73</v>
      </c>
      <c r="L228" s="31" t="s">
        <v>606</v>
      </c>
      <c r="M228" s="32">
        <v>0.41</v>
      </c>
      <c r="N228" s="27" t="s">
        <v>33</v>
      </c>
      <c r="O228" s="27" t="s">
        <v>34</v>
      </c>
      <c r="P228" s="27" t="s">
        <v>164</v>
      </c>
      <c r="Q228" s="27" t="s">
        <v>165</v>
      </c>
      <c r="R228" s="33">
        <v>36869</v>
      </c>
      <c r="S228" s="34">
        <v>42021</v>
      </c>
      <c r="T228" s="34">
        <v>42021</v>
      </c>
      <c r="U228" s="29">
        <v>0.58799999999999997</v>
      </c>
      <c r="V228" s="26">
        <v>15</v>
      </c>
      <c r="W228" s="29">
        <v>26.01</v>
      </c>
      <c r="X228" s="26">
        <v>88297</v>
      </c>
      <c r="Y228" s="35">
        <v>30.51</v>
      </c>
      <c r="Z228" s="1" t="s">
        <v>3011</v>
      </c>
      <c r="AA228" s="36">
        <v>1.8480000000000003</v>
      </c>
      <c r="AB228" s="54">
        <v>15.345900000000004</v>
      </c>
      <c r="AC228" s="54">
        <v>0.71094000000000002</v>
      </c>
      <c r="AD228" s="36">
        <v>18.713999999999999</v>
      </c>
    </row>
    <row r="229" spans="1:30" s="37" customFormat="1" ht="15.75" customHeight="1" x14ac:dyDescent="0.2">
      <c r="A229" s="26">
        <v>526</v>
      </c>
      <c r="B229" s="27" t="s">
        <v>612</v>
      </c>
      <c r="C229" s="27" t="s">
        <v>3094</v>
      </c>
      <c r="D229" s="28">
        <v>0</v>
      </c>
      <c r="E229" s="29">
        <v>1.88</v>
      </c>
      <c r="F229" s="29">
        <v>1.49</v>
      </c>
      <c r="G229" s="30" t="s">
        <v>39</v>
      </c>
      <c r="H229" s="27" t="s">
        <v>71</v>
      </c>
      <c r="I229" s="27" t="s">
        <v>49</v>
      </c>
      <c r="J229" s="27" t="s">
        <v>72</v>
      </c>
      <c r="K229" s="27" t="s">
        <v>73</v>
      </c>
      <c r="L229" s="31" t="s">
        <v>613</v>
      </c>
      <c r="M229" s="32">
        <v>0.37</v>
      </c>
      <c r="N229" s="27" t="s">
        <v>33</v>
      </c>
      <c r="O229" s="27" t="s">
        <v>60</v>
      </c>
      <c r="P229" s="27" t="s">
        <v>588</v>
      </c>
      <c r="Q229" s="27" t="s">
        <v>614</v>
      </c>
      <c r="R229" s="33">
        <v>85204</v>
      </c>
      <c r="S229" s="34">
        <v>42021</v>
      </c>
      <c r="T229" s="34">
        <v>42022</v>
      </c>
      <c r="U229" s="29">
        <v>-15.5595</v>
      </c>
      <c r="V229" s="26">
        <v>13</v>
      </c>
      <c r="W229" s="29">
        <v>25.39</v>
      </c>
      <c r="X229" s="26">
        <v>90027</v>
      </c>
      <c r="Y229" s="35">
        <v>1.88</v>
      </c>
      <c r="Z229" s="1" t="s">
        <v>3013</v>
      </c>
      <c r="AA229" s="36">
        <v>0</v>
      </c>
      <c r="AB229" s="54">
        <v>15.995700000000001</v>
      </c>
      <c r="AC229" s="54">
        <v>0.72263846153846156</v>
      </c>
      <c r="AD229" s="36">
        <v>39.459499999999998</v>
      </c>
    </row>
    <row r="230" spans="1:30" s="37" customFormat="1" ht="15.75" customHeight="1" x14ac:dyDescent="0.2">
      <c r="A230" s="26">
        <v>593</v>
      </c>
      <c r="B230" s="27" t="s">
        <v>573</v>
      </c>
      <c r="C230" s="27" t="s">
        <v>26</v>
      </c>
      <c r="D230" s="28">
        <v>0.01</v>
      </c>
      <c r="E230" s="29">
        <v>1.68</v>
      </c>
      <c r="F230" s="29">
        <v>1.57</v>
      </c>
      <c r="G230" s="30" t="s">
        <v>39</v>
      </c>
      <c r="H230" s="27" t="s">
        <v>3095</v>
      </c>
      <c r="I230" s="27" t="s">
        <v>49</v>
      </c>
      <c r="J230" s="27" t="s">
        <v>50</v>
      </c>
      <c r="K230" s="27" t="s">
        <v>51</v>
      </c>
      <c r="L230" s="31" t="s">
        <v>574</v>
      </c>
      <c r="M230" s="32">
        <v>0.59</v>
      </c>
      <c r="N230" s="27" t="s">
        <v>33</v>
      </c>
      <c r="O230" s="27" t="s">
        <v>53</v>
      </c>
      <c r="P230" s="27" t="s">
        <v>103</v>
      </c>
      <c r="Q230" s="27" t="s">
        <v>575</v>
      </c>
      <c r="R230" s="33">
        <v>60517</v>
      </c>
      <c r="S230" s="34">
        <v>42021</v>
      </c>
      <c r="T230" s="34">
        <v>42023</v>
      </c>
      <c r="U230" s="29">
        <v>-53.444000000000003</v>
      </c>
      <c r="V230" s="26">
        <v>12</v>
      </c>
      <c r="W230" s="29">
        <v>20.37</v>
      </c>
      <c r="X230" s="26">
        <v>86307</v>
      </c>
      <c r="Y230" s="35">
        <v>5.7200000000000006</v>
      </c>
      <c r="Z230" s="1" t="s">
        <v>3012</v>
      </c>
      <c r="AA230" s="36">
        <v>0.2016</v>
      </c>
      <c r="AB230" s="54">
        <v>8.351700000000001</v>
      </c>
      <c r="AC230" s="54">
        <v>1.001525</v>
      </c>
      <c r="AD230" s="36">
        <v>72.042400000000001</v>
      </c>
    </row>
    <row r="231" spans="1:30" s="37" customFormat="1" ht="15.75" customHeight="1" x14ac:dyDescent="0.2">
      <c r="A231" s="26">
        <v>210</v>
      </c>
      <c r="B231" s="27" t="s">
        <v>579</v>
      </c>
      <c r="C231" s="27" t="s">
        <v>48</v>
      </c>
      <c r="D231" s="28">
        <v>0.05</v>
      </c>
      <c r="E231" s="29">
        <v>1.86</v>
      </c>
      <c r="F231" s="29">
        <v>2.58</v>
      </c>
      <c r="G231" s="30" t="s">
        <v>39</v>
      </c>
      <c r="H231" s="27" t="s">
        <v>71</v>
      </c>
      <c r="I231" s="27" t="s">
        <v>49</v>
      </c>
      <c r="J231" s="27" t="s">
        <v>176</v>
      </c>
      <c r="K231" s="27" t="s">
        <v>51</v>
      </c>
      <c r="L231" s="31" t="s">
        <v>580</v>
      </c>
      <c r="M231" s="32">
        <v>0.82</v>
      </c>
      <c r="N231" s="27" t="s">
        <v>33</v>
      </c>
      <c r="O231" s="27" t="s">
        <v>111</v>
      </c>
      <c r="P231" s="27" t="s">
        <v>112</v>
      </c>
      <c r="Q231" s="27" t="s">
        <v>581</v>
      </c>
      <c r="R231" s="33">
        <v>12180</v>
      </c>
      <c r="S231" s="34">
        <v>42021</v>
      </c>
      <c r="T231" s="34">
        <v>42025</v>
      </c>
      <c r="U231" s="29">
        <v>-66.62</v>
      </c>
      <c r="V231" s="26">
        <v>9</v>
      </c>
      <c r="W231" s="29">
        <v>17.61</v>
      </c>
      <c r="X231" s="26">
        <v>85965</v>
      </c>
      <c r="Y231" s="35">
        <v>28.39</v>
      </c>
      <c r="Z231" s="1" t="s">
        <v>3014</v>
      </c>
      <c r="AA231" s="36">
        <v>0.83700000000000008</v>
      </c>
      <c r="AB231" s="54">
        <v>3.1698000000000008</v>
      </c>
      <c r="AC231" s="54">
        <v>1.6044666666666665</v>
      </c>
      <c r="AD231" s="36">
        <v>80.813000000000002</v>
      </c>
    </row>
    <row r="232" spans="1:30" s="37" customFormat="1" ht="15.75" customHeight="1" x14ac:dyDescent="0.2">
      <c r="A232" s="26">
        <v>1702</v>
      </c>
      <c r="B232" s="27" t="s">
        <v>593</v>
      </c>
      <c r="C232" s="27" t="s">
        <v>116</v>
      </c>
      <c r="D232" s="28">
        <v>0.05</v>
      </c>
      <c r="E232" s="29">
        <v>4.2</v>
      </c>
      <c r="F232" s="29">
        <v>2.2599999999999998</v>
      </c>
      <c r="G232" s="30" t="s">
        <v>87</v>
      </c>
      <c r="H232" s="27" t="s">
        <v>71</v>
      </c>
      <c r="I232" s="27" t="s">
        <v>49</v>
      </c>
      <c r="J232" s="27" t="s">
        <v>88</v>
      </c>
      <c r="K232" s="27" t="s">
        <v>51</v>
      </c>
      <c r="L232" s="31" t="s">
        <v>596</v>
      </c>
      <c r="M232" s="32">
        <v>0.36</v>
      </c>
      <c r="N232" s="27" t="s">
        <v>33</v>
      </c>
      <c r="O232" s="27" t="s">
        <v>34</v>
      </c>
      <c r="P232" s="27" t="s">
        <v>35</v>
      </c>
      <c r="Q232" s="27" t="s">
        <v>595</v>
      </c>
      <c r="R232" s="33">
        <v>39301</v>
      </c>
      <c r="S232" s="34">
        <v>42021</v>
      </c>
      <c r="T232" s="34">
        <v>42023</v>
      </c>
      <c r="U232" s="29">
        <v>20.393370000000001</v>
      </c>
      <c r="V232" s="26">
        <v>3</v>
      </c>
      <c r="W232" s="29">
        <v>13.57</v>
      </c>
      <c r="X232" s="26">
        <v>90473</v>
      </c>
      <c r="Y232" s="35">
        <v>28.099999999999998</v>
      </c>
      <c r="Z232" s="1" t="s">
        <v>3011</v>
      </c>
      <c r="AA232" s="36">
        <v>0.63000000000000012</v>
      </c>
      <c r="AB232" s="54">
        <v>8.684800000000001</v>
      </c>
      <c r="AC232" s="54">
        <v>1.6284000000000001</v>
      </c>
      <c r="AD232" s="36">
        <v>-9.7133700000000012</v>
      </c>
    </row>
    <row r="233" spans="1:30" s="37" customFormat="1" ht="15.75" customHeight="1" x14ac:dyDescent="0.2">
      <c r="A233" s="26">
        <v>1972</v>
      </c>
      <c r="B233" s="27" t="s">
        <v>626</v>
      </c>
      <c r="C233" s="27" t="s">
        <v>116</v>
      </c>
      <c r="D233" s="28">
        <v>0.05</v>
      </c>
      <c r="E233" s="29">
        <v>350.99</v>
      </c>
      <c r="F233" s="29">
        <v>39</v>
      </c>
      <c r="G233" s="30" t="s">
        <v>27</v>
      </c>
      <c r="H233" s="27" t="s">
        <v>94</v>
      </c>
      <c r="I233" s="27" t="s">
        <v>29</v>
      </c>
      <c r="J233" s="27" t="s">
        <v>109</v>
      </c>
      <c r="K233" s="27" t="s">
        <v>58</v>
      </c>
      <c r="L233" s="31" t="s">
        <v>438</v>
      </c>
      <c r="M233" s="32">
        <v>0.55000000000000004</v>
      </c>
      <c r="N233" s="27" t="s">
        <v>33</v>
      </c>
      <c r="O233" s="27" t="s">
        <v>111</v>
      </c>
      <c r="P233" s="27" t="s">
        <v>320</v>
      </c>
      <c r="Q233" s="27" t="s">
        <v>627</v>
      </c>
      <c r="R233" s="33">
        <v>19090</v>
      </c>
      <c r="S233" s="34">
        <v>42022</v>
      </c>
      <c r="T233" s="34">
        <v>42024</v>
      </c>
      <c r="U233" s="29">
        <v>1469.7275999999999</v>
      </c>
      <c r="V233" s="26">
        <v>6</v>
      </c>
      <c r="W233" s="29">
        <v>2130.04</v>
      </c>
      <c r="X233" s="26">
        <v>91550</v>
      </c>
      <c r="Y233" s="35">
        <v>58.050000000000004</v>
      </c>
      <c r="Z233" s="1" t="s">
        <v>3014</v>
      </c>
      <c r="AA233" s="36">
        <v>105.29700000000001</v>
      </c>
      <c r="AB233" s="54">
        <v>958.51799999999992</v>
      </c>
      <c r="AC233" s="54">
        <v>195.25366666666667</v>
      </c>
      <c r="AD233" s="36">
        <v>516.0154</v>
      </c>
    </row>
    <row r="234" spans="1:30" s="37" customFormat="1" ht="15.75" customHeight="1" x14ac:dyDescent="0.2">
      <c r="A234" s="26">
        <v>2443</v>
      </c>
      <c r="B234" s="27" t="s">
        <v>621</v>
      </c>
      <c r="C234" s="27" t="s">
        <v>38</v>
      </c>
      <c r="D234" s="28">
        <v>0.05</v>
      </c>
      <c r="E234" s="29">
        <v>58.1</v>
      </c>
      <c r="F234" s="29">
        <v>1.49</v>
      </c>
      <c r="G234" s="30" t="s">
        <v>39</v>
      </c>
      <c r="H234" s="27" t="s">
        <v>94</v>
      </c>
      <c r="I234" s="27" t="s">
        <v>49</v>
      </c>
      <c r="J234" s="27" t="s">
        <v>72</v>
      </c>
      <c r="K234" s="27" t="s">
        <v>73</v>
      </c>
      <c r="L234" s="31" t="s">
        <v>622</v>
      </c>
      <c r="M234" s="32">
        <v>0.38</v>
      </c>
      <c r="N234" s="27" t="s">
        <v>33</v>
      </c>
      <c r="O234" s="27" t="s">
        <v>34</v>
      </c>
      <c r="P234" s="27" t="s">
        <v>123</v>
      </c>
      <c r="Q234" s="27" t="s">
        <v>128</v>
      </c>
      <c r="R234" s="33">
        <v>33142</v>
      </c>
      <c r="S234" s="34">
        <v>42022</v>
      </c>
      <c r="T234" s="34">
        <v>42022</v>
      </c>
      <c r="U234" s="29">
        <v>1633.9860000000001</v>
      </c>
      <c r="V234" s="26">
        <v>13</v>
      </c>
      <c r="W234" s="29">
        <v>739.06</v>
      </c>
      <c r="X234" s="26">
        <v>89299</v>
      </c>
      <c r="Y234" s="35">
        <v>11.56</v>
      </c>
      <c r="Z234" s="1" t="s">
        <v>3011</v>
      </c>
      <c r="AA234" s="36">
        <v>37.765000000000001</v>
      </c>
      <c r="AB234" s="54">
        <v>458.21719999999999</v>
      </c>
      <c r="AC234" s="54">
        <v>21.603292307692307</v>
      </c>
      <c r="AD234" s="36">
        <v>-934.18100000000027</v>
      </c>
    </row>
    <row r="235" spans="1:30" s="37" customFormat="1" ht="15.75" customHeight="1" x14ac:dyDescent="0.2">
      <c r="A235" s="26">
        <v>1972</v>
      </c>
      <c r="B235" s="27" t="s">
        <v>626</v>
      </c>
      <c r="C235" s="27" t="s">
        <v>116</v>
      </c>
      <c r="D235" s="28">
        <v>0.04</v>
      </c>
      <c r="E235" s="29">
        <v>15.99</v>
      </c>
      <c r="F235" s="29">
        <v>9.4</v>
      </c>
      <c r="G235" s="30" t="s">
        <v>87</v>
      </c>
      <c r="H235" s="27" t="s">
        <v>94</v>
      </c>
      <c r="I235" s="27" t="s">
        <v>41</v>
      </c>
      <c r="J235" s="27" t="s">
        <v>57</v>
      </c>
      <c r="K235" s="27" t="s">
        <v>73</v>
      </c>
      <c r="L235" s="31" t="s">
        <v>628</v>
      </c>
      <c r="M235" s="32">
        <v>0.49</v>
      </c>
      <c r="N235" s="27" t="s">
        <v>33</v>
      </c>
      <c r="O235" s="27" t="s">
        <v>111</v>
      </c>
      <c r="P235" s="27" t="s">
        <v>320</v>
      </c>
      <c r="Q235" s="27" t="s">
        <v>627</v>
      </c>
      <c r="R235" s="33">
        <v>19090</v>
      </c>
      <c r="S235" s="34">
        <v>42022</v>
      </c>
      <c r="T235" s="34">
        <v>42024</v>
      </c>
      <c r="U235" s="29">
        <v>-83.553060000000002</v>
      </c>
      <c r="V235" s="26">
        <v>5</v>
      </c>
      <c r="W235" s="29">
        <v>82.8</v>
      </c>
      <c r="X235" s="26">
        <v>91550</v>
      </c>
      <c r="Y235" s="35">
        <v>350.94</v>
      </c>
      <c r="Z235" s="1" t="s">
        <v>3014</v>
      </c>
      <c r="AA235" s="36">
        <v>3.1980000000000004</v>
      </c>
      <c r="AB235" s="54">
        <v>42.228000000000002</v>
      </c>
      <c r="AC235" s="54">
        <v>8.1143999999999998</v>
      </c>
      <c r="AD235" s="36">
        <v>153.75506000000001</v>
      </c>
    </row>
    <row r="236" spans="1:30" s="37" customFormat="1" ht="15.75" customHeight="1" x14ac:dyDescent="0.2">
      <c r="A236" s="26">
        <v>1971</v>
      </c>
      <c r="B236" s="27" t="s">
        <v>623</v>
      </c>
      <c r="C236" s="27" t="s">
        <v>116</v>
      </c>
      <c r="D236" s="28">
        <v>0.02</v>
      </c>
      <c r="E236" s="29">
        <v>11.58</v>
      </c>
      <c r="F236" s="29">
        <v>5.72</v>
      </c>
      <c r="G236" s="30" t="s">
        <v>39</v>
      </c>
      <c r="H236" s="27" t="s">
        <v>94</v>
      </c>
      <c r="I236" s="27" t="s">
        <v>49</v>
      </c>
      <c r="J236" s="27" t="s">
        <v>345</v>
      </c>
      <c r="K236" s="27" t="s">
        <v>73</v>
      </c>
      <c r="L236" s="31" t="s">
        <v>624</v>
      </c>
      <c r="M236" s="32">
        <v>0.35</v>
      </c>
      <c r="N236" s="27" t="s">
        <v>33</v>
      </c>
      <c r="O236" s="27" t="s">
        <v>34</v>
      </c>
      <c r="P236" s="27" t="s">
        <v>35</v>
      </c>
      <c r="Q236" s="27" t="s">
        <v>625</v>
      </c>
      <c r="R236" s="33">
        <v>38801</v>
      </c>
      <c r="S236" s="34">
        <v>42022</v>
      </c>
      <c r="T236" s="34">
        <v>42023</v>
      </c>
      <c r="U236" s="29">
        <v>-259.75599999999997</v>
      </c>
      <c r="V236" s="26">
        <v>3</v>
      </c>
      <c r="W236" s="29">
        <v>35.479999999999997</v>
      </c>
      <c r="X236" s="26">
        <v>91550</v>
      </c>
      <c r="Y236" s="35">
        <v>15.950000000000001</v>
      </c>
      <c r="Z236" s="1" t="s">
        <v>3011</v>
      </c>
      <c r="AA236" s="36">
        <v>0.69479999999999997</v>
      </c>
      <c r="AB236" s="54">
        <v>23.061999999999998</v>
      </c>
      <c r="AC236" s="54">
        <v>4.1393333333333331</v>
      </c>
      <c r="AD236" s="36">
        <v>288.82119999999998</v>
      </c>
    </row>
    <row r="237" spans="1:30" s="37" customFormat="1" ht="15.75" customHeight="1" x14ac:dyDescent="0.2">
      <c r="A237" s="26">
        <v>3095</v>
      </c>
      <c r="B237" s="27" t="s">
        <v>635</v>
      </c>
      <c r="C237" s="27" t="s">
        <v>26</v>
      </c>
      <c r="D237" s="28">
        <v>0.09</v>
      </c>
      <c r="E237" s="29">
        <v>207.48</v>
      </c>
      <c r="F237" s="29">
        <v>0.99</v>
      </c>
      <c r="G237" s="30" t="s">
        <v>39</v>
      </c>
      <c r="H237" s="27" t="s">
        <v>40</v>
      </c>
      <c r="I237" s="27" t="s">
        <v>49</v>
      </c>
      <c r="J237" s="27" t="s">
        <v>95</v>
      </c>
      <c r="K237" s="27" t="s">
        <v>73</v>
      </c>
      <c r="L237" s="31" t="s">
        <v>636</v>
      </c>
      <c r="M237" s="32">
        <v>0.55000000000000004</v>
      </c>
      <c r="N237" s="27" t="s">
        <v>33</v>
      </c>
      <c r="O237" s="27" t="s">
        <v>111</v>
      </c>
      <c r="P237" s="27" t="s">
        <v>317</v>
      </c>
      <c r="Q237" s="27" t="s">
        <v>637</v>
      </c>
      <c r="R237" s="33">
        <v>45011</v>
      </c>
      <c r="S237" s="34">
        <v>42023</v>
      </c>
      <c r="T237" s="34">
        <v>42025</v>
      </c>
      <c r="U237" s="29">
        <v>683.9556</v>
      </c>
      <c r="V237" s="26">
        <v>5</v>
      </c>
      <c r="W237" s="29">
        <v>991.24</v>
      </c>
      <c r="X237" s="26">
        <v>86220</v>
      </c>
      <c r="Y237" s="35">
        <v>18.869999999999997</v>
      </c>
      <c r="Z237" s="1" t="s">
        <v>3014</v>
      </c>
      <c r="AA237" s="36">
        <v>93.365999999999985</v>
      </c>
      <c r="AB237" s="54">
        <v>446.05799999999994</v>
      </c>
      <c r="AC237" s="54">
        <v>109.0364</v>
      </c>
      <c r="AD237" s="36">
        <v>212.92840000000001</v>
      </c>
    </row>
    <row r="238" spans="1:30" s="37" customFormat="1" ht="15.75" customHeight="1" x14ac:dyDescent="0.2">
      <c r="A238" s="26">
        <v>659</v>
      </c>
      <c r="B238" s="27" t="s">
        <v>632</v>
      </c>
      <c r="C238" s="27" t="s">
        <v>26</v>
      </c>
      <c r="D238" s="28">
        <v>0</v>
      </c>
      <c r="E238" s="29">
        <v>119.99</v>
      </c>
      <c r="F238" s="29">
        <v>56.14</v>
      </c>
      <c r="G238" s="30" t="s">
        <v>27</v>
      </c>
      <c r="H238" s="27" t="s">
        <v>40</v>
      </c>
      <c r="I238" s="27" t="s">
        <v>41</v>
      </c>
      <c r="J238" s="27" t="s">
        <v>57</v>
      </c>
      <c r="K238" s="27" t="s">
        <v>31</v>
      </c>
      <c r="L238" s="31" t="s">
        <v>587</v>
      </c>
      <c r="M238" s="32">
        <v>0.39</v>
      </c>
      <c r="N238" s="27" t="s">
        <v>33</v>
      </c>
      <c r="O238" s="27" t="s">
        <v>111</v>
      </c>
      <c r="P238" s="27" t="s">
        <v>633</v>
      </c>
      <c r="Q238" s="27" t="s">
        <v>634</v>
      </c>
      <c r="R238" s="33">
        <v>5403</v>
      </c>
      <c r="S238" s="34">
        <v>42023</v>
      </c>
      <c r="T238" s="34">
        <v>42024</v>
      </c>
      <c r="U238" s="29">
        <v>-126.05777999999999</v>
      </c>
      <c r="V238" s="26">
        <v>5</v>
      </c>
      <c r="W238" s="29">
        <v>615.54</v>
      </c>
      <c r="X238" s="26">
        <v>91212</v>
      </c>
      <c r="Y238" s="35">
        <v>119.99</v>
      </c>
      <c r="Z238" s="1" t="s">
        <v>3014</v>
      </c>
      <c r="AA238" s="36">
        <v>0</v>
      </c>
      <c r="AB238" s="54">
        <v>375.47939999999994</v>
      </c>
      <c r="AC238" s="54">
        <v>48.012119999999996</v>
      </c>
      <c r="AD238" s="36">
        <v>685.45777999999996</v>
      </c>
    </row>
    <row r="239" spans="1:30" s="37" customFormat="1" ht="15.75" customHeight="1" x14ac:dyDescent="0.2">
      <c r="A239" s="26">
        <v>259</v>
      </c>
      <c r="B239" s="27" t="s">
        <v>638</v>
      </c>
      <c r="C239" s="27" t="s">
        <v>48</v>
      </c>
      <c r="D239" s="28">
        <v>0.09</v>
      </c>
      <c r="E239" s="29">
        <v>2.88</v>
      </c>
      <c r="F239" s="29">
        <v>0.7</v>
      </c>
      <c r="G239" s="30" t="s">
        <v>39</v>
      </c>
      <c r="H239" s="27" t="s">
        <v>40</v>
      </c>
      <c r="I239" s="27" t="s">
        <v>49</v>
      </c>
      <c r="J239" s="27" t="s">
        <v>50</v>
      </c>
      <c r="K239" s="27" t="s">
        <v>51</v>
      </c>
      <c r="L239" s="31" t="s">
        <v>639</v>
      </c>
      <c r="M239" s="32">
        <v>0.56000000000000005</v>
      </c>
      <c r="N239" s="27" t="s">
        <v>33</v>
      </c>
      <c r="O239" s="27" t="s">
        <v>60</v>
      </c>
      <c r="P239" s="27" t="s">
        <v>640</v>
      </c>
      <c r="Q239" s="27" t="s">
        <v>641</v>
      </c>
      <c r="R239" s="33">
        <v>87505</v>
      </c>
      <c r="S239" s="34">
        <v>42023</v>
      </c>
      <c r="T239" s="34">
        <v>42023</v>
      </c>
      <c r="U239" s="29">
        <v>5.7531999999999996</v>
      </c>
      <c r="V239" s="26">
        <v>10</v>
      </c>
      <c r="W239" s="29">
        <v>26.38</v>
      </c>
      <c r="X239" s="26">
        <v>85857</v>
      </c>
      <c r="Y239" s="35">
        <v>207.39</v>
      </c>
      <c r="Z239" s="1" t="s">
        <v>3013</v>
      </c>
      <c r="AA239" s="36">
        <v>2.5919999999999996</v>
      </c>
      <c r="AB239" s="54">
        <v>11.607199999999999</v>
      </c>
      <c r="AC239" s="54">
        <v>1.4772800000000001</v>
      </c>
      <c r="AD239" s="36">
        <v>17.334800000000001</v>
      </c>
    </row>
    <row r="240" spans="1:30" s="37" customFormat="1" ht="15.75" customHeight="1" x14ac:dyDescent="0.2">
      <c r="A240" s="26">
        <v>657</v>
      </c>
      <c r="B240" s="27" t="s">
        <v>629</v>
      </c>
      <c r="C240" s="27" t="s">
        <v>26</v>
      </c>
      <c r="D240" s="28">
        <v>0.1</v>
      </c>
      <c r="E240" s="29">
        <v>18.97</v>
      </c>
      <c r="F240" s="29">
        <v>9.0299999999999994</v>
      </c>
      <c r="G240" s="30" t="s">
        <v>39</v>
      </c>
      <c r="H240" s="27" t="s">
        <v>40</v>
      </c>
      <c r="I240" s="27" t="s">
        <v>49</v>
      </c>
      <c r="J240" s="27" t="s">
        <v>88</v>
      </c>
      <c r="K240" s="27" t="s">
        <v>73</v>
      </c>
      <c r="L240" s="31" t="s">
        <v>630</v>
      </c>
      <c r="M240" s="32">
        <v>0.37</v>
      </c>
      <c r="N240" s="27" t="s">
        <v>33</v>
      </c>
      <c r="O240" s="27" t="s">
        <v>111</v>
      </c>
      <c r="P240" s="27" t="s">
        <v>403</v>
      </c>
      <c r="Q240" s="27" t="s">
        <v>631</v>
      </c>
      <c r="R240" s="33">
        <v>1540</v>
      </c>
      <c r="S240" s="34">
        <v>42023</v>
      </c>
      <c r="T240" s="34">
        <v>42025</v>
      </c>
      <c r="U240" s="29">
        <v>-24.204799999999999</v>
      </c>
      <c r="V240" s="26">
        <v>1</v>
      </c>
      <c r="W240" s="29">
        <v>19.73</v>
      </c>
      <c r="X240" s="26">
        <v>91212</v>
      </c>
      <c r="Y240" s="35">
        <v>2.79</v>
      </c>
      <c r="Z240" s="1" t="s">
        <v>3014</v>
      </c>
      <c r="AA240" s="36">
        <v>1.897</v>
      </c>
      <c r="AB240" s="54">
        <v>12.4299</v>
      </c>
      <c r="AC240" s="54">
        <v>7.3001000000000005</v>
      </c>
      <c r="AD240" s="36">
        <v>33.007800000000003</v>
      </c>
    </row>
    <row r="241" spans="1:30" s="37" customFormat="1" ht="15.75" customHeight="1" x14ac:dyDescent="0.2">
      <c r="A241" s="26">
        <v>524</v>
      </c>
      <c r="B241" s="27" t="s">
        <v>651</v>
      </c>
      <c r="C241" s="27" t="s">
        <v>3094</v>
      </c>
      <c r="D241" s="28">
        <v>0.03</v>
      </c>
      <c r="E241" s="29">
        <v>1270.99</v>
      </c>
      <c r="F241" s="29">
        <v>19.989999999999998</v>
      </c>
      <c r="G241" s="30" t="s">
        <v>39</v>
      </c>
      <c r="H241" s="27" t="s">
        <v>40</v>
      </c>
      <c r="I241" s="27" t="s">
        <v>49</v>
      </c>
      <c r="J241" s="27" t="s">
        <v>72</v>
      </c>
      <c r="K241" s="27" t="s">
        <v>73</v>
      </c>
      <c r="L241" s="31" t="s">
        <v>652</v>
      </c>
      <c r="M241" s="32">
        <v>0.35</v>
      </c>
      <c r="N241" s="27" t="s">
        <v>33</v>
      </c>
      <c r="O241" s="27" t="s">
        <v>34</v>
      </c>
      <c r="P241" s="27" t="s">
        <v>400</v>
      </c>
      <c r="Q241" s="27" t="s">
        <v>653</v>
      </c>
      <c r="R241" s="33">
        <v>37922</v>
      </c>
      <c r="S241" s="34">
        <v>42024</v>
      </c>
      <c r="T241" s="34">
        <v>42026</v>
      </c>
      <c r="U241" s="29">
        <v>363.55200000000002</v>
      </c>
      <c r="V241" s="26">
        <v>2</v>
      </c>
      <c r="W241" s="29">
        <v>2589.0100000000002</v>
      </c>
      <c r="X241" s="26">
        <v>91127</v>
      </c>
      <c r="Y241" s="35">
        <v>60.199999999999996</v>
      </c>
      <c r="Z241" s="1" t="s">
        <v>3011</v>
      </c>
      <c r="AA241" s="36">
        <v>76.259399999999999</v>
      </c>
      <c r="AB241" s="54">
        <v>1682.8565000000001</v>
      </c>
      <c r="AC241" s="54">
        <v>453.07675</v>
      </c>
      <c r="AD241" s="36">
        <v>2129.2085999999999</v>
      </c>
    </row>
    <row r="242" spans="1:30" s="37" customFormat="1" ht="15.75" customHeight="1" x14ac:dyDescent="0.2">
      <c r="A242" s="26">
        <v>524</v>
      </c>
      <c r="B242" s="27" t="s">
        <v>651</v>
      </c>
      <c r="C242" s="27" t="s">
        <v>3094</v>
      </c>
      <c r="D242" s="28">
        <v>7.0000000000000007E-2</v>
      </c>
      <c r="E242" s="29">
        <v>2036.48</v>
      </c>
      <c r="F242" s="29">
        <v>14.7</v>
      </c>
      <c r="G242" s="30" t="s">
        <v>27</v>
      </c>
      <c r="H242" s="27" t="s">
        <v>40</v>
      </c>
      <c r="I242" s="27" t="s">
        <v>41</v>
      </c>
      <c r="J242" s="27" t="s">
        <v>57</v>
      </c>
      <c r="K242" s="27" t="s">
        <v>58</v>
      </c>
      <c r="L242" s="31" t="s">
        <v>59</v>
      </c>
      <c r="M242" s="32">
        <v>0.55000000000000004</v>
      </c>
      <c r="N242" s="27" t="s">
        <v>33</v>
      </c>
      <c r="O242" s="27" t="s">
        <v>34</v>
      </c>
      <c r="P242" s="27" t="s">
        <v>400</v>
      </c>
      <c r="Q242" s="27" t="s">
        <v>653</v>
      </c>
      <c r="R242" s="33">
        <v>37922</v>
      </c>
      <c r="S242" s="34">
        <v>42024</v>
      </c>
      <c r="T242" s="34">
        <v>42026</v>
      </c>
      <c r="U242" s="29">
        <v>-11.536</v>
      </c>
      <c r="V242" s="26">
        <v>1</v>
      </c>
      <c r="W242" s="29">
        <v>1893.93</v>
      </c>
      <c r="X242" s="26">
        <v>91127</v>
      </c>
      <c r="Y242" s="35">
        <v>125.89999999999999</v>
      </c>
      <c r="Z242" s="1" t="s">
        <v>3011</v>
      </c>
      <c r="AA242" s="36">
        <v>142.55360000000002</v>
      </c>
      <c r="AB242" s="54">
        <v>852.2684999999999</v>
      </c>
      <c r="AC242" s="54">
        <v>1041.6615000000002</v>
      </c>
      <c r="AD242" s="36">
        <v>1748.2124000000001</v>
      </c>
    </row>
    <row r="243" spans="1:30" s="37" customFormat="1" ht="15.75" customHeight="1" x14ac:dyDescent="0.2">
      <c r="A243" s="26">
        <v>32</v>
      </c>
      <c r="B243" s="27" t="s">
        <v>644</v>
      </c>
      <c r="C243" s="27" t="s">
        <v>116</v>
      </c>
      <c r="D243" s="28">
        <v>0.09</v>
      </c>
      <c r="E243" s="29">
        <v>125.99</v>
      </c>
      <c r="F243" s="29">
        <v>7.69</v>
      </c>
      <c r="G243" s="30" t="s">
        <v>87</v>
      </c>
      <c r="H243" s="27" t="s">
        <v>94</v>
      </c>
      <c r="I243" s="27" t="s">
        <v>41</v>
      </c>
      <c r="J243" s="27" t="s">
        <v>135</v>
      </c>
      <c r="K243" s="27" t="s">
        <v>73</v>
      </c>
      <c r="L243" s="31" t="s">
        <v>645</v>
      </c>
      <c r="M243" s="32">
        <v>0.59</v>
      </c>
      <c r="N243" s="27" t="s">
        <v>33</v>
      </c>
      <c r="O243" s="27" t="s">
        <v>60</v>
      </c>
      <c r="P243" s="27" t="s">
        <v>139</v>
      </c>
      <c r="Q243" s="27" t="s">
        <v>646</v>
      </c>
      <c r="R243" s="33">
        <v>97526</v>
      </c>
      <c r="S243" s="34">
        <v>42024</v>
      </c>
      <c r="T243" s="34">
        <v>42026</v>
      </c>
      <c r="U243" s="29">
        <v>209.99700000000001</v>
      </c>
      <c r="V243" s="26">
        <v>8</v>
      </c>
      <c r="W243" s="29">
        <v>783.55</v>
      </c>
      <c r="X243" s="26">
        <v>89202</v>
      </c>
      <c r="Y243" s="35">
        <v>6.4600000000000009</v>
      </c>
      <c r="Z243" s="1" t="s">
        <v>3013</v>
      </c>
      <c r="AA243" s="36">
        <v>90.712799999999987</v>
      </c>
      <c r="AB243" s="54">
        <v>321.25549999999998</v>
      </c>
      <c r="AC243" s="54">
        <v>57.786812499999996</v>
      </c>
      <c r="AD243" s="36">
        <v>475.15019999999993</v>
      </c>
    </row>
    <row r="244" spans="1:30" s="37" customFormat="1" ht="15.75" customHeight="1" x14ac:dyDescent="0.2">
      <c r="A244" s="26">
        <v>3155</v>
      </c>
      <c r="B244" s="27" t="s">
        <v>642</v>
      </c>
      <c r="C244" s="27" t="s">
        <v>26</v>
      </c>
      <c r="D244" s="28">
        <v>0.02</v>
      </c>
      <c r="E244" s="29">
        <v>60.22</v>
      </c>
      <c r="F244" s="29">
        <v>3.5</v>
      </c>
      <c r="G244" s="30" t="s">
        <v>39</v>
      </c>
      <c r="H244" s="27" t="s">
        <v>94</v>
      </c>
      <c r="I244" s="27" t="s">
        <v>49</v>
      </c>
      <c r="J244" s="27" t="s">
        <v>95</v>
      </c>
      <c r="K244" s="27" t="s">
        <v>73</v>
      </c>
      <c r="L244" s="31" t="s">
        <v>643</v>
      </c>
      <c r="M244" s="32">
        <v>0.56999999999999995</v>
      </c>
      <c r="N244" s="27" t="s">
        <v>33</v>
      </c>
      <c r="O244" s="27" t="s">
        <v>34</v>
      </c>
      <c r="P244" s="27" t="s">
        <v>123</v>
      </c>
      <c r="Q244" s="27" t="s">
        <v>332</v>
      </c>
      <c r="R244" s="33">
        <v>32771</v>
      </c>
      <c r="S244" s="34">
        <v>42024</v>
      </c>
      <c r="T244" s="34">
        <v>42025</v>
      </c>
      <c r="U244" s="29">
        <v>-193.91399999999999</v>
      </c>
      <c r="V244" s="26">
        <v>9</v>
      </c>
      <c r="W244" s="29">
        <v>541.76</v>
      </c>
      <c r="X244" s="26">
        <v>86898</v>
      </c>
      <c r="Y244" s="35">
        <v>17.11</v>
      </c>
      <c r="Z244" s="1" t="s">
        <v>3011</v>
      </c>
      <c r="AA244" s="36">
        <v>10.839599999999999</v>
      </c>
      <c r="AB244" s="54">
        <v>232.95680000000002</v>
      </c>
      <c r="AC244" s="54">
        <v>34.311466666666668</v>
      </c>
      <c r="AD244" s="36">
        <v>721.33439999999996</v>
      </c>
    </row>
    <row r="245" spans="1:30" s="37" customFormat="1" ht="15.75" customHeight="1" x14ac:dyDescent="0.2">
      <c r="A245" s="26">
        <v>493</v>
      </c>
      <c r="B245" s="27" t="s">
        <v>647</v>
      </c>
      <c r="C245" s="27" t="s">
        <v>3094</v>
      </c>
      <c r="D245" s="28">
        <v>0.04</v>
      </c>
      <c r="E245" s="29">
        <v>17.149999999999999</v>
      </c>
      <c r="F245" s="29">
        <v>4.96</v>
      </c>
      <c r="G245" s="30" t="s">
        <v>39</v>
      </c>
      <c r="H245" s="27" t="s">
        <v>40</v>
      </c>
      <c r="I245" s="27" t="s">
        <v>49</v>
      </c>
      <c r="J245" s="27" t="s">
        <v>78</v>
      </c>
      <c r="K245" s="27" t="s">
        <v>73</v>
      </c>
      <c r="L245" s="31" t="s">
        <v>650</v>
      </c>
      <c r="M245" s="32">
        <v>0.57999999999999996</v>
      </c>
      <c r="N245" s="27" t="s">
        <v>33</v>
      </c>
      <c r="O245" s="27" t="s">
        <v>60</v>
      </c>
      <c r="P245" s="27" t="s">
        <v>67</v>
      </c>
      <c r="Q245" s="27" t="s">
        <v>649</v>
      </c>
      <c r="R245" s="33">
        <v>98158</v>
      </c>
      <c r="S245" s="34">
        <v>42024</v>
      </c>
      <c r="T245" s="34">
        <v>42025</v>
      </c>
      <c r="U245" s="29">
        <v>6.11</v>
      </c>
      <c r="V245" s="26">
        <v>5</v>
      </c>
      <c r="W245" s="29">
        <v>87.16</v>
      </c>
      <c r="X245" s="26">
        <v>88906</v>
      </c>
      <c r="Y245" s="35">
        <v>1270.96</v>
      </c>
      <c r="Z245" s="1" t="s">
        <v>3013</v>
      </c>
      <c r="AA245" s="36">
        <v>3.4299999999999997</v>
      </c>
      <c r="AB245" s="54">
        <v>36.607199999999999</v>
      </c>
      <c r="AC245" s="54">
        <v>10.110559999999998</v>
      </c>
      <c r="AD245" s="36">
        <v>72.66</v>
      </c>
    </row>
    <row r="246" spans="1:30" s="37" customFormat="1" ht="15.75" customHeight="1" x14ac:dyDescent="0.2">
      <c r="A246" s="26">
        <v>493</v>
      </c>
      <c r="B246" s="27" t="s">
        <v>647</v>
      </c>
      <c r="C246" s="27" t="s">
        <v>3094</v>
      </c>
      <c r="D246" s="28">
        <v>0.02</v>
      </c>
      <c r="E246" s="29">
        <v>6.48</v>
      </c>
      <c r="F246" s="29">
        <v>6.6</v>
      </c>
      <c r="G246" s="30" t="s">
        <v>39</v>
      </c>
      <c r="H246" s="27" t="s">
        <v>40</v>
      </c>
      <c r="I246" s="27" t="s">
        <v>49</v>
      </c>
      <c r="J246" s="27" t="s">
        <v>88</v>
      </c>
      <c r="K246" s="27" t="s">
        <v>73</v>
      </c>
      <c r="L246" s="31" t="s">
        <v>648</v>
      </c>
      <c r="M246" s="32">
        <v>0.37</v>
      </c>
      <c r="N246" s="27" t="s">
        <v>33</v>
      </c>
      <c r="O246" s="27" t="s">
        <v>60</v>
      </c>
      <c r="P246" s="27" t="s">
        <v>67</v>
      </c>
      <c r="Q246" s="27" t="s">
        <v>649</v>
      </c>
      <c r="R246" s="33">
        <v>98158</v>
      </c>
      <c r="S246" s="34">
        <v>42024</v>
      </c>
      <c r="T246" s="34">
        <v>42026</v>
      </c>
      <c r="U246" s="29">
        <v>-92.05</v>
      </c>
      <c r="V246" s="26">
        <v>10</v>
      </c>
      <c r="W246" s="29">
        <v>66.709999999999994</v>
      </c>
      <c r="X246" s="26">
        <v>88906</v>
      </c>
      <c r="Y246" s="35">
        <v>2036.41</v>
      </c>
      <c r="Z246" s="1" t="s">
        <v>3013</v>
      </c>
      <c r="AA246" s="36">
        <v>1.2960000000000003</v>
      </c>
      <c r="AB246" s="54">
        <v>42.027299999999997</v>
      </c>
      <c r="AC246" s="54">
        <v>2.4682699999999995</v>
      </c>
      <c r="AD246" s="36">
        <v>150.86399999999998</v>
      </c>
    </row>
    <row r="247" spans="1:30" s="37" customFormat="1" ht="15.75" customHeight="1" x14ac:dyDescent="0.2">
      <c r="A247" s="26">
        <v>549</v>
      </c>
      <c r="B247" s="27" t="s">
        <v>654</v>
      </c>
      <c r="C247" s="27" t="s">
        <v>3094</v>
      </c>
      <c r="D247" s="28">
        <v>0.02</v>
      </c>
      <c r="E247" s="29">
        <v>7.1</v>
      </c>
      <c r="F247" s="29">
        <v>6.05</v>
      </c>
      <c r="G247" s="30" t="s">
        <v>39</v>
      </c>
      <c r="H247" s="27" t="s">
        <v>94</v>
      </c>
      <c r="I247" s="27" t="s">
        <v>49</v>
      </c>
      <c r="J247" s="27" t="s">
        <v>72</v>
      </c>
      <c r="K247" s="27" t="s">
        <v>73</v>
      </c>
      <c r="L247" s="31" t="s">
        <v>251</v>
      </c>
      <c r="M247" s="32">
        <v>0.39</v>
      </c>
      <c r="N247" s="27" t="s">
        <v>33</v>
      </c>
      <c r="O247" s="27" t="s">
        <v>60</v>
      </c>
      <c r="P247" s="27" t="s">
        <v>640</v>
      </c>
      <c r="Q247" s="27" t="s">
        <v>195</v>
      </c>
      <c r="R247" s="33">
        <v>88201</v>
      </c>
      <c r="S247" s="34">
        <v>42024</v>
      </c>
      <c r="T247" s="34">
        <v>42024</v>
      </c>
      <c r="U247" s="29">
        <v>-66.378</v>
      </c>
      <c r="V247" s="26">
        <v>9</v>
      </c>
      <c r="W247" s="29">
        <v>66.319999999999993</v>
      </c>
      <c r="X247" s="26">
        <v>90908</v>
      </c>
      <c r="Y247" s="35">
        <v>7.08</v>
      </c>
      <c r="Z247" s="1" t="s">
        <v>3013</v>
      </c>
      <c r="AA247" s="36">
        <v>1.2779999999999998</v>
      </c>
      <c r="AB247" s="54">
        <v>40.455199999999998</v>
      </c>
      <c r="AC247" s="54">
        <v>2.8738666666666663</v>
      </c>
      <c r="AD247" s="36">
        <v>125.37</v>
      </c>
    </row>
    <row r="248" spans="1:30" s="37" customFormat="1" ht="15.75" customHeight="1" x14ac:dyDescent="0.2">
      <c r="A248" s="26">
        <v>2464</v>
      </c>
      <c r="B248" s="27" t="s">
        <v>655</v>
      </c>
      <c r="C248" s="27" t="s">
        <v>3094</v>
      </c>
      <c r="D248" s="28">
        <v>0.04</v>
      </c>
      <c r="E248" s="29">
        <v>3.08</v>
      </c>
      <c r="F248" s="29">
        <v>0.99</v>
      </c>
      <c r="G248" s="30" t="s">
        <v>39</v>
      </c>
      <c r="H248" s="27" t="s">
        <v>40</v>
      </c>
      <c r="I248" s="27" t="s">
        <v>49</v>
      </c>
      <c r="J248" s="27" t="s">
        <v>152</v>
      </c>
      <c r="K248" s="27" t="s">
        <v>73</v>
      </c>
      <c r="L248" s="31" t="s">
        <v>658</v>
      </c>
      <c r="M248" s="32">
        <v>0.37</v>
      </c>
      <c r="N248" s="27" t="s">
        <v>33</v>
      </c>
      <c r="O248" s="27" t="s">
        <v>34</v>
      </c>
      <c r="P248" s="27" t="s">
        <v>168</v>
      </c>
      <c r="Q248" s="27" t="s">
        <v>657</v>
      </c>
      <c r="R248" s="33">
        <v>71111</v>
      </c>
      <c r="S248" s="34">
        <v>42024</v>
      </c>
      <c r="T248" s="34">
        <v>42025</v>
      </c>
      <c r="U248" s="29">
        <v>424.29</v>
      </c>
      <c r="V248" s="26">
        <v>14</v>
      </c>
      <c r="W248" s="29">
        <v>42.53</v>
      </c>
      <c r="X248" s="26">
        <v>88714</v>
      </c>
      <c r="Y248" s="35">
        <v>6.23</v>
      </c>
      <c r="Z248" s="1" t="s">
        <v>3011</v>
      </c>
      <c r="AA248" s="36">
        <v>1.7248000000000001</v>
      </c>
      <c r="AB248" s="54">
        <v>26.793900000000001</v>
      </c>
      <c r="AC248" s="54">
        <v>1.1240071428571428</v>
      </c>
      <c r="AD248" s="36">
        <v>-384.47480000000007</v>
      </c>
    </row>
    <row r="249" spans="1:30" s="37" customFormat="1" ht="15.75" customHeight="1" x14ac:dyDescent="0.2">
      <c r="A249" s="26">
        <v>2464</v>
      </c>
      <c r="B249" s="27" t="s">
        <v>655</v>
      </c>
      <c r="C249" s="27" t="s">
        <v>3094</v>
      </c>
      <c r="D249" s="28">
        <v>0.05</v>
      </c>
      <c r="E249" s="29">
        <v>6.28</v>
      </c>
      <c r="F249" s="29">
        <v>5.36</v>
      </c>
      <c r="G249" s="30" t="s">
        <v>39</v>
      </c>
      <c r="H249" s="27" t="s">
        <v>40</v>
      </c>
      <c r="I249" s="27" t="s">
        <v>49</v>
      </c>
      <c r="J249" s="27" t="s">
        <v>72</v>
      </c>
      <c r="K249" s="27" t="s">
        <v>73</v>
      </c>
      <c r="L249" s="31" t="s">
        <v>656</v>
      </c>
      <c r="M249" s="32">
        <v>0.4</v>
      </c>
      <c r="N249" s="27" t="s">
        <v>33</v>
      </c>
      <c r="O249" s="27" t="s">
        <v>34</v>
      </c>
      <c r="P249" s="27" t="s">
        <v>168</v>
      </c>
      <c r="Q249" s="27" t="s">
        <v>657</v>
      </c>
      <c r="R249" s="33">
        <v>71111</v>
      </c>
      <c r="S249" s="34">
        <v>42024</v>
      </c>
      <c r="T249" s="34">
        <v>42027</v>
      </c>
      <c r="U249" s="29">
        <v>1.278</v>
      </c>
      <c r="V249" s="26">
        <v>6</v>
      </c>
      <c r="W249" s="29">
        <v>38.04</v>
      </c>
      <c r="X249" s="26">
        <v>88714</v>
      </c>
      <c r="Y249" s="35">
        <v>3.04</v>
      </c>
      <c r="Z249" s="1" t="s">
        <v>3011</v>
      </c>
      <c r="AA249" s="36">
        <v>1.8840000000000003</v>
      </c>
      <c r="AB249" s="54">
        <v>22.823999999999998</v>
      </c>
      <c r="AC249" s="54">
        <v>2.536</v>
      </c>
      <c r="AD249" s="36">
        <v>29.518000000000001</v>
      </c>
    </row>
    <row r="250" spans="1:30" s="37" customFormat="1" ht="15.75" customHeight="1" x14ac:dyDescent="0.2">
      <c r="A250" s="26">
        <v>1989</v>
      </c>
      <c r="B250" s="27" t="s">
        <v>693</v>
      </c>
      <c r="C250" s="27" t="s">
        <v>3094</v>
      </c>
      <c r="D250" s="28">
        <v>0.04</v>
      </c>
      <c r="E250" s="29">
        <v>355.98</v>
      </c>
      <c r="F250" s="29">
        <v>58.92</v>
      </c>
      <c r="G250" s="30" t="s">
        <v>27</v>
      </c>
      <c r="H250" s="27" t="s">
        <v>71</v>
      </c>
      <c r="I250" s="27" t="s">
        <v>29</v>
      </c>
      <c r="J250" s="27" t="s">
        <v>109</v>
      </c>
      <c r="K250" s="27" t="s">
        <v>58</v>
      </c>
      <c r="L250" s="31" t="s">
        <v>694</v>
      </c>
      <c r="M250" s="32">
        <v>0.64</v>
      </c>
      <c r="N250" s="27" t="s">
        <v>33</v>
      </c>
      <c r="O250" s="27" t="s">
        <v>60</v>
      </c>
      <c r="P250" s="27" t="s">
        <v>146</v>
      </c>
      <c r="Q250" s="27" t="s">
        <v>695</v>
      </c>
      <c r="R250" s="33">
        <v>84117</v>
      </c>
      <c r="S250" s="34">
        <v>42025</v>
      </c>
      <c r="T250" s="34">
        <v>42026</v>
      </c>
      <c r="U250" s="29">
        <v>882.93</v>
      </c>
      <c r="V250" s="26">
        <v>8</v>
      </c>
      <c r="W250" s="29">
        <v>2748.21</v>
      </c>
      <c r="X250" s="26">
        <v>90000</v>
      </c>
      <c r="Y250" s="35">
        <v>9.74</v>
      </c>
      <c r="Z250" s="1" t="s">
        <v>3013</v>
      </c>
      <c r="AA250" s="36">
        <v>113.9136</v>
      </c>
      <c r="AB250" s="54">
        <v>989.35559999999998</v>
      </c>
      <c r="AC250" s="54">
        <v>219.85680000000002</v>
      </c>
      <c r="AD250" s="36">
        <v>1692.4464</v>
      </c>
    </row>
    <row r="251" spans="1:30" s="37" customFormat="1" ht="15.75" customHeight="1" x14ac:dyDescent="0.2">
      <c r="A251" s="26">
        <v>1928</v>
      </c>
      <c r="B251" s="27" t="s">
        <v>690</v>
      </c>
      <c r="C251" s="27" t="s">
        <v>3094</v>
      </c>
      <c r="D251" s="28">
        <v>0.1</v>
      </c>
      <c r="E251" s="29">
        <v>1889.99</v>
      </c>
      <c r="F251" s="29">
        <v>19.989999999999998</v>
      </c>
      <c r="G251" s="30" t="s">
        <v>39</v>
      </c>
      <c r="H251" s="27" t="s">
        <v>71</v>
      </c>
      <c r="I251" s="27" t="s">
        <v>49</v>
      </c>
      <c r="J251" s="27" t="s">
        <v>72</v>
      </c>
      <c r="K251" s="27" t="s">
        <v>73</v>
      </c>
      <c r="L251" s="31" t="s">
        <v>691</v>
      </c>
      <c r="M251" s="32">
        <v>0.36</v>
      </c>
      <c r="N251" s="27" t="s">
        <v>33</v>
      </c>
      <c r="O251" s="27" t="s">
        <v>34</v>
      </c>
      <c r="P251" s="27" t="s">
        <v>271</v>
      </c>
      <c r="Q251" s="27" t="s">
        <v>692</v>
      </c>
      <c r="R251" s="33">
        <v>29651</v>
      </c>
      <c r="S251" s="34">
        <v>42025</v>
      </c>
      <c r="T251" s="34">
        <v>42025</v>
      </c>
      <c r="U251" s="29">
        <v>-42.545999999999999</v>
      </c>
      <c r="V251" s="26">
        <v>1</v>
      </c>
      <c r="W251" s="29">
        <v>1786.04</v>
      </c>
      <c r="X251" s="26">
        <v>88580</v>
      </c>
      <c r="Y251" s="35">
        <v>205.95000000000002</v>
      </c>
      <c r="Z251" s="1" t="s">
        <v>3011</v>
      </c>
      <c r="AA251" s="36">
        <v>188.99900000000002</v>
      </c>
      <c r="AB251" s="54">
        <v>1143.0655999999999</v>
      </c>
      <c r="AC251" s="54">
        <v>642.97439999999995</v>
      </c>
      <c r="AD251" s="36">
        <v>1619.597</v>
      </c>
    </row>
    <row r="252" spans="1:30" s="37" customFormat="1" ht="15.75" customHeight="1" x14ac:dyDescent="0.2">
      <c r="A252" s="26">
        <v>2882</v>
      </c>
      <c r="B252" s="27" t="s">
        <v>671</v>
      </c>
      <c r="C252" s="27" t="s">
        <v>48</v>
      </c>
      <c r="D252" s="28">
        <v>0.02</v>
      </c>
      <c r="E252" s="29">
        <v>43.98</v>
      </c>
      <c r="F252" s="29">
        <v>1.99</v>
      </c>
      <c r="G252" s="30" t="s">
        <v>39</v>
      </c>
      <c r="H252" s="27" t="s">
        <v>40</v>
      </c>
      <c r="I252" s="27" t="s">
        <v>41</v>
      </c>
      <c r="J252" s="27" t="s">
        <v>42</v>
      </c>
      <c r="K252" s="27" t="s">
        <v>43</v>
      </c>
      <c r="L252" s="31" t="s">
        <v>672</v>
      </c>
      <c r="M252" s="32">
        <v>0.44</v>
      </c>
      <c r="N252" s="27" t="s">
        <v>33</v>
      </c>
      <c r="O252" s="27" t="s">
        <v>34</v>
      </c>
      <c r="P252" s="27" t="s">
        <v>97</v>
      </c>
      <c r="Q252" s="27" t="s">
        <v>673</v>
      </c>
      <c r="R252" s="33">
        <v>28206</v>
      </c>
      <c r="S252" s="34">
        <v>42025</v>
      </c>
      <c r="T252" s="34">
        <v>42029</v>
      </c>
      <c r="U252" s="29">
        <v>333.76049999999998</v>
      </c>
      <c r="V252" s="26">
        <v>40</v>
      </c>
      <c r="W252" s="29">
        <v>1724.01</v>
      </c>
      <c r="X252" s="26">
        <v>50917</v>
      </c>
      <c r="Y252" s="35">
        <v>31.71</v>
      </c>
      <c r="Z252" s="1" t="s">
        <v>3011</v>
      </c>
      <c r="AA252" s="36">
        <v>35.183999999999997</v>
      </c>
      <c r="AB252" s="54">
        <v>965.44560000000013</v>
      </c>
      <c r="AC252" s="54">
        <v>18.964110000000002</v>
      </c>
      <c r="AD252" s="36">
        <v>1353.0754999999999</v>
      </c>
    </row>
    <row r="253" spans="1:30" s="37" customFormat="1" ht="15.75" customHeight="1" x14ac:dyDescent="0.2">
      <c r="A253" s="26">
        <v>1402</v>
      </c>
      <c r="B253" s="27" t="s">
        <v>531</v>
      </c>
      <c r="C253" s="27" t="s">
        <v>116</v>
      </c>
      <c r="D253" s="28">
        <v>0.04</v>
      </c>
      <c r="E253" s="29">
        <v>30.73</v>
      </c>
      <c r="F253" s="29">
        <v>4</v>
      </c>
      <c r="G253" s="30" t="s">
        <v>39</v>
      </c>
      <c r="H253" s="27" t="s">
        <v>71</v>
      </c>
      <c r="I253" s="27" t="s">
        <v>41</v>
      </c>
      <c r="J253" s="27" t="s">
        <v>42</v>
      </c>
      <c r="K253" s="27" t="s">
        <v>73</v>
      </c>
      <c r="L253" s="31" t="s">
        <v>674</v>
      </c>
      <c r="M253" s="32">
        <v>0.75</v>
      </c>
      <c r="N253" s="27" t="s">
        <v>33</v>
      </c>
      <c r="O253" s="27" t="s">
        <v>53</v>
      </c>
      <c r="P253" s="27" t="s">
        <v>103</v>
      </c>
      <c r="Q253" s="27" t="s">
        <v>533</v>
      </c>
      <c r="R253" s="33">
        <v>60653</v>
      </c>
      <c r="S253" s="34">
        <v>42025</v>
      </c>
      <c r="T253" s="34">
        <v>42026</v>
      </c>
      <c r="U253" s="29">
        <v>-20.79</v>
      </c>
      <c r="V253" s="26">
        <v>48</v>
      </c>
      <c r="W253" s="29">
        <v>1420.84</v>
      </c>
      <c r="X253" s="26">
        <v>43079</v>
      </c>
      <c r="Y253" s="35">
        <v>100.94</v>
      </c>
      <c r="Z253" s="1" t="s">
        <v>3012</v>
      </c>
      <c r="AA253" s="36">
        <v>59.001600000000003</v>
      </c>
      <c r="AB253" s="54">
        <v>355.21</v>
      </c>
      <c r="AC253" s="54">
        <v>22.200624999999999</v>
      </c>
      <c r="AD253" s="36">
        <v>1378.6283999999998</v>
      </c>
    </row>
    <row r="254" spans="1:30" s="37" customFormat="1" ht="15.75" customHeight="1" x14ac:dyDescent="0.2">
      <c r="A254" s="26">
        <v>2855</v>
      </c>
      <c r="B254" s="27" t="s">
        <v>678</v>
      </c>
      <c r="C254" s="27" t="s">
        <v>116</v>
      </c>
      <c r="D254" s="28">
        <v>0.03</v>
      </c>
      <c r="E254" s="29">
        <v>105.34</v>
      </c>
      <c r="F254" s="29">
        <v>24.49</v>
      </c>
      <c r="G254" s="30" t="s">
        <v>39</v>
      </c>
      <c r="H254" s="27" t="s">
        <v>94</v>
      </c>
      <c r="I254" s="27" t="s">
        <v>29</v>
      </c>
      <c r="J254" s="27" t="s">
        <v>126</v>
      </c>
      <c r="K254" s="27" t="s">
        <v>65</v>
      </c>
      <c r="L254" s="31" t="s">
        <v>681</v>
      </c>
      <c r="M254" s="32">
        <v>0.61</v>
      </c>
      <c r="N254" s="27" t="s">
        <v>33</v>
      </c>
      <c r="O254" s="27" t="s">
        <v>60</v>
      </c>
      <c r="P254" s="27" t="s">
        <v>67</v>
      </c>
      <c r="Q254" s="27" t="s">
        <v>680</v>
      </c>
      <c r="R254" s="33">
        <v>98198</v>
      </c>
      <c r="S254" s="34">
        <v>42025</v>
      </c>
      <c r="T254" s="34">
        <v>42026</v>
      </c>
      <c r="U254" s="29">
        <v>618.13080000000002</v>
      </c>
      <c r="V254" s="26">
        <v>10</v>
      </c>
      <c r="W254" s="29">
        <v>1038.1400000000001</v>
      </c>
      <c r="X254" s="26">
        <v>87316</v>
      </c>
      <c r="Y254" s="35">
        <v>43.959999999999994</v>
      </c>
      <c r="Z254" s="1" t="s">
        <v>3013</v>
      </c>
      <c r="AA254" s="36">
        <v>31.602</v>
      </c>
      <c r="AB254" s="54">
        <v>404.87460000000004</v>
      </c>
      <c r="AC254" s="54">
        <v>63.326540000000001</v>
      </c>
      <c r="AD254" s="36">
        <v>363.91720000000009</v>
      </c>
    </row>
    <row r="255" spans="1:30" s="37" customFormat="1" ht="15.75" customHeight="1" x14ac:dyDescent="0.2">
      <c r="A255" s="26">
        <v>1788</v>
      </c>
      <c r="B255" s="27" t="s">
        <v>662</v>
      </c>
      <c r="C255" s="27" t="s">
        <v>26</v>
      </c>
      <c r="D255" s="28">
        <v>0.04</v>
      </c>
      <c r="E255" s="29">
        <v>205.99</v>
      </c>
      <c r="F255" s="29">
        <v>8.99</v>
      </c>
      <c r="G255" s="30" t="s">
        <v>39</v>
      </c>
      <c r="H255" s="27" t="s">
        <v>40</v>
      </c>
      <c r="I255" s="27" t="s">
        <v>41</v>
      </c>
      <c r="J255" s="27" t="s">
        <v>135</v>
      </c>
      <c r="K255" s="27" t="s">
        <v>73</v>
      </c>
      <c r="L255" s="31" t="s">
        <v>663</v>
      </c>
      <c r="M255" s="32">
        <v>0.56000000000000005</v>
      </c>
      <c r="N255" s="27" t="s">
        <v>33</v>
      </c>
      <c r="O255" s="27" t="s">
        <v>34</v>
      </c>
      <c r="P255" s="27" t="s">
        <v>75</v>
      </c>
      <c r="Q255" s="27" t="s">
        <v>664</v>
      </c>
      <c r="R255" s="33">
        <v>30188</v>
      </c>
      <c r="S255" s="34">
        <v>42025</v>
      </c>
      <c r="T255" s="34">
        <v>42026</v>
      </c>
      <c r="U255" s="29">
        <v>960.98400000000004</v>
      </c>
      <c r="V255" s="26">
        <v>6</v>
      </c>
      <c r="W255" s="29">
        <v>1008.53</v>
      </c>
      <c r="X255" s="26">
        <v>88256</v>
      </c>
      <c r="Y255" s="35">
        <v>30.69</v>
      </c>
      <c r="Z255" s="1" t="s">
        <v>3011</v>
      </c>
      <c r="AA255" s="36">
        <v>49.437600000000003</v>
      </c>
      <c r="AB255" s="54">
        <v>443.75319999999994</v>
      </c>
      <c r="AC255" s="54">
        <v>94.129466666666673</v>
      </c>
      <c r="AD255" s="36">
        <v>-10.881600000000049</v>
      </c>
    </row>
    <row r="256" spans="1:30" s="37" customFormat="1" ht="15.75" customHeight="1" x14ac:dyDescent="0.2">
      <c r="A256" s="26">
        <v>2423</v>
      </c>
      <c r="B256" s="27" t="s">
        <v>668</v>
      </c>
      <c r="C256" s="27" t="s">
        <v>48</v>
      </c>
      <c r="D256" s="28">
        <v>0.04</v>
      </c>
      <c r="E256" s="29">
        <v>100.98</v>
      </c>
      <c r="F256" s="29">
        <v>7.18</v>
      </c>
      <c r="G256" s="30" t="s">
        <v>39</v>
      </c>
      <c r="H256" s="27" t="s">
        <v>71</v>
      </c>
      <c r="I256" s="27" t="s">
        <v>41</v>
      </c>
      <c r="J256" s="27" t="s">
        <v>42</v>
      </c>
      <c r="K256" s="27" t="s">
        <v>73</v>
      </c>
      <c r="L256" s="31" t="s">
        <v>669</v>
      </c>
      <c r="M256" s="32">
        <v>0.4</v>
      </c>
      <c r="N256" s="27" t="s">
        <v>33</v>
      </c>
      <c r="O256" s="27" t="s">
        <v>53</v>
      </c>
      <c r="P256" s="27" t="s">
        <v>187</v>
      </c>
      <c r="Q256" s="27" t="s">
        <v>670</v>
      </c>
      <c r="R256" s="33">
        <v>76053</v>
      </c>
      <c r="S256" s="34">
        <v>42025</v>
      </c>
      <c r="T256" s="34">
        <v>42030</v>
      </c>
      <c r="U256" s="29">
        <v>269.94</v>
      </c>
      <c r="V256" s="26">
        <v>4</v>
      </c>
      <c r="W256" s="29">
        <v>414.91</v>
      </c>
      <c r="X256" s="26">
        <v>89054</v>
      </c>
      <c r="Y256" s="35">
        <v>30.69</v>
      </c>
      <c r="Z256" s="1" t="s">
        <v>3012</v>
      </c>
      <c r="AA256" s="36">
        <v>16.1568</v>
      </c>
      <c r="AB256" s="54">
        <v>248.946</v>
      </c>
      <c r="AC256" s="54">
        <v>41.491000000000007</v>
      </c>
      <c r="AD256" s="36">
        <v>121.63320000000004</v>
      </c>
    </row>
    <row r="257" spans="1:30" s="37" customFormat="1" ht="15.75" customHeight="1" x14ac:dyDescent="0.2">
      <c r="A257" s="26">
        <v>2796</v>
      </c>
      <c r="B257" s="27" t="s">
        <v>675</v>
      </c>
      <c r="C257" s="27" t="s">
        <v>116</v>
      </c>
      <c r="D257" s="28">
        <v>0.02</v>
      </c>
      <c r="E257" s="29">
        <v>30.44</v>
      </c>
      <c r="F257" s="29">
        <v>1.49</v>
      </c>
      <c r="G257" s="30" t="s">
        <v>39</v>
      </c>
      <c r="H257" s="27" t="s">
        <v>94</v>
      </c>
      <c r="I257" s="27" t="s">
        <v>49</v>
      </c>
      <c r="J257" s="27" t="s">
        <v>72</v>
      </c>
      <c r="K257" s="27" t="s">
        <v>73</v>
      </c>
      <c r="L257" s="31" t="s">
        <v>676</v>
      </c>
      <c r="M257" s="32">
        <v>0.37</v>
      </c>
      <c r="N257" s="27" t="s">
        <v>33</v>
      </c>
      <c r="O257" s="27" t="s">
        <v>53</v>
      </c>
      <c r="P257" s="27" t="s">
        <v>213</v>
      </c>
      <c r="Q257" s="27" t="s">
        <v>677</v>
      </c>
      <c r="R257" s="33">
        <v>51106</v>
      </c>
      <c r="S257" s="34">
        <v>42025</v>
      </c>
      <c r="T257" s="34">
        <v>42027</v>
      </c>
      <c r="U257" s="29">
        <v>266.76089999999999</v>
      </c>
      <c r="V257" s="26">
        <v>12</v>
      </c>
      <c r="W257" s="29">
        <v>386.61</v>
      </c>
      <c r="X257" s="26">
        <v>87553</v>
      </c>
      <c r="Y257" s="35">
        <v>30.42</v>
      </c>
      <c r="Z257" s="1" t="s">
        <v>3012</v>
      </c>
      <c r="AA257" s="36">
        <v>7.3056000000000001</v>
      </c>
      <c r="AB257" s="54">
        <v>243.5643</v>
      </c>
      <c r="AC257" s="54">
        <v>11.920475</v>
      </c>
      <c r="AD257" s="36">
        <v>111.05349999999999</v>
      </c>
    </row>
    <row r="258" spans="1:30" s="37" customFormat="1" ht="15.75" customHeight="1" x14ac:dyDescent="0.2">
      <c r="A258" s="26">
        <v>3229</v>
      </c>
      <c r="B258" s="27" t="s">
        <v>697</v>
      </c>
      <c r="C258" s="27" t="s">
        <v>3094</v>
      </c>
      <c r="D258" s="28">
        <v>0.01</v>
      </c>
      <c r="E258" s="29">
        <v>24.95</v>
      </c>
      <c r="F258" s="29">
        <v>2.99</v>
      </c>
      <c r="G258" s="30" t="s">
        <v>39</v>
      </c>
      <c r="H258" s="27" t="s">
        <v>3095</v>
      </c>
      <c r="I258" s="27" t="s">
        <v>49</v>
      </c>
      <c r="J258" s="27" t="s">
        <v>72</v>
      </c>
      <c r="K258" s="27" t="s">
        <v>73</v>
      </c>
      <c r="L258" s="31" t="s">
        <v>698</v>
      </c>
      <c r="M258" s="32">
        <v>0.39</v>
      </c>
      <c r="N258" s="27" t="s">
        <v>33</v>
      </c>
      <c r="O258" s="27" t="s">
        <v>53</v>
      </c>
      <c r="P258" s="27" t="s">
        <v>357</v>
      </c>
      <c r="Q258" s="27" t="s">
        <v>699</v>
      </c>
      <c r="R258" s="33">
        <v>54880</v>
      </c>
      <c r="S258" s="34">
        <v>42025</v>
      </c>
      <c r="T258" s="34">
        <v>42026</v>
      </c>
      <c r="U258" s="29">
        <v>261.38580000000002</v>
      </c>
      <c r="V258" s="26">
        <v>15</v>
      </c>
      <c r="W258" s="29">
        <v>378.82</v>
      </c>
      <c r="X258" s="26">
        <v>87435</v>
      </c>
      <c r="Y258" s="35">
        <v>4.8900000000000006</v>
      </c>
      <c r="Z258" s="1" t="s">
        <v>3012</v>
      </c>
      <c r="AA258" s="36">
        <v>3.7425000000000002</v>
      </c>
      <c r="AB258" s="54">
        <v>231.08019999999999</v>
      </c>
      <c r="AC258" s="54">
        <v>9.8493200000000005</v>
      </c>
      <c r="AD258" s="36">
        <v>110.70169999999996</v>
      </c>
    </row>
    <row r="259" spans="1:30" s="37" customFormat="1" ht="15.75" customHeight="1" x14ac:dyDescent="0.2">
      <c r="A259" s="26">
        <v>1405</v>
      </c>
      <c r="B259" s="27" t="s">
        <v>534</v>
      </c>
      <c r="C259" s="27" t="s">
        <v>116</v>
      </c>
      <c r="D259" s="28">
        <v>0.04</v>
      </c>
      <c r="E259" s="29">
        <v>30.73</v>
      </c>
      <c r="F259" s="29">
        <v>4</v>
      </c>
      <c r="G259" s="30" t="s">
        <v>39</v>
      </c>
      <c r="H259" s="27" t="s">
        <v>71</v>
      </c>
      <c r="I259" s="27" t="s">
        <v>41</v>
      </c>
      <c r="J259" s="27" t="s">
        <v>42</v>
      </c>
      <c r="K259" s="27" t="s">
        <v>73</v>
      </c>
      <c r="L259" s="31" t="s">
        <v>674</v>
      </c>
      <c r="M259" s="32">
        <v>0.75</v>
      </c>
      <c r="N259" s="27" t="s">
        <v>33</v>
      </c>
      <c r="O259" s="27" t="s">
        <v>53</v>
      </c>
      <c r="P259" s="27" t="s">
        <v>289</v>
      </c>
      <c r="Q259" s="27" t="s">
        <v>535</v>
      </c>
      <c r="R259" s="33">
        <v>49017</v>
      </c>
      <c r="S259" s="34">
        <v>42025</v>
      </c>
      <c r="T259" s="34">
        <v>42026</v>
      </c>
      <c r="U259" s="29">
        <v>-20.79</v>
      </c>
      <c r="V259" s="26">
        <v>12</v>
      </c>
      <c r="W259" s="29">
        <v>355.21</v>
      </c>
      <c r="X259" s="26">
        <v>86145</v>
      </c>
      <c r="Y259" s="35">
        <v>7.76</v>
      </c>
      <c r="Z259" s="1" t="s">
        <v>3012</v>
      </c>
      <c r="AA259" s="36">
        <v>14.750400000000001</v>
      </c>
      <c r="AB259" s="54">
        <v>88.802499999999995</v>
      </c>
      <c r="AC259" s="54">
        <v>22.200624999999999</v>
      </c>
      <c r="AD259" s="36">
        <v>357.24959999999999</v>
      </c>
    </row>
    <row r="260" spans="1:30" s="37" customFormat="1" ht="15.75" customHeight="1" x14ac:dyDescent="0.2">
      <c r="A260" s="26">
        <v>263</v>
      </c>
      <c r="B260" s="27" t="s">
        <v>665</v>
      </c>
      <c r="C260" s="27" t="s">
        <v>38</v>
      </c>
      <c r="D260" s="28">
        <v>0.05</v>
      </c>
      <c r="E260" s="29">
        <v>31.76</v>
      </c>
      <c r="F260" s="29">
        <v>45.51</v>
      </c>
      <c r="G260" s="30" t="s">
        <v>27</v>
      </c>
      <c r="H260" s="27" t="s">
        <v>3095</v>
      </c>
      <c r="I260" s="27" t="s">
        <v>29</v>
      </c>
      <c r="J260" s="27" t="s">
        <v>30</v>
      </c>
      <c r="K260" s="27" t="s">
        <v>31</v>
      </c>
      <c r="L260" s="31" t="s">
        <v>666</v>
      </c>
      <c r="M260" s="32">
        <v>0.65</v>
      </c>
      <c r="N260" s="27" t="s">
        <v>33</v>
      </c>
      <c r="O260" s="27" t="s">
        <v>111</v>
      </c>
      <c r="P260" s="27" t="s">
        <v>317</v>
      </c>
      <c r="Q260" s="27" t="s">
        <v>667</v>
      </c>
      <c r="R260" s="33">
        <v>44106</v>
      </c>
      <c r="S260" s="34">
        <v>42025</v>
      </c>
      <c r="T260" s="34">
        <v>42027</v>
      </c>
      <c r="U260" s="29">
        <v>-2177.9860960000001</v>
      </c>
      <c r="V260" s="26">
        <v>9</v>
      </c>
      <c r="W260" s="29">
        <v>304.33999999999997</v>
      </c>
      <c r="X260" s="26">
        <v>86297</v>
      </c>
      <c r="Y260" s="35">
        <v>105.31</v>
      </c>
      <c r="Z260" s="1" t="s">
        <v>3014</v>
      </c>
      <c r="AA260" s="36">
        <v>14.292000000000002</v>
      </c>
      <c r="AB260" s="54">
        <v>106.51899999999999</v>
      </c>
      <c r="AC260" s="54">
        <v>21.98011111111111</v>
      </c>
      <c r="AD260" s="36">
        <v>2422.5240960000001</v>
      </c>
    </row>
    <row r="261" spans="1:30" s="37" customFormat="1" ht="15.75" customHeight="1" x14ac:dyDescent="0.2">
      <c r="A261" s="26">
        <v>3230</v>
      </c>
      <c r="B261" s="27" t="s">
        <v>700</v>
      </c>
      <c r="C261" s="27" t="s">
        <v>3094</v>
      </c>
      <c r="D261" s="28">
        <v>0</v>
      </c>
      <c r="E261" s="29">
        <v>15.98</v>
      </c>
      <c r="F261" s="29">
        <v>8.99</v>
      </c>
      <c r="G261" s="30" t="s">
        <v>39</v>
      </c>
      <c r="H261" s="27" t="s">
        <v>3095</v>
      </c>
      <c r="I261" s="27" t="s">
        <v>41</v>
      </c>
      <c r="J261" s="27" t="s">
        <v>42</v>
      </c>
      <c r="K261" s="27" t="s">
        <v>43</v>
      </c>
      <c r="L261" s="31" t="s">
        <v>701</v>
      </c>
      <c r="M261" s="32">
        <v>0.64</v>
      </c>
      <c r="N261" s="27" t="s">
        <v>33</v>
      </c>
      <c r="O261" s="27" t="s">
        <v>53</v>
      </c>
      <c r="P261" s="27" t="s">
        <v>357</v>
      </c>
      <c r="Q261" s="27" t="s">
        <v>702</v>
      </c>
      <c r="R261" s="33">
        <v>53186</v>
      </c>
      <c r="S261" s="34">
        <v>42025</v>
      </c>
      <c r="T261" s="34">
        <v>42027</v>
      </c>
      <c r="U261" s="29">
        <v>-135.46</v>
      </c>
      <c r="V261" s="26">
        <v>9</v>
      </c>
      <c r="W261" s="29">
        <v>152.18</v>
      </c>
      <c r="X261" s="26">
        <v>87435</v>
      </c>
      <c r="Y261" s="35">
        <v>15.47</v>
      </c>
      <c r="Z261" s="1" t="s">
        <v>3012</v>
      </c>
      <c r="AA261" s="36">
        <v>0</v>
      </c>
      <c r="AB261" s="54">
        <v>54.784799999999997</v>
      </c>
      <c r="AC261" s="54">
        <v>10.82168888888889</v>
      </c>
      <c r="AD261" s="36">
        <v>278.65000000000003</v>
      </c>
    </row>
    <row r="262" spans="1:30" s="37" customFormat="1" ht="15.75" customHeight="1" x14ac:dyDescent="0.2">
      <c r="A262" s="26">
        <v>584</v>
      </c>
      <c r="B262" s="27" t="s">
        <v>682</v>
      </c>
      <c r="C262" s="27" t="s">
        <v>3094</v>
      </c>
      <c r="D262" s="28">
        <v>0.04</v>
      </c>
      <c r="E262" s="29">
        <v>15.51</v>
      </c>
      <c r="F262" s="29">
        <v>17.78</v>
      </c>
      <c r="G262" s="30" t="s">
        <v>39</v>
      </c>
      <c r="H262" s="27" t="s">
        <v>94</v>
      </c>
      <c r="I262" s="27" t="s">
        <v>49</v>
      </c>
      <c r="J262" s="27" t="s">
        <v>78</v>
      </c>
      <c r="K262" s="27" t="s">
        <v>73</v>
      </c>
      <c r="L262" s="31" t="s">
        <v>258</v>
      </c>
      <c r="M262" s="32">
        <v>0.59</v>
      </c>
      <c r="N262" s="27" t="s">
        <v>33</v>
      </c>
      <c r="O262" s="27" t="s">
        <v>111</v>
      </c>
      <c r="P262" s="27" t="s">
        <v>403</v>
      </c>
      <c r="Q262" s="27" t="s">
        <v>683</v>
      </c>
      <c r="R262" s="33">
        <v>1801</v>
      </c>
      <c r="S262" s="34">
        <v>42025</v>
      </c>
      <c r="T262" s="34">
        <v>42027</v>
      </c>
      <c r="U262" s="29">
        <v>-266.22000000000003</v>
      </c>
      <c r="V262" s="26">
        <v>7</v>
      </c>
      <c r="W262" s="29">
        <v>116.93</v>
      </c>
      <c r="X262" s="26">
        <v>88646</v>
      </c>
      <c r="Y262" s="35">
        <v>14.27</v>
      </c>
      <c r="Z262" s="1" t="s">
        <v>3014</v>
      </c>
      <c r="AA262" s="36">
        <v>4.3427999999999995</v>
      </c>
      <c r="AB262" s="54">
        <v>47.941300000000005</v>
      </c>
      <c r="AC262" s="54">
        <v>9.8555285714285699</v>
      </c>
      <c r="AD262" s="36">
        <v>361.02719999999999</v>
      </c>
    </row>
    <row r="263" spans="1:30" s="37" customFormat="1" ht="15.75" customHeight="1" x14ac:dyDescent="0.2">
      <c r="A263" s="26">
        <v>1727</v>
      </c>
      <c r="B263" s="27" t="s">
        <v>687</v>
      </c>
      <c r="C263" s="27" t="s">
        <v>3094</v>
      </c>
      <c r="D263" s="28">
        <v>0.1</v>
      </c>
      <c r="E263" s="29">
        <v>14.98</v>
      </c>
      <c r="F263" s="29">
        <v>7.69</v>
      </c>
      <c r="G263" s="30" t="s">
        <v>87</v>
      </c>
      <c r="H263" s="27" t="s">
        <v>3095</v>
      </c>
      <c r="I263" s="27" t="s">
        <v>49</v>
      </c>
      <c r="J263" s="27" t="s">
        <v>78</v>
      </c>
      <c r="K263" s="27" t="s">
        <v>73</v>
      </c>
      <c r="L263" s="31" t="s">
        <v>688</v>
      </c>
      <c r="M263" s="32">
        <v>0.56999999999999995</v>
      </c>
      <c r="N263" s="27" t="s">
        <v>33</v>
      </c>
      <c r="O263" s="27" t="s">
        <v>111</v>
      </c>
      <c r="P263" s="27" t="s">
        <v>317</v>
      </c>
      <c r="Q263" s="27" t="s">
        <v>689</v>
      </c>
      <c r="R263" s="33">
        <v>44240</v>
      </c>
      <c r="S263" s="34">
        <v>42025</v>
      </c>
      <c r="T263" s="34">
        <v>42027</v>
      </c>
      <c r="U263" s="29">
        <v>-76.900000000000006</v>
      </c>
      <c r="V263" s="26">
        <v>8</v>
      </c>
      <c r="W263" s="29">
        <v>114.81</v>
      </c>
      <c r="X263" s="26">
        <v>87194</v>
      </c>
      <c r="Y263" s="35">
        <v>14.88</v>
      </c>
      <c r="Z263" s="1" t="s">
        <v>3014</v>
      </c>
      <c r="AA263" s="36">
        <v>11.984000000000002</v>
      </c>
      <c r="AB263" s="54">
        <v>49.368300000000005</v>
      </c>
      <c r="AC263" s="54">
        <v>8.1802124999999997</v>
      </c>
      <c r="AD263" s="36">
        <v>172.036</v>
      </c>
    </row>
    <row r="264" spans="1:30" s="37" customFormat="1" ht="15.75" customHeight="1" x14ac:dyDescent="0.2">
      <c r="A264" s="26">
        <v>1989</v>
      </c>
      <c r="B264" s="27" t="s">
        <v>693</v>
      </c>
      <c r="C264" s="27" t="s">
        <v>3094</v>
      </c>
      <c r="D264" s="28">
        <v>0.09</v>
      </c>
      <c r="E264" s="29">
        <v>19.98</v>
      </c>
      <c r="F264" s="29">
        <v>8.68</v>
      </c>
      <c r="G264" s="30" t="s">
        <v>39</v>
      </c>
      <c r="H264" s="27" t="s">
        <v>71</v>
      </c>
      <c r="I264" s="27" t="s">
        <v>49</v>
      </c>
      <c r="J264" s="27" t="s">
        <v>88</v>
      </c>
      <c r="K264" s="27" t="s">
        <v>73</v>
      </c>
      <c r="L264" s="31" t="s">
        <v>696</v>
      </c>
      <c r="M264" s="32">
        <v>0.37</v>
      </c>
      <c r="N264" s="27" t="s">
        <v>33</v>
      </c>
      <c r="O264" s="27" t="s">
        <v>60</v>
      </c>
      <c r="P264" s="27" t="s">
        <v>146</v>
      </c>
      <c r="Q264" s="27" t="s">
        <v>695</v>
      </c>
      <c r="R264" s="33">
        <v>84117</v>
      </c>
      <c r="S264" s="34">
        <v>42025</v>
      </c>
      <c r="T264" s="34">
        <v>42026</v>
      </c>
      <c r="U264" s="29">
        <v>6.6803999999999997</v>
      </c>
      <c r="V264" s="26">
        <v>5</v>
      </c>
      <c r="W264" s="29">
        <v>93.19</v>
      </c>
      <c r="X264" s="26">
        <v>90000</v>
      </c>
      <c r="Y264" s="35">
        <v>1889.89</v>
      </c>
      <c r="Z264" s="1" t="s">
        <v>3013</v>
      </c>
      <c r="AA264" s="36">
        <v>8.9909999999999997</v>
      </c>
      <c r="AB264" s="54">
        <v>58.709699999999998</v>
      </c>
      <c r="AC264" s="54">
        <v>6.8960599999999994</v>
      </c>
      <c r="AD264" s="36">
        <v>68.8386</v>
      </c>
    </row>
    <row r="265" spans="1:30" s="37" customFormat="1" ht="15.75" customHeight="1" x14ac:dyDescent="0.2">
      <c r="A265" s="26">
        <v>1473</v>
      </c>
      <c r="B265" s="27" t="s">
        <v>659</v>
      </c>
      <c r="C265" s="27" t="s">
        <v>26</v>
      </c>
      <c r="D265" s="28">
        <v>0.04</v>
      </c>
      <c r="E265" s="29">
        <v>9.7799999999999994</v>
      </c>
      <c r="F265" s="29">
        <v>1.99</v>
      </c>
      <c r="G265" s="30" t="s">
        <v>87</v>
      </c>
      <c r="H265" s="27" t="s">
        <v>71</v>
      </c>
      <c r="I265" s="27" t="s">
        <v>41</v>
      </c>
      <c r="J265" s="27" t="s">
        <v>42</v>
      </c>
      <c r="K265" s="27" t="s">
        <v>43</v>
      </c>
      <c r="L265" s="31" t="s">
        <v>660</v>
      </c>
      <c r="M265" s="32">
        <v>0.43</v>
      </c>
      <c r="N265" s="27" t="s">
        <v>33</v>
      </c>
      <c r="O265" s="27" t="s">
        <v>111</v>
      </c>
      <c r="P265" s="27" t="s">
        <v>317</v>
      </c>
      <c r="Q265" s="27" t="s">
        <v>661</v>
      </c>
      <c r="R265" s="33">
        <v>44691</v>
      </c>
      <c r="S265" s="34">
        <v>42025</v>
      </c>
      <c r="T265" s="34">
        <v>42026</v>
      </c>
      <c r="U265" s="29">
        <v>61.292700000000004</v>
      </c>
      <c r="V265" s="26">
        <v>9</v>
      </c>
      <c r="W265" s="29">
        <v>88.83</v>
      </c>
      <c r="X265" s="26">
        <v>87076</v>
      </c>
      <c r="Y265" s="35">
        <v>355.94</v>
      </c>
      <c r="Z265" s="1" t="s">
        <v>3014</v>
      </c>
      <c r="AA265" s="36">
        <v>3.5207999999999999</v>
      </c>
      <c r="AB265" s="54">
        <v>50.633100000000006</v>
      </c>
      <c r="AC265" s="54">
        <v>4.2440999999999995</v>
      </c>
      <c r="AD265" s="36">
        <v>22.026499999999999</v>
      </c>
    </row>
    <row r="266" spans="1:30" s="37" customFormat="1" ht="15.75" customHeight="1" x14ac:dyDescent="0.2">
      <c r="A266" s="26">
        <v>2855</v>
      </c>
      <c r="B266" s="27" t="s">
        <v>678</v>
      </c>
      <c r="C266" s="27" t="s">
        <v>116</v>
      </c>
      <c r="D266" s="28">
        <v>0.08</v>
      </c>
      <c r="E266" s="29">
        <v>7.84</v>
      </c>
      <c r="F266" s="29">
        <v>4.71</v>
      </c>
      <c r="G266" s="30" t="s">
        <v>39</v>
      </c>
      <c r="H266" s="27" t="s">
        <v>94</v>
      </c>
      <c r="I266" s="27" t="s">
        <v>49</v>
      </c>
      <c r="J266" s="27" t="s">
        <v>72</v>
      </c>
      <c r="K266" s="27" t="s">
        <v>73</v>
      </c>
      <c r="L266" s="31" t="s">
        <v>679</v>
      </c>
      <c r="M266" s="32">
        <v>0.35</v>
      </c>
      <c r="N266" s="27" t="s">
        <v>33</v>
      </c>
      <c r="O266" s="27" t="s">
        <v>60</v>
      </c>
      <c r="P266" s="27" t="s">
        <v>67</v>
      </c>
      <c r="Q266" s="27" t="s">
        <v>680</v>
      </c>
      <c r="R266" s="33">
        <v>98198</v>
      </c>
      <c r="S266" s="34">
        <v>42025</v>
      </c>
      <c r="T266" s="34">
        <v>42026</v>
      </c>
      <c r="U266" s="29">
        <v>-12.87678</v>
      </c>
      <c r="V266" s="26">
        <v>10</v>
      </c>
      <c r="W266" s="29">
        <v>76.16</v>
      </c>
      <c r="X266" s="26">
        <v>87316</v>
      </c>
      <c r="Y266" s="35">
        <v>19.89</v>
      </c>
      <c r="Z266" s="1" t="s">
        <v>3013</v>
      </c>
      <c r="AA266" s="36">
        <v>6.2720000000000002</v>
      </c>
      <c r="AB266" s="54">
        <v>49.503999999999998</v>
      </c>
      <c r="AC266" s="54">
        <v>2.6655999999999995</v>
      </c>
      <c r="AD266" s="36">
        <v>78.054779999999994</v>
      </c>
    </row>
    <row r="267" spans="1:30" s="37" customFormat="1" ht="15.75" customHeight="1" x14ac:dyDescent="0.2">
      <c r="A267" s="26">
        <v>2797</v>
      </c>
      <c r="B267" s="27" t="s">
        <v>390</v>
      </c>
      <c r="C267" s="27" t="s">
        <v>116</v>
      </c>
      <c r="D267" s="28">
        <v>0.02</v>
      </c>
      <c r="E267" s="29">
        <v>4.91</v>
      </c>
      <c r="F267" s="29">
        <v>0.5</v>
      </c>
      <c r="G267" s="30" t="s">
        <v>39</v>
      </c>
      <c r="H267" s="27" t="s">
        <v>94</v>
      </c>
      <c r="I267" s="27" t="s">
        <v>49</v>
      </c>
      <c r="J267" s="27" t="s">
        <v>152</v>
      </c>
      <c r="K267" s="27" t="s">
        <v>73</v>
      </c>
      <c r="L267" s="31" t="s">
        <v>577</v>
      </c>
      <c r="M267" s="32">
        <v>0.36</v>
      </c>
      <c r="N267" s="27" t="s">
        <v>33</v>
      </c>
      <c r="O267" s="27" t="s">
        <v>111</v>
      </c>
      <c r="P267" s="27" t="s">
        <v>320</v>
      </c>
      <c r="Q267" s="27" t="s">
        <v>392</v>
      </c>
      <c r="R267" s="33">
        <v>15122</v>
      </c>
      <c r="S267" s="34">
        <v>42025</v>
      </c>
      <c r="T267" s="34">
        <v>42026</v>
      </c>
      <c r="U267" s="29">
        <v>29.883900000000001</v>
      </c>
      <c r="V267" s="26">
        <v>9</v>
      </c>
      <c r="W267" s="29">
        <v>43.31</v>
      </c>
      <c r="X267" s="26">
        <v>87553</v>
      </c>
      <c r="Y267" s="35">
        <v>24.939999999999998</v>
      </c>
      <c r="Z267" s="1" t="s">
        <v>3014</v>
      </c>
      <c r="AA267" s="36">
        <v>0.88380000000000014</v>
      </c>
      <c r="AB267" s="54">
        <v>27.718400000000003</v>
      </c>
      <c r="AC267" s="54">
        <v>1.7323999999999999</v>
      </c>
      <c r="AD267" s="36">
        <v>12.042300000000001</v>
      </c>
    </row>
    <row r="268" spans="1:30" s="37" customFormat="1" ht="15.75" customHeight="1" x14ac:dyDescent="0.2">
      <c r="A268" s="26">
        <v>1709</v>
      </c>
      <c r="B268" s="27" t="s">
        <v>684</v>
      </c>
      <c r="C268" s="27" t="s">
        <v>3094</v>
      </c>
      <c r="D268" s="28">
        <v>0.01</v>
      </c>
      <c r="E268" s="29">
        <v>14.28</v>
      </c>
      <c r="F268" s="29">
        <v>2.99</v>
      </c>
      <c r="G268" s="30" t="s">
        <v>39</v>
      </c>
      <c r="H268" s="27" t="s">
        <v>40</v>
      </c>
      <c r="I268" s="27" t="s">
        <v>49</v>
      </c>
      <c r="J268" s="27" t="s">
        <v>72</v>
      </c>
      <c r="K268" s="27" t="s">
        <v>73</v>
      </c>
      <c r="L268" s="31" t="s">
        <v>685</v>
      </c>
      <c r="M268" s="32">
        <v>0.39</v>
      </c>
      <c r="N268" s="27" t="s">
        <v>33</v>
      </c>
      <c r="O268" s="27" t="s">
        <v>111</v>
      </c>
      <c r="P268" s="27" t="s">
        <v>320</v>
      </c>
      <c r="Q268" s="27" t="s">
        <v>686</v>
      </c>
      <c r="R268" s="33">
        <v>19464</v>
      </c>
      <c r="S268" s="34">
        <v>42025</v>
      </c>
      <c r="T268" s="34">
        <v>42026</v>
      </c>
      <c r="U268" s="29">
        <v>21.003499999999999</v>
      </c>
      <c r="V268" s="26">
        <v>2</v>
      </c>
      <c r="W268" s="29">
        <v>30.44</v>
      </c>
      <c r="X268" s="26">
        <v>88782</v>
      </c>
      <c r="Y268" s="35">
        <v>15.98</v>
      </c>
      <c r="Z268" s="1" t="s">
        <v>3014</v>
      </c>
      <c r="AA268" s="36">
        <v>0.28560000000000002</v>
      </c>
      <c r="AB268" s="54">
        <v>18.5684</v>
      </c>
      <c r="AC268" s="54">
        <v>5.9358000000000004</v>
      </c>
      <c r="AD268" s="36">
        <v>6.1609000000000052</v>
      </c>
    </row>
    <row r="269" spans="1:30" s="37" customFormat="1" ht="15.75" customHeight="1" x14ac:dyDescent="0.2">
      <c r="A269" s="26">
        <v>2896</v>
      </c>
      <c r="B269" s="27" t="s">
        <v>723</v>
      </c>
      <c r="C269" s="27" t="s">
        <v>48</v>
      </c>
      <c r="D269" s="28">
        <v>0.02</v>
      </c>
      <c r="E269" s="29">
        <v>880.98</v>
      </c>
      <c r="F269" s="29">
        <v>44.55</v>
      </c>
      <c r="G269" s="30" t="s">
        <v>27</v>
      </c>
      <c r="H269" s="27" t="s">
        <v>71</v>
      </c>
      <c r="I269" s="27" t="s">
        <v>29</v>
      </c>
      <c r="J269" s="27" t="s">
        <v>117</v>
      </c>
      <c r="K269" s="27" t="s">
        <v>31</v>
      </c>
      <c r="L269" s="31" t="s">
        <v>238</v>
      </c>
      <c r="M269" s="32">
        <v>0.62</v>
      </c>
      <c r="N269" s="27" t="s">
        <v>33</v>
      </c>
      <c r="O269" s="27" t="s">
        <v>53</v>
      </c>
      <c r="P269" s="27" t="s">
        <v>84</v>
      </c>
      <c r="Q269" s="27" t="s">
        <v>724</v>
      </c>
      <c r="R269" s="33">
        <v>56001</v>
      </c>
      <c r="S269" s="34">
        <v>42026</v>
      </c>
      <c r="T269" s="34">
        <v>42030</v>
      </c>
      <c r="U269" s="29">
        <v>4861.0637999999999</v>
      </c>
      <c r="V269" s="26">
        <v>8</v>
      </c>
      <c r="W269" s="29">
        <v>7045.02</v>
      </c>
      <c r="X269" s="26">
        <v>86925</v>
      </c>
      <c r="Y269" s="35">
        <v>32.889999999999993</v>
      </c>
      <c r="Z269" s="1" t="s">
        <v>3012</v>
      </c>
      <c r="AA269" s="36">
        <v>140.95680000000002</v>
      </c>
      <c r="AB269" s="54">
        <v>2677.1076000000003</v>
      </c>
      <c r="AC269" s="54">
        <v>545.98905000000002</v>
      </c>
      <c r="AD269" s="36">
        <v>1998.4494000000004</v>
      </c>
    </row>
    <row r="270" spans="1:30" s="37" customFormat="1" ht="15.75" customHeight="1" x14ac:dyDescent="0.2">
      <c r="A270" s="26">
        <v>2873</v>
      </c>
      <c r="B270" s="27" t="s">
        <v>728</v>
      </c>
      <c r="C270" s="27" t="s">
        <v>116</v>
      </c>
      <c r="D270" s="28">
        <v>0</v>
      </c>
      <c r="E270" s="29">
        <v>217.85</v>
      </c>
      <c r="F270" s="29">
        <v>29.1</v>
      </c>
      <c r="G270" s="30" t="s">
        <v>27</v>
      </c>
      <c r="H270" s="27" t="s">
        <v>3095</v>
      </c>
      <c r="I270" s="27" t="s">
        <v>29</v>
      </c>
      <c r="J270" s="27" t="s">
        <v>30</v>
      </c>
      <c r="K270" s="27" t="s">
        <v>31</v>
      </c>
      <c r="L270" s="31" t="s">
        <v>731</v>
      </c>
      <c r="M270" s="32">
        <v>0.68</v>
      </c>
      <c r="N270" s="27" t="s">
        <v>33</v>
      </c>
      <c r="O270" s="27" t="s">
        <v>34</v>
      </c>
      <c r="P270" s="27" t="s">
        <v>123</v>
      </c>
      <c r="Q270" s="27" t="s">
        <v>730</v>
      </c>
      <c r="R270" s="33">
        <v>33012</v>
      </c>
      <c r="S270" s="34">
        <v>42026</v>
      </c>
      <c r="T270" s="34">
        <v>42027</v>
      </c>
      <c r="U270" s="29">
        <v>394.17</v>
      </c>
      <c r="V270" s="26">
        <v>10</v>
      </c>
      <c r="W270" s="29">
        <v>2273.1</v>
      </c>
      <c r="X270" s="26">
        <v>89872</v>
      </c>
      <c r="Y270" s="35">
        <v>80.97</v>
      </c>
      <c r="Z270" s="1" t="s">
        <v>3011</v>
      </c>
      <c r="AA270" s="36">
        <v>0</v>
      </c>
      <c r="AB270" s="54">
        <v>727.39199999999983</v>
      </c>
      <c r="AC270" s="54">
        <v>154.57080000000002</v>
      </c>
      <c r="AD270" s="36">
        <v>1849.83</v>
      </c>
    </row>
    <row r="271" spans="1:30" s="37" customFormat="1" ht="15.75" customHeight="1" x14ac:dyDescent="0.2">
      <c r="A271" s="26">
        <v>2456</v>
      </c>
      <c r="B271" s="27" t="s">
        <v>714</v>
      </c>
      <c r="C271" s="27" t="s">
        <v>38</v>
      </c>
      <c r="D271" s="28">
        <v>7.0000000000000007E-2</v>
      </c>
      <c r="E271" s="29">
        <v>179.99</v>
      </c>
      <c r="F271" s="29">
        <v>19.989999999999998</v>
      </c>
      <c r="G271" s="30" t="s">
        <v>39</v>
      </c>
      <c r="H271" s="27" t="s">
        <v>71</v>
      </c>
      <c r="I271" s="27" t="s">
        <v>41</v>
      </c>
      <c r="J271" s="27" t="s">
        <v>42</v>
      </c>
      <c r="K271" s="27" t="s">
        <v>73</v>
      </c>
      <c r="L271" s="31" t="s">
        <v>715</v>
      </c>
      <c r="M271" s="32">
        <v>0.48</v>
      </c>
      <c r="N271" s="27" t="s">
        <v>33</v>
      </c>
      <c r="O271" s="27" t="s">
        <v>34</v>
      </c>
      <c r="P271" s="27" t="s">
        <v>164</v>
      </c>
      <c r="Q271" s="27" t="s">
        <v>716</v>
      </c>
      <c r="R271" s="33">
        <v>36608</v>
      </c>
      <c r="S271" s="34">
        <v>42026</v>
      </c>
      <c r="T271" s="34">
        <v>42027</v>
      </c>
      <c r="U271" s="29">
        <v>733.28219999999999</v>
      </c>
      <c r="V271" s="26">
        <v>7</v>
      </c>
      <c r="W271" s="29">
        <v>1188.6300000000001</v>
      </c>
      <c r="X271" s="26">
        <v>89218</v>
      </c>
      <c r="Y271" s="35">
        <v>20.28</v>
      </c>
      <c r="Z271" s="1" t="s">
        <v>3011</v>
      </c>
      <c r="AA271" s="36">
        <v>88.195100000000011</v>
      </c>
      <c r="AB271" s="54">
        <v>618.08760000000007</v>
      </c>
      <c r="AC271" s="54">
        <v>81.506057142857145</v>
      </c>
      <c r="AD271" s="36">
        <v>347.16270000000009</v>
      </c>
    </row>
    <row r="272" spans="1:30" s="37" customFormat="1" ht="15.75" customHeight="1" x14ac:dyDescent="0.2">
      <c r="A272" s="26">
        <v>1764</v>
      </c>
      <c r="B272" s="27" t="s">
        <v>711</v>
      </c>
      <c r="C272" s="27" t="s">
        <v>38</v>
      </c>
      <c r="D272" s="28">
        <v>0</v>
      </c>
      <c r="E272" s="29">
        <v>115.99</v>
      </c>
      <c r="F272" s="29">
        <v>5.92</v>
      </c>
      <c r="G272" s="30" t="s">
        <v>39</v>
      </c>
      <c r="H272" s="27" t="s">
        <v>40</v>
      </c>
      <c r="I272" s="27" t="s">
        <v>41</v>
      </c>
      <c r="J272" s="27" t="s">
        <v>135</v>
      </c>
      <c r="K272" s="27" t="s">
        <v>73</v>
      </c>
      <c r="L272" s="31" t="s">
        <v>712</v>
      </c>
      <c r="M272" s="32">
        <v>0.57999999999999996</v>
      </c>
      <c r="N272" s="27" t="s">
        <v>33</v>
      </c>
      <c r="O272" s="27" t="s">
        <v>34</v>
      </c>
      <c r="P272" s="27" t="s">
        <v>123</v>
      </c>
      <c r="Q272" s="27" t="s">
        <v>713</v>
      </c>
      <c r="R272" s="33">
        <v>34698</v>
      </c>
      <c r="S272" s="34">
        <v>42026</v>
      </c>
      <c r="T272" s="34">
        <v>42026</v>
      </c>
      <c r="U272" s="29">
        <v>-16.771999999999998</v>
      </c>
      <c r="V272" s="26">
        <v>11</v>
      </c>
      <c r="W272" s="29">
        <v>1160.42</v>
      </c>
      <c r="X272" s="26">
        <v>89775</v>
      </c>
      <c r="Y272" s="35">
        <v>115.99</v>
      </c>
      <c r="Z272" s="1" t="s">
        <v>3011</v>
      </c>
      <c r="AA272" s="36">
        <v>0</v>
      </c>
      <c r="AB272" s="54">
        <v>487.3764000000001</v>
      </c>
      <c r="AC272" s="54">
        <v>61.185781818181816</v>
      </c>
      <c r="AD272" s="36">
        <v>1171.2720000000002</v>
      </c>
    </row>
    <row r="273" spans="1:30" s="37" customFormat="1" ht="15.75" customHeight="1" x14ac:dyDescent="0.2">
      <c r="A273" s="26">
        <v>2456</v>
      </c>
      <c r="B273" s="27" t="s">
        <v>714</v>
      </c>
      <c r="C273" s="27" t="s">
        <v>38</v>
      </c>
      <c r="D273" s="28">
        <v>0.02</v>
      </c>
      <c r="E273" s="29">
        <v>92.23</v>
      </c>
      <c r="F273" s="29">
        <v>39.61</v>
      </c>
      <c r="G273" s="30" t="s">
        <v>87</v>
      </c>
      <c r="H273" s="27" t="s">
        <v>71</v>
      </c>
      <c r="I273" s="27" t="s">
        <v>29</v>
      </c>
      <c r="J273" s="27" t="s">
        <v>126</v>
      </c>
      <c r="K273" s="27" t="s">
        <v>144</v>
      </c>
      <c r="L273" s="31" t="s">
        <v>717</v>
      </c>
      <c r="M273" s="32">
        <v>0.67</v>
      </c>
      <c r="N273" s="27" t="s">
        <v>33</v>
      </c>
      <c r="O273" s="27" t="s">
        <v>34</v>
      </c>
      <c r="P273" s="27" t="s">
        <v>164</v>
      </c>
      <c r="Q273" s="27" t="s">
        <v>716</v>
      </c>
      <c r="R273" s="33">
        <v>36608</v>
      </c>
      <c r="S273" s="34">
        <v>42026</v>
      </c>
      <c r="T273" s="34">
        <v>42027</v>
      </c>
      <c r="U273" s="29">
        <v>-905.99040000000002</v>
      </c>
      <c r="V273" s="26">
        <v>11</v>
      </c>
      <c r="W273" s="29">
        <v>1009.93</v>
      </c>
      <c r="X273" s="26">
        <v>89218</v>
      </c>
      <c r="Y273" s="35">
        <v>179.92000000000002</v>
      </c>
      <c r="Z273" s="1" t="s">
        <v>3011</v>
      </c>
      <c r="AA273" s="36">
        <v>20.290600000000001</v>
      </c>
      <c r="AB273" s="54">
        <v>333.27689999999996</v>
      </c>
      <c r="AC273" s="54">
        <v>61.513918181818184</v>
      </c>
      <c r="AD273" s="36">
        <v>1856.0198</v>
      </c>
    </row>
    <row r="274" spans="1:30" s="37" customFormat="1" ht="15.75" customHeight="1" x14ac:dyDescent="0.2">
      <c r="A274" s="26">
        <v>1438</v>
      </c>
      <c r="B274" s="27" t="s">
        <v>706</v>
      </c>
      <c r="C274" s="27" t="s">
        <v>26</v>
      </c>
      <c r="D274" s="28">
        <v>0.01</v>
      </c>
      <c r="E274" s="29">
        <v>80.98</v>
      </c>
      <c r="F274" s="29">
        <v>35</v>
      </c>
      <c r="G274" s="30" t="s">
        <v>39</v>
      </c>
      <c r="H274" s="27" t="s">
        <v>94</v>
      </c>
      <c r="I274" s="27" t="s">
        <v>49</v>
      </c>
      <c r="J274" s="27" t="s">
        <v>78</v>
      </c>
      <c r="K274" s="27" t="s">
        <v>65</v>
      </c>
      <c r="L274" s="31" t="s">
        <v>707</v>
      </c>
      <c r="M274" s="32">
        <v>0.83</v>
      </c>
      <c r="N274" s="27" t="s">
        <v>33</v>
      </c>
      <c r="O274" s="27" t="s">
        <v>111</v>
      </c>
      <c r="P274" s="27" t="s">
        <v>317</v>
      </c>
      <c r="Q274" s="27" t="s">
        <v>708</v>
      </c>
      <c r="R274" s="33">
        <v>44035</v>
      </c>
      <c r="S274" s="34">
        <v>42026</v>
      </c>
      <c r="T274" s="34">
        <v>42028</v>
      </c>
      <c r="U274" s="29">
        <v>-409.37360000000001</v>
      </c>
      <c r="V274" s="26">
        <v>3</v>
      </c>
      <c r="W274" s="29">
        <v>267.83</v>
      </c>
      <c r="X274" s="26">
        <v>90120</v>
      </c>
      <c r="Y274" s="35">
        <v>92.210000000000008</v>
      </c>
      <c r="Z274" s="1" t="s">
        <v>3014</v>
      </c>
      <c r="AA274" s="36">
        <v>2.4294000000000002</v>
      </c>
      <c r="AB274" s="54">
        <v>45.531100000000009</v>
      </c>
      <c r="AC274" s="54">
        <v>74.099633333333315</v>
      </c>
      <c r="AD274" s="36">
        <v>639.77420000000006</v>
      </c>
    </row>
    <row r="275" spans="1:30" s="37" customFormat="1" ht="15.75" customHeight="1" x14ac:dyDescent="0.2">
      <c r="A275" s="26">
        <v>1959</v>
      </c>
      <c r="B275" s="27" t="s">
        <v>709</v>
      </c>
      <c r="C275" s="27" t="s">
        <v>26</v>
      </c>
      <c r="D275" s="28">
        <v>0</v>
      </c>
      <c r="E275" s="29">
        <v>20.28</v>
      </c>
      <c r="F275" s="29">
        <v>14.39</v>
      </c>
      <c r="G275" s="30" t="s">
        <v>39</v>
      </c>
      <c r="H275" s="27" t="s">
        <v>94</v>
      </c>
      <c r="I275" s="27" t="s">
        <v>29</v>
      </c>
      <c r="J275" s="27" t="s">
        <v>126</v>
      </c>
      <c r="K275" s="27" t="s">
        <v>73</v>
      </c>
      <c r="L275" s="31" t="s">
        <v>710</v>
      </c>
      <c r="M275" s="32">
        <v>0.47</v>
      </c>
      <c r="N275" s="27" t="s">
        <v>33</v>
      </c>
      <c r="O275" s="27" t="s">
        <v>34</v>
      </c>
      <c r="P275" s="27" t="s">
        <v>123</v>
      </c>
      <c r="Q275" s="27" t="s">
        <v>128</v>
      </c>
      <c r="R275" s="33">
        <v>33916</v>
      </c>
      <c r="S275" s="34">
        <v>42026</v>
      </c>
      <c r="T275" s="34">
        <v>42026</v>
      </c>
      <c r="U275" s="29">
        <v>-66.247299999999996</v>
      </c>
      <c r="V275" s="26">
        <v>9</v>
      </c>
      <c r="W275" s="29">
        <v>206.04</v>
      </c>
      <c r="X275" s="26">
        <v>28225</v>
      </c>
      <c r="Y275" s="35">
        <v>15.200000000000001</v>
      </c>
      <c r="Z275" s="1" t="s">
        <v>3011</v>
      </c>
      <c r="AA275" s="36">
        <v>0</v>
      </c>
      <c r="AB275" s="54">
        <v>109.2012</v>
      </c>
      <c r="AC275" s="54">
        <v>10.759866666666666</v>
      </c>
      <c r="AD275" s="36">
        <v>257.89729999999997</v>
      </c>
    </row>
    <row r="276" spans="1:30" s="37" customFormat="1" ht="15.75" customHeight="1" x14ac:dyDescent="0.2">
      <c r="A276" s="26">
        <v>2457</v>
      </c>
      <c r="B276" s="27" t="s">
        <v>718</v>
      </c>
      <c r="C276" s="27" t="s">
        <v>38</v>
      </c>
      <c r="D276" s="28">
        <v>0.02</v>
      </c>
      <c r="E276" s="29">
        <v>15.22</v>
      </c>
      <c r="F276" s="29">
        <v>9.73</v>
      </c>
      <c r="G276" s="30" t="s">
        <v>39</v>
      </c>
      <c r="H276" s="27" t="s">
        <v>71</v>
      </c>
      <c r="I276" s="27" t="s">
        <v>49</v>
      </c>
      <c r="J276" s="27" t="s">
        <v>72</v>
      </c>
      <c r="K276" s="27" t="s">
        <v>73</v>
      </c>
      <c r="L276" s="31" t="s">
        <v>719</v>
      </c>
      <c r="M276" s="32">
        <v>0.36</v>
      </c>
      <c r="N276" s="27" t="s">
        <v>33</v>
      </c>
      <c r="O276" s="27" t="s">
        <v>53</v>
      </c>
      <c r="P276" s="27" t="s">
        <v>84</v>
      </c>
      <c r="Q276" s="27" t="s">
        <v>720</v>
      </c>
      <c r="R276" s="33">
        <v>55014</v>
      </c>
      <c r="S276" s="34">
        <v>42026</v>
      </c>
      <c r="T276" s="34">
        <v>42026</v>
      </c>
      <c r="U276" s="29">
        <v>-21.63242</v>
      </c>
      <c r="V276" s="26">
        <v>9</v>
      </c>
      <c r="W276" s="29">
        <v>140.69999999999999</v>
      </c>
      <c r="X276" s="26">
        <v>89218</v>
      </c>
      <c r="Y276" s="35">
        <v>6.9200000000000008</v>
      </c>
      <c r="Z276" s="1" t="s">
        <v>3012</v>
      </c>
      <c r="AA276" s="36">
        <v>2.7396000000000003</v>
      </c>
      <c r="AB276" s="54">
        <v>90.047999999999988</v>
      </c>
      <c r="AC276" s="54">
        <v>5.6279999999999992</v>
      </c>
      <c r="AD276" s="36">
        <v>149.86282</v>
      </c>
    </row>
    <row r="277" spans="1:30" s="37" customFormat="1" ht="15.75" customHeight="1" x14ac:dyDescent="0.2">
      <c r="A277" s="26">
        <v>2209</v>
      </c>
      <c r="B277" s="27" t="s">
        <v>721</v>
      </c>
      <c r="C277" s="27" t="s">
        <v>48</v>
      </c>
      <c r="D277" s="28">
        <v>0.06</v>
      </c>
      <c r="E277" s="29">
        <v>6.98</v>
      </c>
      <c r="F277" s="29">
        <v>1.6</v>
      </c>
      <c r="G277" s="30" t="s">
        <v>39</v>
      </c>
      <c r="H277" s="27" t="s">
        <v>71</v>
      </c>
      <c r="I277" s="27" t="s">
        <v>49</v>
      </c>
      <c r="J277" s="27" t="s">
        <v>88</v>
      </c>
      <c r="K277" s="27" t="s">
        <v>51</v>
      </c>
      <c r="L277" s="31" t="s">
        <v>722</v>
      </c>
      <c r="M277" s="32">
        <v>0.38</v>
      </c>
      <c r="N277" s="27" t="s">
        <v>33</v>
      </c>
      <c r="O277" s="27" t="s">
        <v>34</v>
      </c>
      <c r="P277" s="27" t="s">
        <v>75</v>
      </c>
      <c r="Q277" s="27" t="s">
        <v>460</v>
      </c>
      <c r="R277" s="33">
        <v>30337</v>
      </c>
      <c r="S277" s="34">
        <v>42026</v>
      </c>
      <c r="T277" s="34">
        <v>42033</v>
      </c>
      <c r="U277" s="29">
        <v>-98.055999999999997</v>
      </c>
      <c r="V277" s="26">
        <v>12</v>
      </c>
      <c r="W277" s="29">
        <v>83.93</v>
      </c>
      <c r="X277" s="26">
        <v>88030</v>
      </c>
      <c r="Y277" s="35">
        <v>880.96</v>
      </c>
      <c r="Z277" s="1" t="s">
        <v>3011</v>
      </c>
      <c r="AA277" s="36">
        <v>5.0255999999999998</v>
      </c>
      <c r="AB277" s="54">
        <v>52.036600000000007</v>
      </c>
      <c r="AC277" s="54">
        <v>2.6577833333333336</v>
      </c>
      <c r="AD277" s="36">
        <v>175.36040000000003</v>
      </c>
    </row>
    <row r="278" spans="1:30" s="37" customFormat="1" ht="15.75" customHeight="1" x14ac:dyDescent="0.2">
      <c r="A278" s="26">
        <v>151</v>
      </c>
      <c r="B278" s="27" t="s">
        <v>703</v>
      </c>
      <c r="C278" s="27" t="s">
        <v>26</v>
      </c>
      <c r="D278" s="28">
        <v>0.09</v>
      </c>
      <c r="E278" s="29">
        <v>32.979999999999997</v>
      </c>
      <c r="F278" s="29">
        <v>5.5</v>
      </c>
      <c r="G278" s="30" t="s">
        <v>39</v>
      </c>
      <c r="H278" s="27" t="s">
        <v>71</v>
      </c>
      <c r="I278" s="27" t="s">
        <v>41</v>
      </c>
      <c r="J278" s="27" t="s">
        <v>42</v>
      </c>
      <c r="K278" s="27" t="s">
        <v>73</v>
      </c>
      <c r="L278" s="31" t="s">
        <v>704</v>
      </c>
      <c r="M278" s="32">
        <v>0.75</v>
      </c>
      <c r="N278" s="27" t="s">
        <v>33</v>
      </c>
      <c r="O278" s="27" t="s">
        <v>34</v>
      </c>
      <c r="P278" s="27" t="s">
        <v>400</v>
      </c>
      <c r="Q278" s="27" t="s">
        <v>705</v>
      </c>
      <c r="R278" s="33">
        <v>37664</v>
      </c>
      <c r="S278" s="34">
        <v>42026</v>
      </c>
      <c r="T278" s="34">
        <v>42027</v>
      </c>
      <c r="U278" s="29">
        <v>-20.257999999999999</v>
      </c>
      <c r="V278" s="26">
        <v>2</v>
      </c>
      <c r="W278" s="29">
        <v>62.46</v>
      </c>
      <c r="X278" s="26">
        <v>89521</v>
      </c>
      <c r="Y278" s="35">
        <v>3.8000000000000003</v>
      </c>
      <c r="Z278" s="1" t="s">
        <v>3011</v>
      </c>
      <c r="AA278" s="36">
        <v>5.936399999999999</v>
      </c>
      <c r="AB278" s="54">
        <v>15.615</v>
      </c>
      <c r="AC278" s="54">
        <v>23.422499999999999</v>
      </c>
      <c r="AD278" s="36">
        <v>71.281599999999997</v>
      </c>
    </row>
    <row r="279" spans="1:30" s="37" customFormat="1" ht="15.75" customHeight="1" x14ac:dyDescent="0.2">
      <c r="A279" s="26">
        <v>2422</v>
      </c>
      <c r="B279" s="27" t="s">
        <v>725</v>
      </c>
      <c r="C279" s="27" t="s">
        <v>116</v>
      </c>
      <c r="D279" s="28">
        <v>0.09</v>
      </c>
      <c r="E279" s="29">
        <v>3.89</v>
      </c>
      <c r="F279" s="29">
        <v>7.01</v>
      </c>
      <c r="G279" s="30" t="s">
        <v>87</v>
      </c>
      <c r="H279" s="27" t="s">
        <v>71</v>
      </c>
      <c r="I279" s="27" t="s">
        <v>49</v>
      </c>
      <c r="J279" s="27" t="s">
        <v>72</v>
      </c>
      <c r="K279" s="27" t="s">
        <v>73</v>
      </c>
      <c r="L279" s="31" t="s">
        <v>726</v>
      </c>
      <c r="M279" s="32">
        <v>0.37</v>
      </c>
      <c r="N279" s="27" t="s">
        <v>33</v>
      </c>
      <c r="O279" s="27" t="s">
        <v>53</v>
      </c>
      <c r="P279" s="27" t="s">
        <v>187</v>
      </c>
      <c r="Q279" s="27" t="s">
        <v>727</v>
      </c>
      <c r="R279" s="33">
        <v>77340</v>
      </c>
      <c r="S279" s="34">
        <v>42026</v>
      </c>
      <c r="T279" s="34">
        <v>42028</v>
      </c>
      <c r="U279" s="29">
        <v>-154.30699999999999</v>
      </c>
      <c r="V279" s="26">
        <v>10</v>
      </c>
      <c r="W279" s="29">
        <v>42.56</v>
      </c>
      <c r="X279" s="26">
        <v>89055</v>
      </c>
      <c r="Y279" s="35">
        <v>2.8200000000000003</v>
      </c>
      <c r="Z279" s="1" t="s">
        <v>3012</v>
      </c>
      <c r="AA279" s="36">
        <v>3.5010000000000003</v>
      </c>
      <c r="AB279" s="54">
        <v>26.812800000000003</v>
      </c>
      <c r="AC279" s="54">
        <v>1.5747200000000001</v>
      </c>
      <c r="AD279" s="36">
        <v>186.35599999999999</v>
      </c>
    </row>
    <row r="280" spans="1:30" s="37" customFormat="1" ht="15.75" customHeight="1" x14ac:dyDescent="0.2">
      <c r="A280" s="26">
        <v>2873</v>
      </c>
      <c r="B280" s="27" t="s">
        <v>728</v>
      </c>
      <c r="C280" s="27" t="s">
        <v>116</v>
      </c>
      <c r="D280" s="28">
        <v>7.0000000000000007E-2</v>
      </c>
      <c r="E280" s="29">
        <v>2.89</v>
      </c>
      <c r="F280" s="29">
        <v>0.5</v>
      </c>
      <c r="G280" s="30" t="s">
        <v>39</v>
      </c>
      <c r="H280" s="27" t="s">
        <v>3095</v>
      </c>
      <c r="I280" s="27" t="s">
        <v>49</v>
      </c>
      <c r="J280" s="27" t="s">
        <v>152</v>
      </c>
      <c r="K280" s="27" t="s">
        <v>73</v>
      </c>
      <c r="L280" s="31" t="s">
        <v>729</v>
      </c>
      <c r="M280" s="32">
        <v>0.38</v>
      </c>
      <c r="N280" s="27" t="s">
        <v>33</v>
      </c>
      <c r="O280" s="27" t="s">
        <v>34</v>
      </c>
      <c r="P280" s="27" t="s">
        <v>123</v>
      </c>
      <c r="Q280" s="27" t="s">
        <v>730</v>
      </c>
      <c r="R280" s="33">
        <v>33012</v>
      </c>
      <c r="S280" s="34">
        <v>42026</v>
      </c>
      <c r="T280" s="34">
        <v>42028</v>
      </c>
      <c r="U280" s="29">
        <v>441.59399999999999</v>
      </c>
      <c r="V280" s="26">
        <v>12</v>
      </c>
      <c r="W280" s="29">
        <v>33.020000000000003</v>
      </c>
      <c r="X280" s="26">
        <v>89872</v>
      </c>
      <c r="Y280" s="35">
        <v>217.85</v>
      </c>
      <c r="Z280" s="1" t="s">
        <v>3011</v>
      </c>
      <c r="AA280" s="36">
        <v>2.4276000000000004</v>
      </c>
      <c r="AB280" s="54">
        <v>20.4724</v>
      </c>
      <c r="AC280" s="54">
        <v>1.0456333333333334</v>
      </c>
      <c r="AD280" s="36">
        <v>-411.5016</v>
      </c>
    </row>
    <row r="281" spans="1:30" s="37" customFormat="1" ht="15.75" customHeight="1" x14ac:dyDescent="0.2">
      <c r="A281" s="26">
        <v>3350</v>
      </c>
      <c r="B281" s="27" t="s">
        <v>732</v>
      </c>
      <c r="C281" s="27" t="s">
        <v>116</v>
      </c>
      <c r="D281" s="28">
        <v>0.01</v>
      </c>
      <c r="E281" s="29">
        <v>73.98</v>
      </c>
      <c r="F281" s="29">
        <v>12.14</v>
      </c>
      <c r="G281" s="30" t="s">
        <v>39</v>
      </c>
      <c r="H281" s="27" t="s">
        <v>3095</v>
      </c>
      <c r="I281" s="27" t="s">
        <v>41</v>
      </c>
      <c r="J281" s="27" t="s">
        <v>42</v>
      </c>
      <c r="K281" s="27" t="s">
        <v>73</v>
      </c>
      <c r="L281" s="31" t="s">
        <v>733</v>
      </c>
      <c r="M281" s="32">
        <v>0.67</v>
      </c>
      <c r="N281" s="27" t="s">
        <v>33</v>
      </c>
      <c r="O281" s="27" t="s">
        <v>60</v>
      </c>
      <c r="P281" s="27" t="s">
        <v>67</v>
      </c>
      <c r="Q281" s="27" t="s">
        <v>734</v>
      </c>
      <c r="R281" s="33">
        <v>98444</v>
      </c>
      <c r="S281" s="34">
        <v>42027</v>
      </c>
      <c r="T281" s="34">
        <v>42029</v>
      </c>
      <c r="U281" s="29">
        <v>-29.0656</v>
      </c>
      <c r="V281" s="26">
        <v>5</v>
      </c>
      <c r="W281" s="29">
        <v>384.22</v>
      </c>
      <c r="X281" s="26">
        <v>91296</v>
      </c>
      <c r="Y281" s="35">
        <v>73.97</v>
      </c>
      <c r="Z281" s="1" t="s">
        <v>3013</v>
      </c>
      <c r="AA281" s="36">
        <v>3.6989999999999998</v>
      </c>
      <c r="AB281" s="54">
        <v>126.79259999999999</v>
      </c>
      <c r="AC281" s="54">
        <v>51.48548000000001</v>
      </c>
      <c r="AD281" s="36">
        <v>397.44660000000005</v>
      </c>
    </row>
    <row r="282" spans="1:30" s="37" customFormat="1" ht="15.75" customHeight="1" x14ac:dyDescent="0.2">
      <c r="A282" s="26">
        <v>1693</v>
      </c>
      <c r="B282" s="27" t="s">
        <v>738</v>
      </c>
      <c r="C282" s="27" t="s">
        <v>3094</v>
      </c>
      <c r="D282" s="28">
        <v>7.0000000000000007E-2</v>
      </c>
      <c r="E282" s="29">
        <v>30.98</v>
      </c>
      <c r="F282" s="29">
        <v>5.76</v>
      </c>
      <c r="G282" s="30" t="s">
        <v>39</v>
      </c>
      <c r="H282" s="27" t="s">
        <v>40</v>
      </c>
      <c r="I282" s="27" t="s">
        <v>49</v>
      </c>
      <c r="J282" s="27" t="s">
        <v>88</v>
      </c>
      <c r="K282" s="27" t="s">
        <v>73</v>
      </c>
      <c r="L282" s="31" t="s">
        <v>739</v>
      </c>
      <c r="M282" s="32">
        <v>0.4</v>
      </c>
      <c r="N282" s="27" t="s">
        <v>33</v>
      </c>
      <c r="O282" s="27" t="s">
        <v>34</v>
      </c>
      <c r="P282" s="27" t="s">
        <v>242</v>
      </c>
      <c r="Q282" s="27" t="s">
        <v>740</v>
      </c>
      <c r="R282" s="33">
        <v>20190</v>
      </c>
      <c r="S282" s="34">
        <v>42027</v>
      </c>
      <c r="T282" s="34">
        <v>42029</v>
      </c>
      <c r="U282" s="29">
        <v>-28.797999999999998</v>
      </c>
      <c r="V282" s="26">
        <v>11</v>
      </c>
      <c r="W282" s="29">
        <v>343.79</v>
      </c>
      <c r="X282" s="26">
        <v>90189</v>
      </c>
      <c r="Y282" s="35">
        <v>6.84</v>
      </c>
      <c r="Z282" s="1" t="s">
        <v>3011</v>
      </c>
      <c r="AA282" s="36">
        <v>23.854600000000001</v>
      </c>
      <c r="AB282" s="54">
        <v>206.274</v>
      </c>
      <c r="AC282" s="54">
        <v>12.501454545454546</v>
      </c>
      <c r="AD282" s="36">
        <v>342.97340000000003</v>
      </c>
    </row>
    <row r="283" spans="1:30" s="37" customFormat="1" ht="15.75" customHeight="1" x14ac:dyDescent="0.2">
      <c r="A283" s="26">
        <v>1692</v>
      </c>
      <c r="B283" s="27" t="s">
        <v>735</v>
      </c>
      <c r="C283" s="27" t="s">
        <v>3094</v>
      </c>
      <c r="D283" s="28">
        <v>0</v>
      </c>
      <c r="E283" s="29">
        <v>6.84</v>
      </c>
      <c r="F283" s="29">
        <v>8.3699999999999992</v>
      </c>
      <c r="G283" s="30" t="s">
        <v>39</v>
      </c>
      <c r="H283" s="27" t="s">
        <v>40</v>
      </c>
      <c r="I283" s="27" t="s">
        <v>49</v>
      </c>
      <c r="J283" s="27" t="s">
        <v>568</v>
      </c>
      <c r="K283" s="27" t="s">
        <v>43</v>
      </c>
      <c r="L283" s="31" t="s">
        <v>736</v>
      </c>
      <c r="M283" s="32">
        <v>0.57999999999999996</v>
      </c>
      <c r="N283" s="27" t="s">
        <v>33</v>
      </c>
      <c r="O283" s="27" t="s">
        <v>53</v>
      </c>
      <c r="P283" s="27" t="s">
        <v>537</v>
      </c>
      <c r="Q283" s="27" t="s">
        <v>737</v>
      </c>
      <c r="R283" s="33">
        <v>67114</v>
      </c>
      <c r="S283" s="34">
        <v>42027</v>
      </c>
      <c r="T283" s="34">
        <v>42028</v>
      </c>
      <c r="U283" s="29">
        <v>-123.1816</v>
      </c>
      <c r="V283" s="26">
        <v>5</v>
      </c>
      <c r="W283" s="29">
        <v>37.89</v>
      </c>
      <c r="X283" s="26">
        <v>90189</v>
      </c>
      <c r="Y283" s="35">
        <v>30.91</v>
      </c>
      <c r="Z283" s="1" t="s">
        <v>3012</v>
      </c>
      <c r="AA283" s="36">
        <v>0</v>
      </c>
      <c r="AB283" s="54">
        <v>15.913800000000002</v>
      </c>
      <c r="AC283" s="54">
        <v>4.3952400000000003</v>
      </c>
      <c r="AD283" s="36">
        <v>152.70159999999998</v>
      </c>
    </row>
    <row r="284" spans="1:30" s="37" customFormat="1" ht="15.75" customHeight="1" x14ac:dyDescent="0.2">
      <c r="A284" s="26">
        <v>1282</v>
      </c>
      <c r="B284" s="27" t="s">
        <v>749</v>
      </c>
      <c r="C284" s="27" t="s">
        <v>48</v>
      </c>
      <c r="D284" s="28">
        <v>0.03</v>
      </c>
      <c r="E284" s="29">
        <v>199.99</v>
      </c>
      <c r="F284" s="29">
        <v>24.49</v>
      </c>
      <c r="G284" s="30" t="s">
        <v>87</v>
      </c>
      <c r="H284" s="27" t="s">
        <v>3095</v>
      </c>
      <c r="I284" s="27" t="s">
        <v>41</v>
      </c>
      <c r="J284" s="27" t="s">
        <v>64</v>
      </c>
      <c r="K284" s="27" t="s">
        <v>65</v>
      </c>
      <c r="L284" s="31" t="s">
        <v>747</v>
      </c>
      <c r="M284" s="32">
        <v>0.46</v>
      </c>
      <c r="N284" s="27" t="s">
        <v>33</v>
      </c>
      <c r="O284" s="27" t="s">
        <v>111</v>
      </c>
      <c r="P284" s="27" t="s">
        <v>320</v>
      </c>
      <c r="Q284" s="27" t="s">
        <v>321</v>
      </c>
      <c r="R284" s="33">
        <v>19134</v>
      </c>
      <c r="S284" s="34">
        <v>42028</v>
      </c>
      <c r="T284" s="34">
        <v>42030</v>
      </c>
      <c r="U284" s="29">
        <v>393.42</v>
      </c>
      <c r="V284" s="26">
        <v>21</v>
      </c>
      <c r="W284" s="29">
        <v>4429.6899999999996</v>
      </c>
      <c r="X284" s="26">
        <v>29319</v>
      </c>
      <c r="Y284" s="35">
        <v>1.8499999999999999</v>
      </c>
      <c r="Z284" s="1" t="s">
        <v>3014</v>
      </c>
      <c r="AA284" s="36">
        <v>125.99369999999999</v>
      </c>
      <c r="AB284" s="54">
        <v>2392.0326</v>
      </c>
      <c r="AC284" s="54">
        <v>97.03130476190475</v>
      </c>
      <c r="AD284" s="36">
        <v>3885.7862999999998</v>
      </c>
    </row>
    <row r="285" spans="1:30" s="37" customFormat="1" ht="15.75" customHeight="1" x14ac:dyDescent="0.2">
      <c r="A285" s="26">
        <v>1653</v>
      </c>
      <c r="B285" s="27" t="s">
        <v>765</v>
      </c>
      <c r="C285" s="27" t="s">
        <v>3094</v>
      </c>
      <c r="D285" s="28">
        <v>0</v>
      </c>
      <c r="E285" s="29">
        <v>101.41</v>
      </c>
      <c r="F285" s="29">
        <v>35</v>
      </c>
      <c r="G285" s="30" t="s">
        <v>87</v>
      </c>
      <c r="H285" s="27" t="s">
        <v>94</v>
      </c>
      <c r="I285" s="27" t="s">
        <v>49</v>
      </c>
      <c r="J285" s="27" t="s">
        <v>78</v>
      </c>
      <c r="K285" s="27" t="s">
        <v>65</v>
      </c>
      <c r="L285" s="31" t="s">
        <v>766</v>
      </c>
      <c r="M285" s="32">
        <v>0.82</v>
      </c>
      <c r="N285" s="27" t="s">
        <v>33</v>
      </c>
      <c r="O285" s="27" t="s">
        <v>60</v>
      </c>
      <c r="P285" s="27" t="s">
        <v>90</v>
      </c>
      <c r="Q285" s="27" t="s">
        <v>767</v>
      </c>
      <c r="R285" s="33">
        <v>91360</v>
      </c>
      <c r="S285" s="34">
        <v>42028</v>
      </c>
      <c r="T285" s="34">
        <v>42029</v>
      </c>
      <c r="U285" s="29">
        <v>-457.73</v>
      </c>
      <c r="V285" s="26">
        <v>10</v>
      </c>
      <c r="W285" s="29">
        <v>1104.32</v>
      </c>
      <c r="X285" s="26">
        <v>89885</v>
      </c>
      <c r="Y285" s="35">
        <v>14.41</v>
      </c>
      <c r="Z285" s="1" t="s">
        <v>3013</v>
      </c>
      <c r="AA285" s="36">
        <v>0</v>
      </c>
      <c r="AB285" s="54">
        <v>198.77760000000004</v>
      </c>
      <c r="AC285" s="54">
        <v>90.554239999999979</v>
      </c>
      <c r="AD285" s="36">
        <v>1527.05</v>
      </c>
    </row>
    <row r="286" spans="1:30" s="37" customFormat="1" ht="15.75" customHeight="1" x14ac:dyDescent="0.2">
      <c r="A286" s="26">
        <v>1281</v>
      </c>
      <c r="B286" s="27" t="s">
        <v>746</v>
      </c>
      <c r="C286" s="27" t="s">
        <v>48</v>
      </c>
      <c r="D286" s="28">
        <v>0.03</v>
      </c>
      <c r="E286" s="29">
        <v>199.99</v>
      </c>
      <c r="F286" s="29">
        <v>24.49</v>
      </c>
      <c r="G286" s="30" t="s">
        <v>87</v>
      </c>
      <c r="H286" s="27" t="s">
        <v>3095</v>
      </c>
      <c r="I286" s="27" t="s">
        <v>41</v>
      </c>
      <c r="J286" s="27" t="s">
        <v>64</v>
      </c>
      <c r="K286" s="27" t="s">
        <v>65</v>
      </c>
      <c r="L286" s="31" t="s">
        <v>747</v>
      </c>
      <c r="M286" s="32">
        <v>0.46</v>
      </c>
      <c r="N286" s="27" t="s">
        <v>33</v>
      </c>
      <c r="O286" s="27" t="s">
        <v>53</v>
      </c>
      <c r="P286" s="27" t="s">
        <v>54</v>
      </c>
      <c r="Q286" s="27" t="s">
        <v>748</v>
      </c>
      <c r="R286" s="33">
        <v>47591</v>
      </c>
      <c r="S286" s="34">
        <v>42028</v>
      </c>
      <c r="T286" s="34">
        <v>42030</v>
      </c>
      <c r="U286" s="29">
        <v>727.73609999999996</v>
      </c>
      <c r="V286" s="26">
        <v>5</v>
      </c>
      <c r="W286" s="29">
        <v>1054.69</v>
      </c>
      <c r="X286" s="26">
        <v>89112</v>
      </c>
      <c r="Y286" s="35">
        <v>67.760000000000005</v>
      </c>
      <c r="Z286" s="1" t="s">
        <v>3012</v>
      </c>
      <c r="AA286" s="36">
        <v>29.9985</v>
      </c>
      <c r="AB286" s="54">
        <v>569.53260000000012</v>
      </c>
      <c r="AC286" s="54">
        <v>97.031480000000016</v>
      </c>
      <c r="AD286" s="36">
        <v>272.46540000000005</v>
      </c>
    </row>
    <row r="287" spans="1:30" s="37" customFormat="1" ht="15.75" customHeight="1" x14ac:dyDescent="0.2">
      <c r="A287" s="26">
        <v>1690</v>
      </c>
      <c r="B287" s="27" t="s">
        <v>750</v>
      </c>
      <c r="C287" s="27" t="s">
        <v>48</v>
      </c>
      <c r="D287" s="28">
        <v>0.05</v>
      </c>
      <c r="E287" s="29">
        <v>115.99</v>
      </c>
      <c r="F287" s="29">
        <v>5.26</v>
      </c>
      <c r="G287" s="30" t="s">
        <v>39</v>
      </c>
      <c r="H287" s="27" t="s">
        <v>94</v>
      </c>
      <c r="I287" s="27" t="s">
        <v>41</v>
      </c>
      <c r="J287" s="27" t="s">
        <v>135</v>
      </c>
      <c r="K287" s="27" t="s">
        <v>73</v>
      </c>
      <c r="L287" s="31" t="s">
        <v>751</v>
      </c>
      <c r="M287" s="32">
        <v>0.56999999999999995</v>
      </c>
      <c r="N287" s="27" t="s">
        <v>33</v>
      </c>
      <c r="O287" s="27" t="s">
        <v>111</v>
      </c>
      <c r="P287" s="27" t="s">
        <v>320</v>
      </c>
      <c r="Q287" s="27" t="s">
        <v>752</v>
      </c>
      <c r="R287" s="33">
        <v>17112</v>
      </c>
      <c r="S287" s="34">
        <v>42028</v>
      </c>
      <c r="T287" s="34">
        <v>42032</v>
      </c>
      <c r="U287" s="29">
        <v>616.53570000000002</v>
      </c>
      <c r="V287" s="26">
        <v>9</v>
      </c>
      <c r="W287" s="29">
        <v>893.53</v>
      </c>
      <c r="X287" s="26">
        <v>91076</v>
      </c>
      <c r="Y287" s="35">
        <v>199.96</v>
      </c>
      <c r="Z287" s="1" t="s">
        <v>3014</v>
      </c>
      <c r="AA287" s="36">
        <v>52.195500000000003</v>
      </c>
      <c r="AB287" s="54">
        <v>384.21790000000004</v>
      </c>
      <c r="AC287" s="54">
        <v>56.590233333333323</v>
      </c>
      <c r="AD287" s="36">
        <v>219.53879999999992</v>
      </c>
    </row>
    <row r="288" spans="1:30" s="37" customFormat="1" ht="15.75" customHeight="1" x14ac:dyDescent="0.2">
      <c r="A288" s="26">
        <v>3089</v>
      </c>
      <c r="B288" s="27" t="s">
        <v>756</v>
      </c>
      <c r="C288" s="27" t="s">
        <v>48</v>
      </c>
      <c r="D288" s="28">
        <v>7.0000000000000007E-2</v>
      </c>
      <c r="E288" s="29">
        <v>49.43</v>
      </c>
      <c r="F288" s="29">
        <v>19.989999999999998</v>
      </c>
      <c r="G288" s="30" t="s">
        <v>39</v>
      </c>
      <c r="H288" s="27" t="s">
        <v>94</v>
      </c>
      <c r="I288" s="27" t="s">
        <v>49</v>
      </c>
      <c r="J288" s="27" t="s">
        <v>95</v>
      </c>
      <c r="K288" s="27" t="s">
        <v>73</v>
      </c>
      <c r="L288" s="31" t="s">
        <v>757</v>
      </c>
      <c r="M288" s="32">
        <v>0.56999999999999995</v>
      </c>
      <c r="N288" s="27" t="s">
        <v>33</v>
      </c>
      <c r="O288" s="27" t="s">
        <v>53</v>
      </c>
      <c r="P288" s="27" t="s">
        <v>537</v>
      </c>
      <c r="Q288" s="27" t="s">
        <v>758</v>
      </c>
      <c r="R288" s="33">
        <v>66209</v>
      </c>
      <c r="S288" s="34">
        <v>42028</v>
      </c>
      <c r="T288" s="34">
        <v>42033</v>
      </c>
      <c r="U288" s="29">
        <v>-122.77</v>
      </c>
      <c r="V288" s="26">
        <v>6</v>
      </c>
      <c r="W288" s="29">
        <v>281.82</v>
      </c>
      <c r="X288" s="26">
        <v>91219</v>
      </c>
      <c r="Y288" s="35">
        <v>199.96</v>
      </c>
      <c r="Z288" s="1" t="s">
        <v>3012</v>
      </c>
      <c r="AA288" s="36">
        <v>20.7606</v>
      </c>
      <c r="AB288" s="54">
        <v>121.18260000000001</v>
      </c>
      <c r="AC288" s="54">
        <v>26.772899999999996</v>
      </c>
      <c r="AD288" s="36">
        <v>363.83940000000001</v>
      </c>
    </row>
    <row r="289" spans="1:30" s="37" customFormat="1" ht="15.75" customHeight="1" x14ac:dyDescent="0.2">
      <c r="A289" s="26">
        <v>1653</v>
      </c>
      <c r="B289" s="27" t="s">
        <v>765</v>
      </c>
      <c r="C289" s="27" t="s">
        <v>3094</v>
      </c>
      <c r="D289" s="28">
        <v>0.1</v>
      </c>
      <c r="E289" s="29">
        <v>95.99</v>
      </c>
      <c r="F289" s="29">
        <v>4.9000000000000004</v>
      </c>
      <c r="G289" s="30" t="s">
        <v>39</v>
      </c>
      <c r="H289" s="27" t="s">
        <v>94</v>
      </c>
      <c r="I289" s="27" t="s">
        <v>41</v>
      </c>
      <c r="J289" s="27" t="s">
        <v>135</v>
      </c>
      <c r="K289" s="27" t="s">
        <v>73</v>
      </c>
      <c r="L289" s="31" t="s">
        <v>768</v>
      </c>
      <c r="M289" s="32">
        <v>0.56000000000000005</v>
      </c>
      <c r="N289" s="27" t="s">
        <v>33</v>
      </c>
      <c r="O289" s="27" t="s">
        <v>60</v>
      </c>
      <c r="P289" s="27" t="s">
        <v>90</v>
      </c>
      <c r="Q289" s="27" t="s">
        <v>767</v>
      </c>
      <c r="R289" s="33">
        <v>91360</v>
      </c>
      <c r="S289" s="34">
        <v>42028</v>
      </c>
      <c r="T289" s="34">
        <v>42029</v>
      </c>
      <c r="U289" s="29">
        <v>-268.66399999999999</v>
      </c>
      <c r="V289" s="26">
        <v>2</v>
      </c>
      <c r="W289" s="29">
        <v>149.80000000000001</v>
      </c>
      <c r="X289" s="26">
        <v>89885</v>
      </c>
      <c r="Y289" s="35">
        <v>115.94</v>
      </c>
      <c r="Z289" s="1" t="s">
        <v>3013</v>
      </c>
      <c r="AA289" s="36">
        <v>19.198</v>
      </c>
      <c r="AB289" s="54">
        <v>65.911999999999992</v>
      </c>
      <c r="AC289" s="54">
        <v>41.94400000000001</v>
      </c>
      <c r="AD289" s="36">
        <v>394.36599999999999</v>
      </c>
    </row>
    <row r="290" spans="1:30" s="37" customFormat="1" ht="15.75" customHeight="1" x14ac:dyDescent="0.2">
      <c r="A290" s="26">
        <v>604</v>
      </c>
      <c r="B290" s="27" t="s">
        <v>741</v>
      </c>
      <c r="C290" s="27" t="s">
        <v>26</v>
      </c>
      <c r="D290" s="28">
        <v>0.03</v>
      </c>
      <c r="E290" s="29">
        <v>1.88</v>
      </c>
      <c r="F290" s="29">
        <v>1.49</v>
      </c>
      <c r="G290" s="30" t="s">
        <v>39</v>
      </c>
      <c r="H290" s="27" t="s">
        <v>71</v>
      </c>
      <c r="I290" s="27" t="s">
        <v>49</v>
      </c>
      <c r="J290" s="27" t="s">
        <v>72</v>
      </c>
      <c r="K290" s="27" t="s">
        <v>73</v>
      </c>
      <c r="L290" s="31" t="s">
        <v>613</v>
      </c>
      <c r="M290" s="32">
        <v>0.37</v>
      </c>
      <c r="N290" s="27" t="s">
        <v>33</v>
      </c>
      <c r="O290" s="27" t="s">
        <v>60</v>
      </c>
      <c r="P290" s="27" t="s">
        <v>90</v>
      </c>
      <c r="Q290" s="27" t="s">
        <v>100</v>
      </c>
      <c r="R290" s="33">
        <v>90045</v>
      </c>
      <c r="S290" s="34">
        <v>42028</v>
      </c>
      <c r="T290" s="34">
        <v>42029</v>
      </c>
      <c r="U290" s="29">
        <v>-15.099500000000001</v>
      </c>
      <c r="V290" s="26">
        <v>52</v>
      </c>
      <c r="W290" s="29">
        <v>102.32</v>
      </c>
      <c r="X290" s="26">
        <v>34882</v>
      </c>
      <c r="Y290" s="35">
        <v>50.959999999999994</v>
      </c>
      <c r="Z290" s="1" t="s">
        <v>3013</v>
      </c>
      <c r="AA290" s="36">
        <v>2.9327999999999994</v>
      </c>
      <c r="AB290" s="54">
        <v>64.46159999999999</v>
      </c>
      <c r="AC290" s="54">
        <v>0.72804615384615379</v>
      </c>
      <c r="AD290" s="36">
        <v>112.99669999999999</v>
      </c>
    </row>
    <row r="291" spans="1:30" s="37" customFormat="1" ht="15.75" customHeight="1" x14ac:dyDescent="0.2">
      <c r="A291" s="26">
        <v>830</v>
      </c>
      <c r="B291" s="27" t="s">
        <v>742</v>
      </c>
      <c r="C291" s="27" t="s">
        <v>38</v>
      </c>
      <c r="D291" s="28">
        <v>0.01</v>
      </c>
      <c r="E291" s="29">
        <v>14.42</v>
      </c>
      <c r="F291" s="29">
        <v>6.75</v>
      </c>
      <c r="G291" s="30" t="s">
        <v>39</v>
      </c>
      <c r="H291" s="27" t="s">
        <v>94</v>
      </c>
      <c r="I291" s="27" t="s">
        <v>49</v>
      </c>
      <c r="J291" s="27" t="s">
        <v>95</v>
      </c>
      <c r="K291" s="27" t="s">
        <v>144</v>
      </c>
      <c r="L291" s="31" t="s">
        <v>409</v>
      </c>
      <c r="M291" s="32">
        <v>0.52</v>
      </c>
      <c r="N291" s="27" t="s">
        <v>33</v>
      </c>
      <c r="O291" s="27" t="s">
        <v>60</v>
      </c>
      <c r="P291" s="27" t="s">
        <v>61</v>
      </c>
      <c r="Q291" s="27" t="s">
        <v>743</v>
      </c>
      <c r="R291" s="33">
        <v>80033</v>
      </c>
      <c r="S291" s="34">
        <v>42028</v>
      </c>
      <c r="T291" s="34">
        <v>42028</v>
      </c>
      <c r="U291" s="29">
        <v>-13.826000000000001</v>
      </c>
      <c r="V291" s="26">
        <v>6</v>
      </c>
      <c r="W291" s="29">
        <v>89.91</v>
      </c>
      <c r="X291" s="26">
        <v>90270</v>
      </c>
      <c r="Y291" s="35">
        <v>49.36</v>
      </c>
      <c r="Z291" s="1" t="s">
        <v>3013</v>
      </c>
      <c r="AA291" s="36">
        <v>0.86519999999999997</v>
      </c>
      <c r="AB291" s="54">
        <v>43.156799999999997</v>
      </c>
      <c r="AC291" s="54">
        <v>7.7922000000000002</v>
      </c>
      <c r="AD291" s="36">
        <v>96.120800000000003</v>
      </c>
    </row>
    <row r="292" spans="1:30" s="37" customFormat="1" ht="15.75" customHeight="1" x14ac:dyDescent="0.2">
      <c r="A292" s="26">
        <v>2283</v>
      </c>
      <c r="B292" s="27" t="s">
        <v>759</v>
      </c>
      <c r="C292" s="27" t="s">
        <v>116</v>
      </c>
      <c r="D292" s="28">
        <v>0.01</v>
      </c>
      <c r="E292" s="29">
        <v>11.7</v>
      </c>
      <c r="F292" s="29">
        <v>6.96</v>
      </c>
      <c r="G292" s="30" t="s">
        <v>39</v>
      </c>
      <c r="H292" s="27" t="s">
        <v>71</v>
      </c>
      <c r="I292" s="27" t="s">
        <v>49</v>
      </c>
      <c r="J292" s="27" t="s">
        <v>95</v>
      </c>
      <c r="K292" s="27" t="s">
        <v>144</v>
      </c>
      <c r="L292" s="31" t="s">
        <v>760</v>
      </c>
      <c r="M292" s="32">
        <v>0.5</v>
      </c>
      <c r="N292" s="27" t="s">
        <v>33</v>
      </c>
      <c r="O292" s="27" t="s">
        <v>53</v>
      </c>
      <c r="P292" s="27" t="s">
        <v>357</v>
      </c>
      <c r="Q292" s="27" t="s">
        <v>761</v>
      </c>
      <c r="R292" s="33">
        <v>53132</v>
      </c>
      <c r="S292" s="34">
        <v>42028</v>
      </c>
      <c r="T292" s="34">
        <v>42030</v>
      </c>
      <c r="U292" s="29">
        <v>-28.954000000000001</v>
      </c>
      <c r="V292" s="26">
        <v>6</v>
      </c>
      <c r="W292" s="29">
        <v>76.87</v>
      </c>
      <c r="X292" s="26">
        <v>85947</v>
      </c>
      <c r="Y292" s="35">
        <v>11.69</v>
      </c>
      <c r="Z292" s="1" t="s">
        <v>3012</v>
      </c>
      <c r="AA292" s="36">
        <v>0.70199999999999996</v>
      </c>
      <c r="AB292" s="54">
        <v>38.435000000000002</v>
      </c>
      <c r="AC292" s="54">
        <v>6.4058333333333337</v>
      </c>
      <c r="AD292" s="36">
        <v>98.162000000000006</v>
      </c>
    </row>
    <row r="293" spans="1:30" s="37" customFormat="1" ht="15.75" customHeight="1" x14ac:dyDescent="0.2">
      <c r="A293" s="26">
        <v>2613</v>
      </c>
      <c r="B293" s="27" t="s">
        <v>753</v>
      </c>
      <c r="C293" s="27" t="s">
        <v>48</v>
      </c>
      <c r="D293" s="28">
        <v>0.02</v>
      </c>
      <c r="E293" s="29">
        <v>50.98</v>
      </c>
      <c r="F293" s="29">
        <v>13.66</v>
      </c>
      <c r="G293" s="30" t="s">
        <v>87</v>
      </c>
      <c r="H293" s="27" t="s">
        <v>94</v>
      </c>
      <c r="I293" s="27" t="s">
        <v>49</v>
      </c>
      <c r="J293" s="27" t="s">
        <v>95</v>
      </c>
      <c r="K293" s="27" t="s">
        <v>73</v>
      </c>
      <c r="L293" s="31" t="s">
        <v>754</v>
      </c>
      <c r="M293" s="32">
        <v>0.57999999999999996</v>
      </c>
      <c r="N293" s="27" t="s">
        <v>33</v>
      </c>
      <c r="O293" s="27" t="s">
        <v>111</v>
      </c>
      <c r="P293" s="27" t="s">
        <v>397</v>
      </c>
      <c r="Q293" s="27" t="s">
        <v>755</v>
      </c>
      <c r="R293" s="33">
        <v>8863</v>
      </c>
      <c r="S293" s="34">
        <v>42028</v>
      </c>
      <c r="T293" s="34">
        <v>42028</v>
      </c>
      <c r="U293" s="29">
        <v>-25.76</v>
      </c>
      <c r="V293" s="26">
        <v>1</v>
      </c>
      <c r="W293" s="29">
        <v>68.45</v>
      </c>
      <c r="X293" s="26">
        <v>86119</v>
      </c>
      <c r="Y293" s="35">
        <v>15.19</v>
      </c>
      <c r="Z293" s="1" t="s">
        <v>3014</v>
      </c>
      <c r="AA293" s="36">
        <v>1.0196000000000001</v>
      </c>
      <c r="AB293" s="54">
        <v>28.749000000000002</v>
      </c>
      <c r="AC293" s="54">
        <v>39.701000000000001</v>
      </c>
      <c r="AD293" s="36">
        <v>79.5304</v>
      </c>
    </row>
    <row r="294" spans="1:30" s="37" customFormat="1" ht="15.75" customHeight="1" x14ac:dyDescent="0.2">
      <c r="A294" s="26">
        <v>997</v>
      </c>
      <c r="B294" s="27" t="s">
        <v>744</v>
      </c>
      <c r="C294" s="27" t="s">
        <v>48</v>
      </c>
      <c r="D294" s="28">
        <v>0.08</v>
      </c>
      <c r="E294" s="29">
        <v>67.84</v>
      </c>
      <c r="F294" s="29">
        <v>0.99</v>
      </c>
      <c r="G294" s="30" t="s">
        <v>39</v>
      </c>
      <c r="H294" s="27" t="s">
        <v>3095</v>
      </c>
      <c r="I294" s="27" t="s">
        <v>49</v>
      </c>
      <c r="J294" s="27" t="s">
        <v>95</v>
      </c>
      <c r="K294" s="27" t="s">
        <v>73</v>
      </c>
      <c r="L294" s="31" t="s">
        <v>745</v>
      </c>
      <c r="M294" s="32">
        <v>0.57999999999999996</v>
      </c>
      <c r="N294" s="27" t="s">
        <v>33</v>
      </c>
      <c r="O294" s="27" t="s">
        <v>111</v>
      </c>
      <c r="P294" s="27" t="s">
        <v>397</v>
      </c>
      <c r="Q294" s="27" t="s">
        <v>398</v>
      </c>
      <c r="R294" s="33">
        <v>7002</v>
      </c>
      <c r="S294" s="34">
        <v>42028</v>
      </c>
      <c r="T294" s="34">
        <v>42033</v>
      </c>
      <c r="U294" s="29">
        <v>-23.634399999999999</v>
      </c>
      <c r="V294" s="26">
        <v>1</v>
      </c>
      <c r="W294" s="29">
        <v>63.66</v>
      </c>
      <c r="X294" s="26">
        <v>89431</v>
      </c>
      <c r="Y294" s="35">
        <v>101.41</v>
      </c>
      <c r="Z294" s="1" t="s">
        <v>3014</v>
      </c>
      <c r="AA294" s="36">
        <v>5.4272</v>
      </c>
      <c r="AB294" s="54">
        <v>26.737200000000001</v>
      </c>
      <c r="AC294" s="54">
        <v>36.922799999999995</v>
      </c>
      <c r="AD294" s="36">
        <v>80.877200000000002</v>
      </c>
    </row>
    <row r="295" spans="1:30" s="37" customFormat="1" ht="15.75" customHeight="1" x14ac:dyDescent="0.2">
      <c r="A295" s="26">
        <v>275</v>
      </c>
      <c r="B295" s="27" t="s">
        <v>762</v>
      </c>
      <c r="C295" s="27" t="s">
        <v>3094</v>
      </c>
      <c r="D295" s="28">
        <v>0.09</v>
      </c>
      <c r="E295" s="29">
        <v>15.28</v>
      </c>
      <c r="F295" s="29">
        <v>10.91</v>
      </c>
      <c r="G295" s="30" t="s">
        <v>39</v>
      </c>
      <c r="H295" s="27" t="s">
        <v>94</v>
      </c>
      <c r="I295" s="27" t="s">
        <v>49</v>
      </c>
      <c r="J295" s="27" t="s">
        <v>72</v>
      </c>
      <c r="K295" s="27" t="s">
        <v>73</v>
      </c>
      <c r="L295" s="31" t="s">
        <v>763</v>
      </c>
      <c r="M295" s="32">
        <v>0.36</v>
      </c>
      <c r="N295" s="27" t="s">
        <v>33</v>
      </c>
      <c r="O295" s="27" t="s">
        <v>111</v>
      </c>
      <c r="P295" s="27" t="s">
        <v>248</v>
      </c>
      <c r="Q295" s="27" t="s">
        <v>764</v>
      </c>
      <c r="R295" s="33">
        <v>6824</v>
      </c>
      <c r="S295" s="34">
        <v>42028</v>
      </c>
      <c r="T295" s="34">
        <v>42029</v>
      </c>
      <c r="U295" s="29">
        <v>-51.75</v>
      </c>
      <c r="V295" s="26">
        <v>4</v>
      </c>
      <c r="W295" s="29">
        <v>61.52</v>
      </c>
      <c r="X295" s="26">
        <v>89292</v>
      </c>
      <c r="Y295" s="35">
        <v>95.89</v>
      </c>
      <c r="Z295" s="1" t="s">
        <v>3014</v>
      </c>
      <c r="AA295" s="36">
        <v>5.5007999999999999</v>
      </c>
      <c r="AB295" s="54">
        <v>39.372800000000005</v>
      </c>
      <c r="AC295" s="54">
        <v>5.5368000000000004</v>
      </c>
      <c r="AD295" s="36">
        <v>96.859200000000016</v>
      </c>
    </row>
    <row r="296" spans="1:30" s="37" customFormat="1" ht="15.75" customHeight="1" x14ac:dyDescent="0.2">
      <c r="A296" s="26">
        <v>1997</v>
      </c>
      <c r="B296" s="27" t="s">
        <v>774</v>
      </c>
      <c r="C296" s="27" t="s">
        <v>3094</v>
      </c>
      <c r="D296" s="28">
        <v>0.1</v>
      </c>
      <c r="E296" s="29">
        <v>125.99</v>
      </c>
      <c r="F296" s="29">
        <v>8.99</v>
      </c>
      <c r="G296" s="30" t="s">
        <v>39</v>
      </c>
      <c r="H296" s="27" t="s">
        <v>40</v>
      </c>
      <c r="I296" s="27" t="s">
        <v>41</v>
      </c>
      <c r="J296" s="27" t="s">
        <v>135</v>
      </c>
      <c r="K296" s="27" t="s">
        <v>73</v>
      </c>
      <c r="L296" s="31" t="s">
        <v>775</v>
      </c>
      <c r="M296" s="32">
        <v>0.56999999999999995</v>
      </c>
      <c r="N296" s="27" t="s">
        <v>33</v>
      </c>
      <c r="O296" s="27" t="s">
        <v>34</v>
      </c>
      <c r="P296" s="27" t="s">
        <v>271</v>
      </c>
      <c r="Q296" s="27" t="s">
        <v>272</v>
      </c>
      <c r="R296" s="33">
        <v>29915</v>
      </c>
      <c r="S296" s="34">
        <v>42029</v>
      </c>
      <c r="T296" s="34">
        <v>42032</v>
      </c>
      <c r="U296" s="29">
        <v>17.652000000000001</v>
      </c>
      <c r="V296" s="26">
        <v>4</v>
      </c>
      <c r="W296" s="29">
        <v>408.66</v>
      </c>
      <c r="X296" s="26">
        <v>90333</v>
      </c>
      <c r="Y296" s="35">
        <v>1.68</v>
      </c>
      <c r="Z296" s="1" t="s">
        <v>3011</v>
      </c>
      <c r="AA296" s="36">
        <v>50.396000000000001</v>
      </c>
      <c r="AB296" s="54">
        <v>175.72380000000004</v>
      </c>
      <c r="AC296" s="54">
        <v>58.234049999999996</v>
      </c>
      <c r="AD296" s="36">
        <v>331.62200000000001</v>
      </c>
    </row>
    <row r="297" spans="1:30" s="37" customFormat="1" ht="15.75" customHeight="1" x14ac:dyDescent="0.2">
      <c r="A297" s="26">
        <v>156</v>
      </c>
      <c r="B297" s="27" t="s">
        <v>772</v>
      </c>
      <c r="C297" s="27" t="s">
        <v>38</v>
      </c>
      <c r="D297" s="28">
        <v>0.03</v>
      </c>
      <c r="E297" s="29">
        <v>10.89</v>
      </c>
      <c r="F297" s="29">
        <v>4.5</v>
      </c>
      <c r="G297" s="30" t="s">
        <v>39</v>
      </c>
      <c r="H297" s="27" t="s">
        <v>94</v>
      </c>
      <c r="I297" s="27" t="s">
        <v>49</v>
      </c>
      <c r="J297" s="27" t="s">
        <v>95</v>
      </c>
      <c r="K297" s="27" t="s">
        <v>73</v>
      </c>
      <c r="L297" s="31" t="s">
        <v>773</v>
      </c>
      <c r="M297" s="32">
        <v>0.59</v>
      </c>
      <c r="N297" s="27" t="s">
        <v>33</v>
      </c>
      <c r="O297" s="27" t="s">
        <v>60</v>
      </c>
      <c r="P297" s="27" t="s">
        <v>61</v>
      </c>
      <c r="Q297" s="27" t="s">
        <v>62</v>
      </c>
      <c r="R297" s="33">
        <v>80525</v>
      </c>
      <c r="S297" s="34">
        <v>42029</v>
      </c>
      <c r="T297" s="34">
        <v>42030</v>
      </c>
      <c r="U297" s="29">
        <v>-18.64</v>
      </c>
      <c r="V297" s="26">
        <v>3</v>
      </c>
      <c r="W297" s="29">
        <v>33.82</v>
      </c>
      <c r="X297" s="26">
        <v>87672</v>
      </c>
      <c r="Y297" s="35">
        <v>10.860000000000001</v>
      </c>
      <c r="Z297" s="1" t="s">
        <v>3013</v>
      </c>
      <c r="AA297" s="36">
        <v>0.98009999999999997</v>
      </c>
      <c r="AB297" s="54">
        <v>13.866200000000001</v>
      </c>
      <c r="AC297" s="54">
        <v>6.6512666666666664</v>
      </c>
      <c r="AD297" s="36">
        <v>46.979900000000001</v>
      </c>
    </row>
    <row r="298" spans="1:30" s="37" customFormat="1" ht="15.75" customHeight="1" x14ac:dyDescent="0.2">
      <c r="A298" s="26">
        <v>1389</v>
      </c>
      <c r="B298" s="27" t="s">
        <v>769</v>
      </c>
      <c r="C298" s="27" t="s">
        <v>26</v>
      </c>
      <c r="D298" s="28">
        <v>0.06</v>
      </c>
      <c r="E298" s="29">
        <v>1.74</v>
      </c>
      <c r="F298" s="29">
        <v>4.08</v>
      </c>
      <c r="G298" s="30" t="s">
        <v>39</v>
      </c>
      <c r="H298" s="27" t="s">
        <v>94</v>
      </c>
      <c r="I298" s="27" t="s">
        <v>29</v>
      </c>
      <c r="J298" s="27" t="s">
        <v>126</v>
      </c>
      <c r="K298" s="27" t="s">
        <v>43</v>
      </c>
      <c r="L298" s="31" t="s">
        <v>770</v>
      </c>
      <c r="M298" s="32">
        <v>0.53</v>
      </c>
      <c r="N298" s="27" t="s">
        <v>33</v>
      </c>
      <c r="O298" s="27" t="s">
        <v>60</v>
      </c>
      <c r="P298" s="27" t="s">
        <v>90</v>
      </c>
      <c r="Q298" s="27" t="s">
        <v>771</v>
      </c>
      <c r="R298" s="33">
        <v>94025</v>
      </c>
      <c r="S298" s="34">
        <v>42029</v>
      </c>
      <c r="T298" s="34">
        <v>42030</v>
      </c>
      <c r="U298" s="29">
        <v>-11.0732</v>
      </c>
      <c r="V298" s="26">
        <v>1</v>
      </c>
      <c r="W298" s="29">
        <v>2.77</v>
      </c>
      <c r="X298" s="26">
        <v>88726</v>
      </c>
      <c r="Y298" s="35">
        <v>125.89</v>
      </c>
      <c r="Z298" s="1" t="s">
        <v>3013</v>
      </c>
      <c r="AA298" s="36">
        <v>0.10439999999999999</v>
      </c>
      <c r="AB298" s="54">
        <v>1.3018999999999998</v>
      </c>
      <c r="AC298" s="54">
        <v>1.4681000000000002</v>
      </c>
      <c r="AD298" s="36">
        <v>9.6587999999999994</v>
      </c>
    </row>
    <row r="299" spans="1:30" s="37" customFormat="1" ht="15.75" customHeight="1" x14ac:dyDescent="0.2">
      <c r="A299" s="26">
        <v>2795</v>
      </c>
      <c r="B299" s="27" t="s">
        <v>791</v>
      </c>
      <c r="C299" s="27" t="s">
        <v>48</v>
      </c>
      <c r="D299" s="28">
        <v>0.05</v>
      </c>
      <c r="E299" s="29">
        <v>200.99</v>
      </c>
      <c r="F299" s="29">
        <v>4.2</v>
      </c>
      <c r="G299" s="30" t="s">
        <v>39</v>
      </c>
      <c r="H299" s="27" t="s">
        <v>94</v>
      </c>
      <c r="I299" s="27" t="s">
        <v>41</v>
      </c>
      <c r="J299" s="27" t="s">
        <v>135</v>
      </c>
      <c r="K299" s="27" t="s">
        <v>73</v>
      </c>
      <c r="L299" s="31" t="s">
        <v>794</v>
      </c>
      <c r="M299" s="32">
        <v>0.59</v>
      </c>
      <c r="N299" s="27" t="s">
        <v>33</v>
      </c>
      <c r="O299" s="27" t="s">
        <v>53</v>
      </c>
      <c r="P299" s="27" t="s">
        <v>213</v>
      </c>
      <c r="Q299" s="27" t="s">
        <v>793</v>
      </c>
      <c r="R299" s="33">
        <v>50401</v>
      </c>
      <c r="S299" s="34">
        <v>42030</v>
      </c>
      <c r="T299" s="34">
        <v>42034</v>
      </c>
      <c r="U299" s="29">
        <v>1630.5252</v>
      </c>
      <c r="V299" s="26">
        <v>14</v>
      </c>
      <c r="W299" s="29">
        <v>2363.08</v>
      </c>
      <c r="X299" s="26">
        <v>87556</v>
      </c>
      <c r="Y299" s="35">
        <v>14.31</v>
      </c>
      <c r="Z299" s="1" t="s">
        <v>3012</v>
      </c>
      <c r="AA299" s="36">
        <v>140.69300000000004</v>
      </c>
      <c r="AB299" s="54">
        <v>968.86279999999999</v>
      </c>
      <c r="AC299" s="54">
        <v>99.586942857142844</v>
      </c>
      <c r="AD299" s="36">
        <v>587.66179999999986</v>
      </c>
    </row>
    <row r="300" spans="1:30" s="37" customFormat="1" ht="15.75" customHeight="1" x14ac:dyDescent="0.2">
      <c r="A300" s="26">
        <v>3154</v>
      </c>
      <c r="B300" s="27" t="s">
        <v>781</v>
      </c>
      <c r="C300" s="27" t="s">
        <v>38</v>
      </c>
      <c r="D300" s="28">
        <v>0.08</v>
      </c>
      <c r="E300" s="29">
        <v>150.97999999999999</v>
      </c>
      <c r="F300" s="29">
        <v>13.99</v>
      </c>
      <c r="G300" s="30" t="s">
        <v>87</v>
      </c>
      <c r="H300" s="27" t="s">
        <v>94</v>
      </c>
      <c r="I300" s="27" t="s">
        <v>41</v>
      </c>
      <c r="J300" s="27" t="s">
        <v>57</v>
      </c>
      <c r="K300" s="27" t="s">
        <v>144</v>
      </c>
      <c r="L300" s="31" t="s">
        <v>782</v>
      </c>
      <c r="M300" s="32">
        <v>0.38</v>
      </c>
      <c r="N300" s="27" t="s">
        <v>33</v>
      </c>
      <c r="O300" s="27" t="s">
        <v>34</v>
      </c>
      <c r="P300" s="27" t="s">
        <v>123</v>
      </c>
      <c r="Q300" s="27" t="s">
        <v>783</v>
      </c>
      <c r="R300" s="33">
        <v>33710</v>
      </c>
      <c r="S300" s="34">
        <v>42030</v>
      </c>
      <c r="T300" s="34">
        <v>42031</v>
      </c>
      <c r="U300" s="29">
        <v>-3.948</v>
      </c>
      <c r="V300" s="26">
        <v>8</v>
      </c>
      <c r="W300" s="29">
        <v>1183.82</v>
      </c>
      <c r="X300" s="26">
        <v>86899</v>
      </c>
      <c r="Y300" s="35">
        <v>2.8800000000000003</v>
      </c>
      <c r="Z300" s="1" t="s">
        <v>3011</v>
      </c>
      <c r="AA300" s="36">
        <v>96.627200000000002</v>
      </c>
      <c r="AB300" s="54">
        <v>733.96839999999997</v>
      </c>
      <c r="AC300" s="54">
        <v>56.231449999999995</v>
      </c>
      <c r="AD300" s="36">
        <v>1077.1507999999999</v>
      </c>
    </row>
    <row r="301" spans="1:30" s="37" customFormat="1" ht="15.75" customHeight="1" x14ac:dyDescent="0.2">
      <c r="A301" s="26">
        <v>1946</v>
      </c>
      <c r="B301" s="27" t="s">
        <v>806</v>
      </c>
      <c r="C301" s="27" t="s">
        <v>116</v>
      </c>
      <c r="D301" s="28">
        <v>0.08</v>
      </c>
      <c r="E301" s="29">
        <v>90.98</v>
      </c>
      <c r="F301" s="29">
        <v>56.2</v>
      </c>
      <c r="G301" s="30" t="s">
        <v>39</v>
      </c>
      <c r="H301" s="27" t="s">
        <v>40</v>
      </c>
      <c r="I301" s="27" t="s">
        <v>29</v>
      </c>
      <c r="J301" s="27" t="s">
        <v>126</v>
      </c>
      <c r="K301" s="27" t="s">
        <v>144</v>
      </c>
      <c r="L301" s="31" t="s">
        <v>807</v>
      </c>
      <c r="M301" s="32">
        <v>0.74</v>
      </c>
      <c r="N301" s="27" t="s">
        <v>33</v>
      </c>
      <c r="O301" s="27" t="s">
        <v>111</v>
      </c>
      <c r="P301" s="27" t="s">
        <v>320</v>
      </c>
      <c r="Q301" s="27" t="s">
        <v>808</v>
      </c>
      <c r="R301" s="33">
        <v>15228</v>
      </c>
      <c r="S301" s="34">
        <v>42030</v>
      </c>
      <c r="T301" s="34">
        <v>42032</v>
      </c>
      <c r="U301" s="29">
        <v>-1920.9336000000001</v>
      </c>
      <c r="V301" s="26">
        <v>12</v>
      </c>
      <c r="W301" s="29">
        <v>1058.3599999999999</v>
      </c>
      <c r="X301" s="26">
        <v>86331</v>
      </c>
      <c r="Y301" s="35">
        <v>150.89999999999998</v>
      </c>
      <c r="Z301" s="1" t="s">
        <v>3014</v>
      </c>
      <c r="AA301" s="36">
        <v>87.340800000000002</v>
      </c>
      <c r="AB301" s="54">
        <v>275.17359999999996</v>
      </c>
      <c r="AC301" s="54">
        <v>65.265533333333323</v>
      </c>
      <c r="AD301" s="36">
        <v>2835.7528000000002</v>
      </c>
    </row>
    <row r="302" spans="1:30" s="37" customFormat="1" ht="15.75" customHeight="1" x14ac:dyDescent="0.2">
      <c r="A302" s="26">
        <v>2264</v>
      </c>
      <c r="B302" s="27" t="s">
        <v>813</v>
      </c>
      <c r="C302" s="27" t="s">
        <v>3094</v>
      </c>
      <c r="D302" s="28">
        <v>0.09</v>
      </c>
      <c r="E302" s="29">
        <v>207.48</v>
      </c>
      <c r="F302" s="29">
        <v>0.99</v>
      </c>
      <c r="G302" s="30" t="s">
        <v>39</v>
      </c>
      <c r="H302" s="27" t="s">
        <v>94</v>
      </c>
      <c r="I302" s="27" t="s">
        <v>49</v>
      </c>
      <c r="J302" s="27" t="s">
        <v>95</v>
      </c>
      <c r="K302" s="27" t="s">
        <v>73</v>
      </c>
      <c r="L302" s="31" t="s">
        <v>636</v>
      </c>
      <c r="M302" s="32">
        <v>0.55000000000000004</v>
      </c>
      <c r="N302" s="27" t="s">
        <v>33</v>
      </c>
      <c r="O302" s="27" t="s">
        <v>53</v>
      </c>
      <c r="P302" s="27" t="s">
        <v>80</v>
      </c>
      <c r="Q302" s="27" t="s">
        <v>814</v>
      </c>
      <c r="R302" s="33">
        <v>64804</v>
      </c>
      <c r="S302" s="34">
        <v>42030</v>
      </c>
      <c r="T302" s="34">
        <v>42033</v>
      </c>
      <c r="U302" s="29">
        <v>359.83</v>
      </c>
      <c r="V302" s="26">
        <v>3</v>
      </c>
      <c r="W302" s="29">
        <v>577.75</v>
      </c>
      <c r="X302" s="26">
        <v>86611</v>
      </c>
      <c r="Y302" s="35">
        <v>25.95</v>
      </c>
      <c r="Z302" s="1" t="s">
        <v>3012</v>
      </c>
      <c r="AA302" s="36">
        <v>56.019599999999997</v>
      </c>
      <c r="AB302" s="54">
        <v>259.98749999999995</v>
      </c>
      <c r="AC302" s="54">
        <v>105.92083333333335</v>
      </c>
      <c r="AD302" s="36">
        <v>160.91039999999998</v>
      </c>
    </row>
    <row r="303" spans="1:30" s="37" customFormat="1" ht="15.75" customHeight="1" x14ac:dyDescent="0.2">
      <c r="A303" s="26">
        <v>3314</v>
      </c>
      <c r="B303" s="27" t="s">
        <v>803</v>
      </c>
      <c r="C303" s="27" t="s">
        <v>48</v>
      </c>
      <c r="D303" s="28">
        <v>0.05</v>
      </c>
      <c r="E303" s="29">
        <v>122.99</v>
      </c>
      <c r="F303" s="29">
        <v>70.2</v>
      </c>
      <c r="G303" s="30" t="s">
        <v>27</v>
      </c>
      <c r="H303" s="27" t="s">
        <v>3095</v>
      </c>
      <c r="I303" s="27" t="s">
        <v>29</v>
      </c>
      <c r="J303" s="27" t="s">
        <v>109</v>
      </c>
      <c r="K303" s="27" t="s">
        <v>58</v>
      </c>
      <c r="L303" s="31" t="s">
        <v>804</v>
      </c>
      <c r="M303" s="32">
        <v>0.74</v>
      </c>
      <c r="N303" s="27" t="s">
        <v>33</v>
      </c>
      <c r="O303" s="27" t="s">
        <v>111</v>
      </c>
      <c r="P303" s="27" t="s">
        <v>397</v>
      </c>
      <c r="Q303" s="27" t="s">
        <v>805</v>
      </c>
      <c r="R303" s="33">
        <v>7024</v>
      </c>
      <c r="S303" s="34">
        <v>42030</v>
      </c>
      <c r="T303" s="34">
        <v>42034</v>
      </c>
      <c r="U303" s="29">
        <v>-722.23</v>
      </c>
      <c r="V303" s="26">
        <v>4</v>
      </c>
      <c r="W303" s="29">
        <v>498.31</v>
      </c>
      <c r="X303" s="26">
        <v>90462</v>
      </c>
      <c r="Y303" s="35">
        <v>32.379999999999995</v>
      </c>
      <c r="Z303" s="1" t="s">
        <v>3014</v>
      </c>
      <c r="AA303" s="36">
        <v>24.597999999999999</v>
      </c>
      <c r="AB303" s="54">
        <v>129.56059999999999</v>
      </c>
      <c r="AC303" s="54">
        <v>92.187349999999995</v>
      </c>
      <c r="AD303" s="36">
        <v>1125.742</v>
      </c>
    </row>
    <row r="304" spans="1:30" s="37" customFormat="1" ht="15.75" customHeight="1" x14ac:dyDescent="0.2">
      <c r="A304" s="26">
        <v>2795</v>
      </c>
      <c r="B304" s="27" t="s">
        <v>791</v>
      </c>
      <c r="C304" s="27" t="s">
        <v>48</v>
      </c>
      <c r="D304" s="28">
        <v>7.0000000000000007E-2</v>
      </c>
      <c r="E304" s="29">
        <v>195.99</v>
      </c>
      <c r="F304" s="29">
        <v>8.99</v>
      </c>
      <c r="G304" s="30" t="s">
        <v>39</v>
      </c>
      <c r="H304" s="27" t="s">
        <v>94</v>
      </c>
      <c r="I304" s="27" t="s">
        <v>41</v>
      </c>
      <c r="J304" s="27" t="s">
        <v>135</v>
      </c>
      <c r="K304" s="27" t="s">
        <v>73</v>
      </c>
      <c r="L304" s="31" t="s">
        <v>795</v>
      </c>
      <c r="M304" s="32">
        <v>0.57999999999999996</v>
      </c>
      <c r="N304" s="27" t="s">
        <v>33</v>
      </c>
      <c r="O304" s="27" t="s">
        <v>53</v>
      </c>
      <c r="P304" s="27" t="s">
        <v>213</v>
      </c>
      <c r="Q304" s="27" t="s">
        <v>793</v>
      </c>
      <c r="R304" s="33">
        <v>50401</v>
      </c>
      <c r="S304" s="34">
        <v>42030</v>
      </c>
      <c r="T304" s="34">
        <v>42030</v>
      </c>
      <c r="U304" s="29">
        <v>-457.16</v>
      </c>
      <c r="V304" s="26">
        <v>2</v>
      </c>
      <c r="W304" s="29">
        <v>328.45</v>
      </c>
      <c r="X304" s="26">
        <v>87556</v>
      </c>
      <c r="Y304" s="35">
        <v>4.9600000000000009</v>
      </c>
      <c r="Z304" s="1" t="s">
        <v>3012</v>
      </c>
      <c r="AA304" s="36">
        <v>27.438600000000005</v>
      </c>
      <c r="AB304" s="54">
        <v>137.94900000000001</v>
      </c>
      <c r="AC304" s="54">
        <v>95.250499999999988</v>
      </c>
      <c r="AD304" s="36">
        <v>749.18139999999994</v>
      </c>
    </row>
    <row r="305" spans="1:30" s="37" customFormat="1" ht="15.75" customHeight="1" x14ac:dyDescent="0.2">
      <c r="A305" s="26">
        <v>3155</v>
      </c>
      <c r="B305" s="27" t="s">
        <v>642</v>
      </c>
      <c r="C305" s="27" t="s">
        <v>38</v>
      </c>
      <c r="D305" s="28">
        <v>0.1</v>
      </c>
      <c r="E305" s="29">
        <v>32.479999999999997</v>
      </c>
      <c r="F305" s="29">
        <v>35</v>
      </c>
      <c r="G305" s="30" t="s">
        <v>39</v>
      </c>
      <c r="H305" s="27" t="s">
        <v>94</v>
      </c>
      <c r="I305" s="27" t="s">
        <v>49</v>
      </c>
      <c r="J305" s="27" t="s">
        <v>78</v>
      </c>
      <c r="K305" s="27" t="s">
        <v>65</v>
      </c>
      <c r="L305" s="31" t="s">
        <v>785</v>
      </c>
      <c r="M305" s="32">
        <v>0.81</v>
      </c>
      <c r="N305" s="27" t="s">
        <v>33</v>
      </c>
      <c r="O305" s="27" t="s">
        <v>34</v>
      </c>
      <c r="P305" s="27" t="s">
        <v>123</v>
      </c>
      <c r="Q305" s="27" t="s">
        <v>332</v>
      </c>
      <c r="R305" s="33">
        <v>32771</v>
      </c>
      <c r="S305" s="34">
        <v>42030</v>
      </c>
      <c r="T305" s="34">
        <v>42031</v>
      </c>
      <c r="U305" s="29">
        <v>-333.42540000000002</v>
      </c>
      <c r="V305" s="26">
        <v>10</v>
      </c>
      <c r="W305" s="29">
        <v>318.83</v>
      </c>
      <c r="X305" s="26">
        <v>86899</v>
      </c>
      <c r="Y305" s="35">
        <v>4.9600000000000009</v>
      </c>
      <c r="Z305" s="1" t="s">
        <v>3011</v>
      </c>
      <c r="AA305" s="36">
        <v>32.479999999999997</v>
      </c>
      <c r="AB305" s="54">
        <v>60.577699999999979</v>
      </c>
      <c r="AC305" s="54">
        <v>25.825230000000001</v>
      </c>
      <c r="AD305" s="36">
        <v>584.77539999999999</v>
      </c>
    </row>
    <row r="306" spans="1:30" s="37" customFormat="1" ht="15.75" customHeight="1" x14ac:dyDescent="0.2">
      <c r="A306" s="26">
        <v>1360</v>
      </c>
      <c r="B306" s="27" t="s">
        <v>776</v>
      </c>
      <c r="C306" s="27" t="s">
        <v>38</v>
      </c>
      <c r="D306" s="28">
        <v>0.03</v>
      </c>
      <c r="E306" s="29">
        <v>14.34</v>
      </c>
      <c r="F306" s="29">
        <v>5</v>
      </c>
      <c r="G306" s="30" t="s">
        <v>39</v>
      </c>
      <c r="H306" s="27" t="s">
        <v>40</v>
      </c>
      <c r="I306" s="27" t="s">
        <v>29</v>
      </c>
      <c r="J306" s="27" t="s">
        <v>126</v>
      </c>
      <c r="K306" s="27" t="s">
        <v>43</v>
      </c>
      <c r="L306" s="31" t="s">
        <v>777</v>
      </c>
      <c r="M306" s="32">
        <v>0.49</v>
      </c>
      <c r="N306" s="27" t="s">
        <v>33</v>
      </c>
      <c r="O306" s="27" t="s">
        <v>53</v>
      </c>
      <c r="P306" s="27" t="s">
        <v>213</v>
      </c>
      <c r="Q306" s="27" t="s">
        <v>778</v>
      </c>
      <c r="R306" s="33">
        <v>52761</v>
      </c>
      <c r="S306" s="34">
        <v>42030</v>
      </c>
      <c r="T306" s="34">
        <v>42031</v>
      </c>
      <c r="U306" s="29">
        <v>82.310100000000006</v>
      </c>
      <c r="V306" s="26">
        <v>8</v>
      </c>
      <c r="W306" s="29">
        <v>119.29</v>
      </c>
      <c r="X306" s="26">
        <v>89595</v>
      </c>
      <c r="Y306" s="35">
        <v>3.53</v>
      </c>
      <c r="Z306" s="1" t="s">
        <v>3012</v>
      </c>
      <c r="AA306" s="36">
        <v>3.4415999999999998</v>
      </c>
      <c r="AB306" s="54">
        <v>60.837900000000005</v>
      </c>
      <c r="AC306" s="54">
        <v>7.3065125000000002</v>
      </c>
      <c r="AD306" s="36">
        <v>28.538300000000007</v>
      </c>
    </row>
    <row r="307" spans="1:30" s="37" customFormat="1" ht="15.75" customHeight="1" x14ac:dyDescent="0.2">
      <c r="A307" s="26">
        <v>3361</v>
      </c>
      <c r="B307" s="27" t="s">
        <v>810</v>
      </c>
      <c r="C307" s="27" t="s">
        <v>116</v>
      </c>
      <c r="D307" s="28">
        <v>0.04</v>
      </c>
      <c r="E307" s="29">
        <v>7.96</v>
      </c>
      <c r="F307" s="29">
        <v>4.95</v>
      </c>
      <c r="G307" s="30" t="s">
        <v>39</v>
      </c>
      <c r="H307" s="27" t="s">
        <v>71</v>
      </c>
      <c r="I307" s="27" t="s">
        <v>29</v>
      </c>
      <c r="J307" s="27" t="s">
        <v>126</v>
      </c>
      <c r="K307" s="27" t="s">
        <v>73</v>
      </c>
      <c r="L307" s="31" t="s">
        <v>811</v>
      </c>
      <c r="M307" s="32">
        <v>0.41</v>
      </c>
      <c r="N307" s="27" t="s">
        <v>33</v>
      </c>
      <c r="O307" s="27" t="s">
        <v>53</v>
      </c>
      <c r="P307" s="27" t="s">
        <v>357</v>
      </c>
      <c r="Q307" s="27" t="s">
        <v>812</v>
      </c>
      <c r="R307" s="33">
        <v>53095</v>
      </c>
      <c r="S307" s="34">
        <v>42030</v>
      </c>
      <c r="T307" s="34">
        <v>42030</v>
      </c>
      <c r="U307" s="29">
        <v>-7.73</v>
      </c>
      <c r="V307" s="26">
        <v>15</v>
      </c>
      <c r="W307" s="29">
        <v>116.11</v>
      </c>
      <c r="X307" s="26">
        <v>91436</v>
      </c>
      <c r="Y307" s="35">
        <v>200.94</v>
      </c>
      <c r="Z307" s="1" t="s">
        <v>3012</v>
      </c>
      <c r="AA307" s="36">
        <v>4.7759999999999998</v>
      </c>
      <c r="AB307" s="54">
        <v>68.504900000000006</v>
      </c>
      <c r="AC307" s="54">
        <v>3.1736733333333333</v>
      </c>
      <c r="AD307" s="36">
        <v>114.114</v>
      </c>
    </row>
    <row r="308" spans="1:30" s="37" customFormat="1" ht="15.75" customHeight="1" x14ac:dyDescent="0.2">
      <c r="A308" s="26">
        <v>3155</v>
      </c>
      <c r="B308" s="27" t="s">
        <v>642</v>
      </c>
      <c r="C308" s="27" t="s">
        <v>38</v>
      </c>
      <c r="D308" s="28">
        <v>0.03</v>
      </c>
      <c r="E308" s="29">
        <v>25.98</v>
      </c>
      <c r="F308" s="29">
        <v>14.36</v>
      </c>
      <c r="G308" s="30" t="s">
        <v>27</v>
      </c>
      <c r="H308" s="27" t="s">
        <v>94</v>
      </c>
      <c r="I308" s="27" t="s">
        <v>29</v>
      </c>
      <c r="J308" s="27" t="s">
        <v>109</v>
      </c>
      <c r="K308" s="27" t="s">
        <v>58</v>
      </c>
      <c r="L308" s="31" t="s">
        <v>784</v>
      </c>
      <c r="M308" s="32">
        <v>0.6</v>
      </c>
      <c r="N308" s="27" t="s">
        <v>33</v>
      </c>
      <c r="O308" s="27" t="s">
        <v>34</v>
      </c>
      <c r="P308" s="27" t="s">
        <v>123</v>
      </c>
      <c r="Q308" s="27" t="s">
        <v>332</v>
      </c>
      <c r="R308" s="33">
        <v>32771</v>
      </c>
      <c r="S308" s="34">
        <v>42030</v>
      </c>
      <c r="T308" s="34">
        <v>42031</v>
      </c>
      <c r="U308" s="29">
        <v>57.545999999999999</v>
      </c>
      <c r="V308" s="26">
        <v>4</v>
      </c>
      <c r="W308" s="29">
        <v>107.66</v>
      </c>
      <c r="X308" s="26">
        <v>86899</v>
      </c>
      <c r="Y308" s="35">
        <v>195.92000000000002</v>
      </c>
      <c r="Z308" s="1" t="s">
        <v>3011</v>
      </c>
      <c r="AA308" s="36">
        <v>3.1175999999999999</v>
      </c>
      <c r="AB308" s="54">
        <v>43.064</v>
      </c>
      <c r="AC308" s="54">
        <v>16.148999999999997</v>
      </c>
      <c r="AD308" s="36">
        <v>32.636399999999995</v>
      </c>
    </row>
    <row r="309" spans="1:30" s="37" customFormat="1" ht="15.75" customHeight="1" x14ac:dyDescent="0.2">
      <c r="A309" s="26">
        <v>1129</v>
      </c>
      <c r="B309" s="27" t="s">
        <v>786</v>
      </c>
      <c r="C309" s="27" t="s">
        <v>48</v>
      </c>
      <c r="D309" s="28">
        <v>0.02</v>
      </c>
      <c r="E309" s="29">
        <v>4.9800000000000004</v>
      </c>
      <c r="F309" s="29">
        <v>6.07</v>
      </c>
      <c r="G309" s="30" t="s">
        <v>39</v>
      </c>
      <c r="H309" s="27" t="s">
        <v>71</v>
      </c>
      <c r="I309" s="27" t="s">
        <v>49</v>
      </c>
      <c r="J309" s="27" t="s">
        <v>88</v>
      </c>
      <c r="K309" s="27" t="s">
        <v>73</v>
      </c>
      <c r="L309" s="31" t="s">
        <v>787</v>
      </c>
      <c r="M309" s="32">
        <v>0.36</v>
      </c>
      <c r="N309" s="27" t="s">
        <v>33</v>
      </c>
      <c r="O309" s="27" t="s">
        <v>111</v>
      </c>
      <c r="P309" s="27" t="s">
        <v>403</v>
      </c>
      <c r="Q309" s="27" t="s">
        <v>788</v>
      </c>
      <c r="R309" s="33">
        <v>2118</v>
      </c>
      <c r="S309" s="34">
        <v>42030</v>
      </c>
      <c r="T309" s="34">
        <v>42032</v>
      </c>
      <c r="U309" s="29">
        <v>-46.92</v>
      </c>
      <c r="V309" s="26">
        <v>19</v>
      </c>
      <c r="W309" s="29">
        <v>105.5</v>
      </c>
      <c r="X309" s="26">
        <v>57794</v>
      </c>
      <c r="Y309" s="35">
        <v>10.130000000000001</v>
      </c>
      <c r="Z309" s="1" t="s">
        <v>3014</v>
      </c>
      <c r="AA309" s="36">
        <v>1.8924000000000001</v>
      </c>
      <c r="AB309" s="54">
        <v>67.52</v>
      </c>
      <c r="AC309" s="54">
        <v>1.9989473684210524</v>
      </c>
      <c r="AD309" s="36">
        <v>144.45760000000001</v>
      </c>
    </row>
    <row r="310" spans="1:30" s="37" customFormat="1" ht="15.75" customHeight="1" x14ac:dyDescent="0.2">
      <c r="A310" s="26">
        <v>3307</v>
      </c>
      <c r="B310" s="27" t="s">
        <v>798</v>
      </c>
      <c r="C310" s="27" t="s">
        <v>48</v>
      </c>
      <c r="D310" s="28">
        <v>7.0000000000000007E-2</v>
      </c>
      <c r="E310" s="29">
        <v>16.739999999999998</v>
      </c>
      <c r="F310" s="29">
        <v>7.04</v>
      </c>
      <c r="G310" s="30" t="s">
        <v>39</v>
      </c>
      <c r="H310" s="27" t="s">
        <v>3095</v>
      </c>
      <c r="I310" s="27" t="s">
        <v>49</v>
      </c>
      <c r="J310" s="27" t="s">
        <v>78</v>
      </c>
      <c r="K310" s="27" t="s">
        <v>73</v>
      </c>
      <c r="L310" s="31" t="s">
        <v>799</v>
      </c>
      <c r="M310" s="32">
        <v>0.81</v>
      </c>
      <c r="N310" s="27" t="s">
        <v>33</v>
      </c>
      <c r="O310" s="27" t="s">
        <v>111</v>
      </c>
      <c r="P310" s="27" t="s">
        <v>403</v>
      </c>
      <c r="Q310" s="27" t="s">
        <v>800</v>
      </c>
      <c r="R310" s="33">
        <v>1001</v>
      </c>
      <c r="S310" s="34">
        <v>42030</v>
      </c>
      <c r="T310" s="34">
        <v>42037</v>
      </c>
      <c r="U310" s="29">
        <v>-114.2</v>
      </c>
      <c r="V310" s="26">
        <v>5</v>
      </c>
      <c r="W310" s="29">
        <v>80.58</v>
      </c>
      <c r="X310" s="26">
        <v>90462</v>
      </c>
      <c r="Y310" s="35">
        <v>16.669999999999998</v>
      </c>
      <c r="Z310" s="1" t="s">
        <v>3014</v>
      </c>
      <c r="AA310" s="36">
        <v>5.859</v>
      </c>
      <c r="AB310" s="54">
        <v>15.310199999999995</v>
      </c>
      <c r="AC310" s="54">
        <v>13.05396</v>
      </c>
      <c r="AD310" s="36">
        <v>181.881</v>
      </c>
    </row>
    <row r="311" spans="1:30" s="37" customFormat="1" ht="15.75" customHeight="1" x14ac:dyDescent="0.2">
      <c r="A311" s="26">
        <v>3311</v>
      </c>
      <c r="B311" s="27" t="s">
        <v>801</v>
      </c>
      <c r="C311" s="27" t="s">
        <v>48</v>
      </c>
      <c r="D311" s="28">
        <v>0.06</v>
      </c>
      <c r="E311" s="29">
        <v>6.45</v>
      </c>
      <c r="F311" s="29">
        <v>1.34</v>
      </c>
      <c r="G311" s="30" t="s">
        <v>39</v>
      </c>
      <c r="H311" s="27" t="s">
        <v>3095</v>
      </c>
      <c r="I311" s="27" t="s">
        <v>49</v>
      </c>
      <c r="J311" s="27" t="s">
        <v>88</v>
      </c>
      <c r="K311" s="27" t="s">
        <v>51</v>
      </c>
      <c r="L311" s="31" t="s">
        <v>486</v>
      </c>
      <c r="M311" s="32">
        <v>0.36</v>
      </c>
      <c r="N311" s="27" t="s">
        <v>33</v>
      </c>
      <c r="O311" s="27" t="s">
        <v>111</v>
      </c>
      <c r="P311" s="27" t="s">
        <v>403</v>
      </c>
      <c r="Q311" s="27" t="s">
        <v>802</v>
      </c>
      <c r="R311" s="33">
        <v>1890</v>
      </c>
      <c r="S311" s="34">
        <v>42030</v>
      </c>
      <c r="T311" s="34">
        <v>42035</v>
      </c>
      <c r="U311" s="29">
        <v>39.426600000000001</v>
      </c>
      <c r="V311" s="26">
        <v>9</v>
      </c>
      <c r="W311" s="29">
        <v>57.14</v>
      </c>
      <c r="X311" s="26">
        <v>90462</v>
      </c>
      <c r="Y311" s="35">
        <v>6.3900000000000006</v>
      </c>
      <c r="Z311" s="1" t="s">
        <v>3014</v>
      </c>
      <c r="AA311" s="36">
        <v>3.4830000000000001</v>
      </c>
      <c r="AB311" s="54">
        <v>36.569600000000001</v>
      </c>
      <c r="AC311" s="54">
        <v>2.2856000000000001</v>
      </c>
      <c r="AD311" s="36">
        <v>12.8904</v>
      </c>
    </row>
    <row r="312" spans="1:30" s="37" customFormat="1" ht="15.75" customHeight="1" x14ac:dyDescent="0.2">
      <c r="A312" s="26">
        <v>3000</v>
      </c>
      <c r="B312" s="27" t="s">
        <v>796</v>
      </c>
      <c r="C312" s="27" t="s">
        <v>48</v>
      </c>
      <c r="D312" s="28">
        <v>0.01</v>
      </c>
      <c r="E312" s="29">
        <v>10.14</v>
      </c>
      <c r="F312" s="29">
        <v>2.27</v>
      </c>
      <c r="G312" s="30" t="s">
        <v>39</v>
      </c>
      <c r="H312" s="27" t="s">
        <v>40</v>
      </c>
      <c r="I312" s="27" t="s">
        <v>49</v>
      </c>
      <c r="J312" s="27" t="s">
        <v>88</v>
      </c>
      <c r="K312" s="27" t="s">
        <v>51</v>
      </c>
      <c r="L312" s="31" t="s">
        <v>171</v>
      </c>
      <c r="M312" s="32">
        <v>0.36</v>
      </c>
      <c r="N312" s="27" t="s">
        <v>33</v>
      </c>
      <c r="O312" s="27" t="s">
        <v>53</v>
      </c>
      <c r="P312" s="27" t="s">
        <v>289</v>
      </c>
      <c r="Q312" s="27" t="s">
        <v>797</v>
      </c>
      <c r="R312" s="33">
        <v>48342</v>
      </c>
      <c r="S312" s="34">
        <v>42030</v>
      </c>
      <c r="T312" s="34">
        <v>42032</v>
      </c>
      <c r="U312" s="29">
        <v>28.152000000000001</v>
      </c>
      <c r="V312" s="26">
        <v>4</v>
      </c>
      <c r="W312" s="29">
        <v>40.799999999999997</v>
      </c>
      <c r="X312" s="26">
        <v>87042</v>
      </c>
      <c r="Y312" s="35">
        <v>122.94</v>
      </c>
      <c r="Z312" s="1" t="s">
        <v>3012</v>
      </c>
      <c r="AA312" s="36">
        <v>0.40560000000000002</v>
      </c>
      <c r="AB312" s="54">
        <v>26.111999999999998</v>
      </c>
      <c r="AC312" s="54">
        <v>3.6719999999999997</v>
      </c>
      <c r="AD312" s="36">
        <v>9.9723999999999968</v>
      </c>
    </row>
    <row r="313" spans="1:30" s="37" customFormat="1" ht="15.75" customHeight="1" x14ac:dyDescent="0.2">
      <c r="A313" s="26">
        <v>2795</v>
      </c>
      <c r="B313" s="27" t="s">
        <v>791</v>
      </c>
      <c r="C313" s="27" t="s">
        <v>48</v>
      </c>
      <c r="D313" s="28">
        <v>0.04</v>
      </c>
      <c r="E313" s="29">
        <v>3.57</v>
      </c>
      <c r="F313" s="29">
        <v>4.17</v>
      </c>
      <c r="G313" s="30" t="s">
        <v>39</v>
      </c>
      <c r="H313" s="27" t="s">
        <v>94</v>
      </c>
      <c r="I313" s="27" t="s">
        <v>49</v>
      </c>
      <c r="J313" s="27" t="s">
        <v>50</v>
      </c>
      <c r="K313" s="27" t="s">
        <v>43</v>
      </c>
      <c r="L313" s="31" t="s">
        <v>792</v>
      </c>
      <c r="M313" s="32">
        <v>0.59</v>
      </c>
      <c r="N313" s="27" t="s">
        <v>33</v>
      </c>
      <c r="O313" s="27" t="s">
        <v>53</v>
      </c>
      <c r="P313" s="27" t="s">
        <v>213</v>
      </c>
      <c r="Q313" s="27" t="s">
        <v>793</v>
      </c>
      <c r="R313" s="33">
        <v>50401</v>
      </c>
      <c r="S313" s="34">
        <v>42030</v>
      </c>
      <c r="T313" s="34">
        <v>42032</v>
      </c>
      <c r="U313" s="29">
        <v>-69.91</v>
      </c>
      <c r="V313" s="26">
        <v>8</v>
      </c>
      <c r="W313" s="29">
        <v>30.9</v>
      </c>
      <c r="X313" s="26">
        <v>87556</v>
      </c>
      <c r="Y313" s="35">
        <v>90.9</v>
      </c>
      <c r="Z313" s="1" t="s">
        <v>3012</v>
      </c>
      <c r="AA313" s="36">
        <v>1.1424000000000001</v>
      </c>
      <c r="AB313" s="54">
        <v>12.669</v>
      </c>
      <c r="AC313" s="54">
        <v>2.2788749999999998</v>
      </c>
      <c r="AD313" s="36">
        <v>95.497600000000006</v>
      </c>
    </row>
    <row r="314" spans="1:30" s="37" customFormat="1" ht="15.75" customHeight="1" x14ac:dyDescent="0.2">
      <c r="A314" s="26">
        <v>1133</v>
      </c>
      <c r="B314" s="27" t="s">
        <v>789</v>
      </c>
      <c r="C314" s="27" t="s">
        <v>48</v>
      </c>
      <c r="D314" s="28">
        <v>0.02</v>
      </c>
      <c r="E314" s="29">
        <v>4.9800000000000004</v>
      </c>
      <c r="F314" s="29">
        <v>6.07</v>
      </c>
      <c r="G314" s="30" t="s">
        <v>39</v>
      </c>
      <c r="H314" s="27" t="s">
        <v>71</v>
      </c>
      <c r="I314" s="27" t="s">
        <v>49</v>
      </c>
      <c r="J314" s="27" t="s">
        <v>88</v>
      </c>
      <c r="K314" s="27" t="s">
        <v>73</v>
      </c>
      <c r="L314" s="31" t="s">
        <v>787</v>
      </c>
      <c r="M314" s="32">
        <v>0.36</v>
      </c>
      <c r="N314" s="27" t="s">
        <v>33</v>
      </c>
      <c r="O314" s="27" t="s">
        <v>53</v>
      </c>
      <c r="P314" s="27" t="s">
        <v>187</v>
      </c>
      <c r="Q314" s="27" t="s">
        <v>790</v>
      </c>
      <c r="R314" s="33">
        <v>75234</v>
      </c>
      <c r="S314" s="34">
        <v>42030</v>
      </c>
      <c r="T314" s="34">
        <v>42032</v>
      </c>
      <c r="U314" s="29">
        <v>-46.92</v>
      </c>
      <c r="V314" s="26">
        <v>5</v>
      </c>
      <c r="W314" s="29">
        <v>27.76</v>
      </c>
      <c r="X314" s="26">
        <v>88105</v>
      </c>
      <c r="Y314" s="35">
        <v>5.91</v>
      </c>
      <c r="Z314" s="1" t="s">
        <v>3012</v>
      </c>
      <c r="AA314" s="36">
        <v>0.49800000000000005</v>
      </c>
      <c r="AB314" s="54">
        <v>17.766400000000001</v>
      </c>
      <c r="AC314" s="54">
        <v>1.9987200000000001</v>
      </c>
      <c r="AD314" s="36">
        <v>68.112000000000009</v>
      </c>
    </row>
    <row r="315" spans="1:30" s="37" customFormat="1" ht="15.75" customHeight="1" x14ac:dyDescent="0.2">
      <c r="A315" s="26">
        <v>1946</v>
      </c>
      <c r="B315" s="27" t="s">
        <v>806</v>
      </c>
      <c r="C315" s="27" t="s">
        <v>116</v>
      </c>
      <c r="D315" s="28">
        <v>7.0000000000000007E-2</v>
      </c>
      <c r="E315" s="29">
        <v>5.98</v>
      </c>
      <c r="F315" s="29">
        <v>5.35</v>
      </c>
      <c r="G315" s="30" t="s">
        <v>39</v>
      </c>
      <c r="H315" s="27" t="s">
        <v>40</v>
      </c>
      <c r="I315" s="27" t="s">
        <v>49</v>
      </c>
      <c r="J315" s="27" t="s">
        <v>88</v>
      </c>
      <c r="K315" s="27" t="s">
        <v>73</v>
      </c>
      <c r="L315" s="31" t="s">
        <v>809</v>
      </c>
      <c r="M315" s="32">
        <v>0.4</v>
      </c>
      <c r="N315" s="27" t="s">
        <v>33</v>
      </c>
      <c r="O315" s="27" t="s">
        <v>111</v>
      </c>
      <c r="P315" s="27" t="s">
        <v>320</v>
      </c>
      <c r="Q315" s="27" t="s">
        <v>808</v>
      </c>
      <c r="R315" s="33">
        <v>15228</v>
      </c>
      <c r="S315" s="34">
        <v>42030</v>
      </c>
      <c r="T315" s="34">
        <v>42032</v>
      </c>
      <c r="U315" s="29">
        <v>-37.175199999999997</v>
      </c>
      <c r="V315" s="26">
        <v>3</v>
      </c>
      <c r="W315" s="29">
        <v>18.309999999999999</v>
      </c>
      <c r="X315" s="26">
        <v>86331</v>
      </c>
      <c r="Y315" s="35">
        <v>7.92</v>
      </c>
      <c r="Z315" s="1" t="s">
        <v>3014</v>
      </c>
      <c r="AA315" s="36">
        <v>1.2558000000000002</v>
      </c>
      <c r="AB315" s="54">
        <v>10.985999999999999</v>
      </c>
      <c r="AC315" s="54">
        <v>2.4413333333333331</v>
      </c>
      <c r="AD315" s="36">
        <v>48.87939999999999</v>
      </c>
    </row>
    <row r="316" spans="1:30" s="37" customFormat="1" ht="15.75" customHeight="1" x14ac:dyDescent="0.2">
      <c r="A316" s="26">
        <v>1361</v>
      </c>
      <c r="B316" s="27" t="s">
        <v>779</v>
      </c>
      <c r="C316" s="27" t="s">
        <v>38</v>
      </c>
      <c r="D316" s="28">
        <v>0.01</v>
      </c>
      <c r="E316" s="29">
        <v>2.89</v>
      </c>
      <c r="F316" s="29">
        <v>0.5</v>
      </c>
      <c r="G316" s="30" t="s">
        <v>39</v>
      </c>
      <c r="H316" s="27" t="s">
        <v>40</v>
      </c>
      <c r="I316" s="27" t="s">
        <v>49</v>
      </c>
      <c r="J316" s="27" t="s">
        <v>152</v>
      </c>
      <c r="K316" s="27" t="s">
        <v>73</v>
      </c>
      <c r="L316" s="31" t="s">
        <v>729</v>
      </c>
      <c r="M316" s="32">
        <v>0.38</v>
      </c>
      <c r="N316" s="27" t="s">
        <v>33</v>
      </c>
      <c r="O316" s="27" t="s">
        <v>53</v>
      </c>
      <c r="P316" s="27" t="s">
        <v>289</v>
      </c>
      <c r="Q316" s="27" t="s">
        <v>780</v>
      </c>
      <c r="R316" s="33">
        <v>48101</v>
      </c>
      <c r="S316" s="34">
        <v>42030</v>
      </c>
      <c r="T316" s="34">
        <v>42032</v>
      </c>
      <c r="U316" s="29">
        <v>1.2236</v>
      </c>
      <c r="V316" s="26">
        <v>1</v>
      </c>
      <c r="W316" s="29">
        <v>3.08</v>
      </c>
      <c r="X316" s="26">
        <v>89595</v>
      </c>
      <c r="Y316" s="35">
        <v>207.39</v>
      </c>
      <c r="Z316" s="1" t="s">
        <v>3012</v>
      </c>
      <c r="AA316" s="36">
        <v>2.8900000000000002E-2</v>
      </c>
      <c r="AB316" s="54">
        <v>1.9096</v>
      </c>
      <c r="AC316" s="54">
        <v>1.1704000000000001</v>
      </c>
      <c r="AD316" s="36">
        <v>1.3275000000000001</v>
      </c>
    </row>
    <row r="317" spans="1:30" s="37" customFormat="1" ht="15.75" customHeight="1" x14ac:dyDescent="0.2">
      <c r="A317" s="26">
        <v>2281</v>
      </c>
      <c r="B317" s="27" t="s">
        <v>837</v>
      </c>
      <c r="C317" s="27" t="s">
        <v>3094</v>
      </c>
      <c r="D317" s="28">
        <v>0.08</v>
      </c>
      <c r="E317" s="29">
        <v>205.99</v>
      </c>
      <c r="F317" s="29">
        <v>2.5</v>
      </c>
      <c r="G317" s="30" t="s">
        <v>39</v>
      </c>
      <c r="H317" s="27" t="s">
        <v>71</v>
      </c>
      <c r="I317" s="27" t="s">
        <v>41</v>
      </c>
      <c r="J317" s="27" t="s">
        <v>135</v>
      </c>
      <c r="K317" s="27" t="s">
        <v>73</v>
      </c>
      <c r="L317" s="31" t="s">
        <v>838</v>
      </c>
      <c r="M317" s="32">
        <v>0.59</v>
      </c>
      <c r="N317" s="27" t="s">
        <v>33</v>
      </c>
      <c r="O317" s="27" t="s">
        <v>53</v>
      </c>
      <c r="P317" s="27" t="s">
        <v>357</v>
      </c>
      <c r="Q317" s="27" t="s">
        <v>839</v>
      </c>
      <c r="R317" s="33">
        <v>54703</v>
      </c>
      <c r="S317" s="34">
        <v>42031</v>
      </c>
      <c r="T317" s="34">
        <v>42032</v>
      </c>
      <c r="U317" s="29">
        <v>997.38144</v>
      </c>
      <c r="V317" s="26">
        <v>10</v>
      </c>
      <c r="W317" s="29">
        <v>1610.84</v>
      </c>
      <c r="X317" s="26">
        <v>85948</v>
      </c>
      <c r="Y317" s="35">
        <v>11.940000000000001</v>
      </c>
      <c r="Z317" s="1" t="s">
        <v>3012</v>
      </c>
      <c r="AA317" s="36">
        <v>164.79200000000003</v>
      </c>
      <c r="AB317" s="54">
        <v>660.44439999999997</v>
      </c>
      <c r="AC317" s="54">
        <v>95.039559999999994</v>
      </c>
      <c r="AD317" s="36">
        <v>446.16655999999989</v>
      </c>
    </row>
    <row r="318" spans="1:30" s="37" customFormat="1" ht="15.75" customHeight="1" x14ac:dyDescent="0.2">
      <c r="A318" s="26">
        <v>1351</v>
      </c>
      <c r="B318" s="27" t="s">
        <v>834</v>
      </c>
      <c r="C318" s="27" t="s">
        <v>3094</v>
      </c>
      <c r="D318" s="28">
        <v>0.1</v>
      </c>
      <c r="E318" s="29">
        <v>110.99</v>
      </c>
      <c r="F318" s="29">
        <v>8.99</v>
      </c>
      <c r="G318" s="30" t="s">
        <v>87</v>
      </c>
      <c r="H318" s="27" t="s">
        <v>71</v>
      </c>
      <c r="I318" s="27" t="s">
        <v>41</v>
      </c>
      <c r="J318" s="27" t="s">
        <v>135</v>
      </c>
      <c r="K318" s="27" t="s">
        <v>73</v>
      </c>
      <c r="L318" s="31" t="s">
        <v>835</v>
      </c>
      <c r="M318" s="32">
        <v>0.56999999999999995</v>
      </c>
      <c r="N318" s="27" t="s">
        <v>33</v>
      </c>
      <c r="O318" s="27" t="s">
        <v>34</v>
      </c>
      <c r="P318" s="27" t="s">
        <v>123</v>
      </c>
      <c r="Q318" s="27" t="s">
        <v>836</v>
      </c>
      <c r="R318" s="33">
        <v>33063</v>
      </c>
      <c r="S318" s="34">
        <v>42031</v>
      </c>
      <c r="T318" s="34">
        <v>42033</v>
      </c>
      <c r="U318" s="29">
        <v>3285.48</v>
      </c>
      <c r="V318" s="26">
        <v>7</v>
      </c>
      <c r="W318" s="29">
        <v>627.78</v>
      </c>
      <c r="X318" s="26">
        <v>88232</v>
      </c>
      <c r="Y318" s="35">
        <v>2.85</v>
      </c>
      <c r="Z318" s="1" t="s">
        <v>3011</v>
      </c>
      <c r="AA318" s="36">
        <v>77.692999999999998</v>
      </c>
      <c r="AB318" s="54">
        <v>269.94540000000001</v>
      </c>
      <c r="AC318" s="54">
        <v>51.119228571428572</v>
      </c>
      <c r="AD318" s="36">
        <v>-2744.3829999999998</v>
      </c>
    </row>
    <row r="319" spans="1:30" s="37" customFormat="1" ht="15.75" customHeight="1" x14ac:dyDescent="0.2">
      <c r="A319" s="26">
        <v>898</v>
      </c>
      <c r="B319" s="27" t="s">
        <v>424</v>
      </c>
      <c r="C319" s="27" t="s">
        <v>3094</v>
      </c>
      <c r="D319" s="28">
        <v>0.02</v>
      </c>
      <c r="E319" s="29">
        <v>12.53</v>
      </c>
      <c r="F319" s="29">
        <v>0.49</v>
      </c>
      <c r="G319" s="30" t="s">
        <v>39</v>
      </c>
      <c r="H319" s="27" t="s">
        <v>3095</v>
      </c>
      <c r="I319" s="27" t="s">
        <v>49</v>
      </c>
      <c r="J319" s="27" t="s">
        <v>152</v>
      </c>
      <c r="K319" s="27" t="s">
        <v>73</v>
      </c>
      <c r="L319" s="31" t="s">
        <v>153</v>
      </c>
      <c r="M319" s="32">
        <v>0.38</v>
      </c>
      <c r="N319" s="27" t="s">
        <v>33</v>
      </c>
      <c r="O319" s="27" t="s">
        <v>111</v>
      </c>
      <c r="P319" s="27" t="s">
        <v>112</v>
      </c>
      <c r="Q319" s="27" t="s">
        <v>113</v>
      </c>
      <c r="R319" s="33">
        <v>10039</v>
      </c>
      <c r="S319" s="34">
        <v>42031</v>
      </c>
      <c r="T319" s="34">
        <v>42031</v>
      </c>
      <c r="U319" s="29">
        <v>263.39999999999998</v>
      </c>
      <c r="V319" s="26">
        <v>47</v>
      </c>
      <c r="W319" s="29">
        <v>594.44000000000005</v>
      </c>
      <c r="X319" s="26">
        <v>9606</v>
      </c>
      <c r="Y319" s="35">
        <v>43.949999999999996</v>
      </c>
      <c r="Z319" s="1" t="s">
        <v>3014</v>
      </c>
      <c r="AA319" s="36">
        <v>11.7782</v>
      </c>
      <c r="AB319" s="54">
        <v>368.55280000000005</v>
      </c>
      <c r="AC319" s="54">
        <v>4.8061106382978727</v>
      </c>
      <c r="AD319" s="36">
        <v>318.77180000000004</v>
      </c>
    </row>
    <row r="320" spans="1:30" s="37" customFormat="1" ht="15.75" customHeight="1" x14ac:dyDescent="0.2">
      <c r="A320" s="26">
        <v>2980</v>
      </c>
      <c r="B320" s="27" t="s">
        <v>821</v>
      </c>
      <c r="C320" s="27" t="s">
        <v>26</v>
      </c>
      <c r="D320" s="28">
        <v>0.03</v>
      </c>
      <c r="E320" s="29">
        <v>43.98</v>
      </c>
      <c r="F320" s="29">
        <v>8.99</v>
      </c>
      <c r="G320" s="30" t="s">
        <v>39</v>
      </c>
      <c r="H320" s="27" t="s">
        <v>94</v>
      </c>
      <c r="I320" s="27" t="s">
        <v>49</v>
      </c>
      <c r="J320" s="27" t="s">
        <v>50</v>
      </c>
      <c r="K320" s="27" t="s">
        <v>43</v>
      </c>
      <c r="L320" s="31" t="s">
        <v>822</v>
      </c>
      <c r="M320" s="32">
        <v>0.57999999999999996</v>
      </c>
      <c r="N320" s="27" t="s">
        <v>33</v>
      </c>
      <c r="O320" s="27" t="s">
        <v>111</v>
      </c>
      <c r="P320" s="27" t="s">
        <v>317</v>
      </c>
      <c r="Q320" s="27" t="s">
        <v>823</v>
      </c>
      <c r="R320" s="33">
        <v>44870</v>
      </c>
      <c r="S320" s="34">
        <v>42031</v>
      </c>
      <c r="T320" s="34">
        <v>42033</v>
      </c>
      <c r="U320" s="29">
        <v>274.0788</v>
      </c>
      <c r="V320" s="26">
        <v>10</v>
      </c>
      <c r="W320" s="29">
        <v>454.4</v>
      </c>
      <c r="X320" s="26">
        <v>86544</v>
      </c>
      <c r="Y320" s="35">
        <v>1.0799999999999998</v>
      </c>
      <c r="Z320" s="1" t="s">
        <v>3014</v>
      </c>
      <c r="AA320" s="36">
        <v>13.193999999999999</v>
      </c>
      <c r="AB320" s="54">
        <v>190.84800000000001</v>
      </c>
      <c r="AC320" s="54">
        <v>26.355199999999996</v>
      </c>
      <c r="AD320" s="36">
        <v>158.13719999999995</v>
      </c>
    </row>
    <row r="321" spans="1:30" s="37" customFormat="1" ht="15.75" customHeight="1" x14ac:dyDescent="0.2">
      <c r="A321" s="26">
        <v>898</v>
      </c>
      <c r="B321" s="27" t="s">
        <v>424</v>
      </c>
      <c r="C321" s="27" t="s">
        <v>3094</v>
      </c>
      <c r="D321" s="28">
        <v>7.0000000000000007E-2</v>
      </c>
      <c r="E321" s="29">
        <v>5.18</v>
      </c>
      <c r="F321" s="29">
        <v>2.04</v>
      </c>
      <c r="G321" s="30" t="s">
        <v>87</v>
      </c>
      <c r="H321" s="27" t="s">
        <v>3095</v>
      </c>
      <c r="I321" s="27" t="s">
        <v>49</v>
      </c>
      <c r="J321" s="27" t="s">
        <v>88</v>
      </c>
      <c r="K321" s="27" t="s">
        <v>51</v>
      </c>
      <c r="L321" s="31" t="s">
        <v>833</v>
      </c>
      <c r="M321" s="32">
        <v>0.36</v>
      </c>
      <c r="N321" s="27" t="s">
        <v>33</v>
      </c>
      <c r="O321" s="27" t="s">
        <v>111</v>
      </c>
      <c r="P321" s="27" t="s">
        <v>112</v>
      </c>
      <c r="Q321" s="27" t="s">
        <v>113</v>
      </c>
      <c r="R321" s="33">
        <v>10039</v>
      </c>
      <c r="S321" s="34">
        <v>42031</v>
      </c>
      <c r="T321" s="34">
        <v>42033</v>
      </c>
      <c r="U321" s="29">
        <v>37.31</v>
      </c>
      <c r="V321" s="26">
        <v>44</v>
      </c>
      <c r="W321" s="29">
        <v>228.5</v>
      </c>
      <c r="X321" s="26">
        <v>9606</v>
      </c>
      <c r="Y321" s="35">
        <v>6.2</v>
      </c>
      <c r="Z321" s="1" t="s">
        <v>3014</v>
      </c>
      <c r="AA321" s="36">
        <v>15.954400000000001</v>
      </c>
      <c r="AB321" s="54">
        <v>146.24</v>
      </c>
      <c r="AC321" s="54">
        <v>1.8695454545454546</v>
      </c>
      <c r="AD321" s="36">
        <v>173.19560000000001</v>
      </c>
    </row>
    <row r="322" spans="1:30" s="37" customFormat="1" ht="15.75" customHeight="1" x14ac:dyDescent="0.2">
      <c r="A322" s="26">
        <v>899</v>
      </c>
      <c r="B322" s="27" t="s">
        <v>426</v>
      </c>
      <c r="C322" s="27" t="s">
        <v>3094</v>
      </c>
      <c r="D322" s="28">
        <v>0.02</v>
      </c>
      <c r="E322" s="29">
        <v>12.53</v>
      </c>
      <c r="F322" s="29">
        <v>0.49</v>
      </c>
      <c r="G322" s="30" t="s">
        <v>39</v>
      </c>
      <c r="H322" s="27" t="s">
        <v>3095</v>
      </c>
      <c r="I322" s="27" t="s">
        <v>49</v>
      </c>
      <c r="J322" s="27" t="s">
        <v>152</v>
      </c>
      <c r="K322" s="27" t="s">
        <v>73</v>
      </c>
      <c r="L322" s="31" t="s">
        <v>153</v>
      </c>
      <c r="M322" s="32">
        <v>0.38</v>
      </c>
      <c r="N322" s="27" t="s">
        <v>33</v>
      </c>
      <c r="O322" s="27" t="s">
        <v>111</v>
      </c>
      <c r="P322" s="27" t="s">
        <v>320</v>
      </c>
      <c r="Q322" s="27" t="s">
        <v>427</v>
      </c>
      <c r="R322" s="33">
        <v>16602</v>
      </c>
      <c r="S322" s="34">
        <v>42031</v>
      </c>
      <c r="T322" s="34">
        <v>42031</v>
      </c>
      <c r="U322" s="29">
        <v>104.7213</v>
      </c>
      <c r="V322" s="26">
        <v>12</v>
      </c>
      <c r="W322" s="29">
        <v>151.77000000000001</v>
      </c>
      <c r="X322" s="26">
        <v>86264</v>
      </c>
      <c r="Y322" s="35">
        <v>2.86</v>
      </c>
      <c r="Z322" s="1" t="s">
        <v>3014</v>
      </c>
      <c r="AA322" s="36">
        <v>3.0072000000000001</v>
      </c>
      <c r="AB322" s="54">
        <v>94.097400000000007</v>
      </c>
      <c r="AC322" s="54">
        <v>4.8060500000000008</v>
      </c>
      <c r="AD322" s="36">
        <v>43.551500000000019</v>
      </c>
    </row>
    <row r="323" spans="1:30" s="37" customFormat="1" ht="15.75" customHeight="1" x14ac:dyDescent="0.2">
      <c r="A323" s="26">
        <v>3347</v>
      </c>
      <c r="B323" s="27" t="s">
        <v>265</v>
      </c>
      <c r="C323" s="27" t="s">
        <v>116</v>
      </c>
      <c r="D323" s="28">
        <v>0.02</v>
      </c>
      <c r="E323" s="29">
        <v>110.99</v>
      </c>
      <c r="F323" s="29">
        <v>2.5</v>
      </c>
      <c r="G323" s="30" t="s">
        <v>39</v>
      </c>
      <c r="H323" s="27" t="s">
        <v>40</v>
      </c>
      <c r="I323" s="27" t="s">
        <v>41</v>
      </c>
      <c r="J323" s="27" t="s">
        <v>135</v>
      </c>
      <c r="K323" s="27" t="s">
        <v>73</v>
      </c>
      <c r="L323" s="31" t="s">
        <v>136</v>
      </c>
      <c r="M323" s="32">
        <v>0.56999999999999995</v>
      </c>
      <c r="N323" s="27" t="s">
        <v>33</v>
      </c>
      <c r="O323" s="27" t="s">
        <v>34</v>
      </c>
      <c r="P323" s="27" t="s">
        <v>123</v>
      </c>
      <c r="Q323" s="27" t="s">
        <v>267</v>
      </c>
      <c r="R323" s="33">
        <v>33411</v>
      </c>
      <c r="S323" s="34">
        <v>42031</v>
      </c>
      <c r="T323" s="34">
        <v>42033</v>
      </c>
      <c r="U323" s="29">
        <v>-39.808999999999997</v>
      </c>
      <c r="V323" s="26">
        <v>1</v>
      </c>
      <c r="W323" s="29">
        <v>94.3</v>
      </c>
      <c r="X323" s="26">
        <v>89356</v>
      </c>
      <c r="Y323" s="35">
        <v>110.97</v>
      </c>
      <c r="Z323" s="1" t="s">
        <v>3011</v>
      </c>
      <c r="AA323" s="36">
        <v>2.2197999999999998</v>
      </c>
      <c r="AB323" s="54">
        <v>40.549000000000007</v>
      </c>
      <c r="AC323" s="54">
        <v>53.750999999999991</v>
      </c>
      <c r="AD323" s="36">
        <v>129.38919999999999</v>
      </c>
    </row>
    <row r="324" spans="1:30" s="37" customFormat="1" ht="15.75" customHeight="1" x14ac:dyDescent="0.2">
      <c r="A324" s="26">
        <v>483</v>
      </c>
      <c r="B324" s="27" t="s">
        <v>815</v>
      </c>
      <c r="C324" s="27" t="s">
        <v>26</v>
      </c>
      <c r="D324" s="28">
        <v>0.03</v>
      </c>
      <c r="E324" s="29">
        <v>11.97</v>
      </c>
      <c r="F324" s="29">
        <v>4.9800000000000004</v>
      </c>
      <c r="G324" s="30" t="s">
        <v>39</v>
      </c>
      <c r="H324" s="27" t="s">
        <v>94</v>
      </c>
      <c r="I324" s="27" t="s">
        <v>49</v>
      </c>
      <c r="J324" s="27" t="s">
        <v>95</v>
      </c>
      <c r="K324" s="27" t="s">
        <v>73</v>
      </c>
      <c r="L324" s="31" t="s">
        <v>816</v>
      </c>
      <c r="M324" s="32">
        <v>0.57999999999999996</v>
      </c>
      <c r="N324" s="27" t="s">
        <v>33</v>
      </c>
      <c r="O324" s="27" t="s">
        <v>53</v>
      </c>
      <c r="P324" s="27" t="s">
        <v>103</v>
      </c>
      <c r="Q324" s="27" t="s">
        <v>817</v>
      </c>
      <c r="R324" s="33">
        <v>60543</v>
      </c>
      <c r="S324" s="34">
        <v>42031</v>
      </c>
      <c r="T324" s="34">
        <v>42032</v>
      </c>
      <c r="U324" s="29">
        <v>-18.190000000000001</v>
      </c>
      <c r="V324" s="26">
        <v>6</v>
      </c>
      <c r="W324" s="29">
        <v>73.180000000000007</v>
      </c>
      <c r="X324" s="26">
        <v>90353</v>
      </c>
      <c r="Y324" s="35">
        <v>1.72</v>
      </c>
      <c r="Z324" s="1" t="s">
        <v>3012</v>
      </c>
      <c r="AA324" s="36">
        <v>2.1546000000000003</v>
      </c>
      <c r="AB324" s="54">
        <v>30.735600000000005</v>
      </c>
      <c r="AC324" s="54">
        <v>7.0740666666666661</v>
      </c>
      <c r="AD324" s="36">
        <v>84.235400000000013</v>
      </c>
    </row>
    <row r="325" spans="1:30" s="37" customFormat="1" ht="15.75" customHeight="1" x14ac:dyDescent="0.2">
      <c r="A325" s="26">
        <v>2254</v>
      </c>
      <c r="B325" s="27" t="s">
        <v>825</v>
      </c>
      <c r="C325" s="27" t="s">
        <v>48</v>
      </c>
      <c r="D325" s="28">
        <v>0.1</v>
      </c>
      <c r="E325" s="29">
        <v>6.3</v>
      </c>
      <c r="F325" s="29">
        <v>0.5</v>
      </c>
      <c r="G325" s="30" t="s">
        <v>39</v>
      </c>
      <c r="H325" s="27" t="s">
        <v>94</v>
      </c>
      <c r="I325" s="27" t="s">
        <v>49</v>
      </c>
      <c r="J325" s="27" t="s">
        <v>152</v>
      </c>
      <c r="K325" s="27" t="s">
        <v>73</v>
      </c>
      <c r="L325" s="31" t="s">
        <v>826</v>
      </c>
      <c r="M325" s="32">
        <v>0.39</v>
      </c>
      <c r="N325" s="27" t="s">
        <v>33</v>
      </c>
      <c r="O325" s="27" t="s">
        <v>34</v>
      </c>
      <c r="P325" s="27" t="s">
        <v>388</v>
      </c>
      <c r="Q325" s="27" t="s">
        <v>827</v>
      </c>
      <c r="R325" s="33">
        <v>42003</v>
      </c>
      <c r="S325" s="34">
        <v>42031</v>
      </c>
      <c r="T325" s="34">
        <v>42036</v>
      </c>
      <c r="U325" s="29">
        <v>-464.28199999999998</v>
      </c>
      <c r="V325" s="26">
        <v>12</v>
      </c>
      <c r="W325" s="29">
        <v>68.72</v>
      </c>
      <c r="X325" s="26">
        <v>89278</v>
      </c>
      <c r="Y325" s="35">
        <v>12.51</v>
      </c>
      <c r="Z325" s="1" t="s">
        <v>3011</v>
      </c>
      <c r="AA325" s="36">
        <v>7.5600000000000005</v>
      </c>
      <c r="AB325" s="54">
        <v>41.919199999999996</v>
      </c>
      <c r="AC325" s="54">
        <v>2.2334000000000001</v>
      </c>
      <c r="AD325" s="36">
        <v>524.94200000000001</v>
      </c>
    </row>
    <row r="326" spans="1:30" s="37" customFormat="1" ht="15.75" customHeight="1" x14ac:dyDescent="0.2">
      <c r="A326" s="26">
        <v>899</v>
      </c>
      <c r="B326" s="27" t="s">
        <v>426</v>
      </c>
      <c r="C326" s="27" t="s">
        <v>3094</v>
      </c>
      <c r="D326" s="28">
        <v>7.0000000000000007E-2</v>
      </c>
      <c r="E326" s="29">
        <v>5.18</v>
      </c>
      <c r="F326" s="29">
        <v>2.04</v>
      </c>
      <c r="G326" s="30" t="s">
        <v>87</v>
      </c>
      <c r="H326" s="27" t="s">
        <v>3095</v>
      </c>
      <c r="I326" s="27" t="s">
        <v>49</v>
      </c>
      <c r="J326" s="27" t="s">
        <v>88</v>
      </c>
      <c r="K326" s="27" t="s">
        <v>51</v>
      </c>
      <c r="L326" s="31" t="s">
        <v>833</v>
      </c>
      <c r="M326" s="32">
        <v>0.36</v>
      </c>
      <c r="N326" s="27" t="s">
        <v>33</v>
      </c>
      <c r="O326" s="27" t="s">
        <v>111</v>
      </c>
      <c r="P326" s="27" t="s">
        <v>320</v>
      </c>
      <c r="Q326" s="27" t="s">
        <v>427</v>
      </c>
      <c r="R326" s="33">
        <v>16602</v>
      </c>
      <c r="S326" s="34">
        <v>42031</v>
      </c>
      <c r="T326" s="34">
        <v>42033</v>
      </c>
      <c r="U326" s="29">
        <v>37.31</v>
      </c>
      <c r="V326" s="26">
        <v>11</v>
      </c>
      <c r="W326" s="29">
        <v>57.13</v>
      </c>
      <c r="X326" s="26">
        <v>86264</v>
      </c>
      <c r="Y326" s="35">
        <v>5.1099999999999994</v>
      </c>
      <c r="Z326" s="1" t="s">
        <v>3014</v>
      </c>
      <c r="AA326" s="36">
        <v>3.9886000000000004</v>
      </c>
      <c r="AB326" s="54">
        <v>36.563200000000002</v>
      </c>
      <c r="AC326" s="54">
        <v>1.869709090909091</v>
      </c>
      <c r="AD326" s="36">
        <v>13.791400000000003</v>
      </c>
    </row>
    <row r="327" spans="1:30" s="37" customFormat="1" ht="15.75" customHeight="1" x14ac:dyDescent="0.2">
      <c r="A327" s="26">
        <v>2178</v>
      </c>
      <c r="B327" s="27" t="s">
        <v>828</v>
      </c>
      <c r="C327" s="27" t="s">
        <v>116</v>
      </c>
      <c r="D327" s="28">
        <v>0.08</v>
      </c>
      <c r="E327" s="29">
        <v>2.94</v>
      </c>
      <c r="F327" s="29">
        <v>0.96</v>
      </c>
      <c r="G327" s="30" t="s">
        <v>39</v>
      </c>
      <c r="H327" s="27" t="s">
        <v>3095</v>
      </c>
      <c r="I327" s="27" t="s">
        <v>49</v>
      </c>
      <c r="J327" s="27" t="s">
        <v>50</v>
      </c>
      <c r="K327" s="27" t="s">
        <v>51</v>
      </c>
      <c r="L327" s="31" t="s">
        <v>829</v>
      </c>
      <c r="M327" s="32">
        <v>0.57999999999999996</v>
      </c>
      <c r="N327" s="27" t="s">
        <v>33</v>
      </c>
      <c r="O327" s="27" t="s">
        <v>111</v>
      </c>
      <c r="P327" s="27" t="s">
        <v>403</v>
      </c>
      <c r="Q327" s="27" t="s">
        <v>830</v>
      </c>
      <c r="R327" s="33">
        <v>1610</v>
      </c>
      <c r="S327" s="34">
        <v>42031</v>
      </c>
      <c r="T327" s="34">
        <v>42033</v>
      </c>
      <c r="U327" s="29">
        <v>-1.18</v>
      </c>
      <c r="V327" s="26">
        <v>9</v>
      </c>
      <c r="W327" s="29">
        <v>25.35</v>
      </c>
      <c r="X327" s="26">
        <v>89465</v>
      </c>
      <c r="Y327" s="35">
        <v>12.51</v>
      </c>
      <c r="Z327" s="1" t="s">
        <v>3014</v>
      </c>
      <c r="AA327" s="36">
        <v>2.1168</v>
      </c>
      <c r="AB327" s="54">
        <v>10.647000000000002</v>
      </c>
      <c r="AC327" s="54">
        <v>1.6336666666666666</v>
      </c>
      <c r="AD327" s="36">
        <v>23.453200000000002</v>
      </c>
    </row>
    <row r="328" spans="1:30" s="37" customFormat="1" ht="15.75" customHeight="1" x14ac:dyDescent="0.2">
      <c r="A328" s="26">
        <v>2979</v>
      </c>
      <c r="B328" s="27" t="s">
        <v>818</v>
      </c>
      <c r="C328" s="27" t="s">
        <v>26</v>
      </c>
      <c r="D328" s="28">
        <v>0.09</v>
      </c>
      <c r="E328" s="29">
        <v>2.94</v>
      </c>
      <c r="F328" s="29">
        <v>0.7</v>
      </c>
      <c r="G328" s="30" t="s">
        <v>39</v>
      </c>
      <c r="H328" s="27" t="s">
        <v>94</v>
      </c>
      <c r="I328" s="27" t="s">
        <v>49</v>
      </c>
      <c r="J328" s="27" t="s">
        <v>50</v>
      </c>
      <c r="K328" s="27" t="s">
        <v>51</v>
      </c>
      <c r="L328" s="31" t="s">
        <v>819</v>
      </c>
      <c r="M328" s="32">
        <v>0.57999999999999996</v>
      </c>
      <c r="N328" s="27" t="s">
        <v>33</v>
      </c>
      <c r="O328" s="27" t="s">
        <v>53</v>
      </c>
      <c r="P328" s="27" t="s">
        <v>565</v>
      </c>
      <c r="Q328" s="27" t="s">
        <v>820</v>
      </c>
      <c r="R328" s="33">
        <v>58601</v>
      </c>
      <c r="S328" s="34">
        <v>42031</v>
      </c>
      <c r="T328" s="34">
        <v>42032</v>
      </c>
      <c r="U328" s="29">
        <v>6.3840000000000003</v>
      </c>
      <c r="V328" s="26">
        <v>9</v>
      </c>
      <c r="W328" s="29">
        <v>25.22</v>
      </c>
      <c r="X328" s="26">
        <v>86544</v>
      </c>
      <c r="Y328" s="35">
        <v>5.1099999999999994</v>
      </c>
      <c r="Z328" s="1" t="s">
        <v>3012</v>
      </c>
      <c r="AA328" s="36">
        <v>2.3814000000000002</v>
      </c>
      <c r="AB328" s="54">
        <v>10.592400000000001</v>
      </c>
      <c r="AC328" s="54">
        <v>1.6252888888888886</v>
      </c>
      <c r="AD328" s="36">
        <v>15.754599999999998</v>
      </c>
    </row>
    <row r="329" spans="1:30" s="37" customFormat="1" ht="15.75" customHeight="1" x14ac:dyDescent="0.2">
      <c r="A329" s="26">
        <v>2980</v>
      </c>
      <c r="B329" s="27" t="s">
        <v>821</v>
      </c>
      <c r="C329" s="27" t="s">
        <v>26</v>
      </c>
      <c r="D329" s="28">
        <v>0.06</v>
      </c>
      <c r="E329" s="29">
        <v>1.1399999999999999</v>
      </c>
      <c r="F329" s="29">
        <v>0.7</v>
      </c>
      <c r="G329" s="30" t="s">
        <v>39</v>
      </c>
      <c r="H329" s="27" t="s">
        <v>94</v>
      </c>
      <c r="I329" s="27" t="s">
        <v>49</v>
      </c>
      <c r="J329" s="27" t="s">
        <v>176</v>
      </c>
      <c r="K329" s="27" t="s">
        <v>51</v>
      </c>
      <c r="L329" s="31" t="s">
        <v>824</v>
      </c>
      <c r="M329" s="32">
        <v>0.38</v>
      </c>
      <c r="N329" s="27" t="s">
        <v>33</v>
      </c>
      <c r="O329" s="27" t="s">
        <v>111</v>
      </c>
      <c r="P329" s="27" t="s">
        <v>317</v>
      </c>
      <c r="Q329" s="27" t="s">
        <v>823</v>
      </c>
      <c r="R329" s="33">
        <v>44870</v>
      </c>
      <c r="S329" s="34">
        <v>42031</v>
      </c>
      <c r="T329" s="34">
        <v>42034</v>
      </c>
      <c r="U329" s="29">
        <v>-3.782</v>
      </c>
      <c r="V329" s="26">
        <v>13</v>
      </c>
      <c r="W329" s="29">
        <v>14.53</v>
      </c>
      <c r="X329" s="26">
        <v>86544</v>
      </c>
      <c r="Y329" s="35">
        <v>110.89</v>
      </c>
      <c r="Z329" s="1" t="s">
        <v>3014</v>
      </c>
      <c r="AA329" s="36">
        <v>0.88919999999999988</v>
      </c>
      <c r="AB329" s="54">
        <v>9.0085999999999995</v>
      </c>
      <c r="AC329" s="54">
        <v>0.42472307692307687</v>
      </c>
      <c r="AD329" s="36">
        <v>16.722799999999999</v>
      </c>
    </row>
    <row r="330" spans="1:30" s="37" customFormat="1" ht="15.75" customHeight="1" x14ac:dyDescent="0.2">
      <c r="A330" s="26">
        <v>129</v>
      </c>
      <c r="B330" s="27" t="s">
        <v>831</v>
      </c>
      <c r="C330" s="27" t="s">
        <v>3094</v>
      </c>
      <c r="D330" s="28">
        <v>0.02</v>
      </c>
      <c r="E330" s="29">
        <v>1.74</v>
      </c>
      <c r="F330" s="29">
        <v>4.08</v>
      </c>
      <c r="G330" s="30" t="s">
        <v>39</v>
      </c>
      <c r="H330" s="27" t="s">
        <v>3095</v>
      </c>
      <c r="I330" s="27" t="s">
        <v>29</v>
      </c>
      <c r="J330" s="27" t="s">
        <v>126</v>
      </c>
      <c r="K330" s="27" t="s">
        <v>43</v>
      </c>
      <c r="L330" s="31" t="s">
        <v>770</v>
      </c>
      <c r="M330" s="32">
        <v>0.53</v>
      </c>
      <c r="N330" s="27" t="s">
        <v>33</v>
      </c>
      <c r="O330" s="27" t="s">
        <v>53</v>
      </c>
      <c r="P330" s="27" t="s">
        <v>103</v>
      </c>
      <c r="Q330" s="27" t="s">
        <v>832</v>
      </c>
      <c r="R330" s="33">
        <v>62002</v>
      </c>
      <c r="S330" s="34">
        <v>42031</v>
      </c>
      <c r="T330" s="34">
        <v>42032</v>
      </c>
      <c r="U330" s="29">
        <v>-37.39</v>
      </c>
      <c r="V330" s="26">
        <v>5</v>
      </c>
      <c r="W330" s="29">
        <v>10.23</v>
      </c>
      <c r="X330" s="26">
        <v>86693</v>
      </c>
      <c r="Y330" s="35">
        <v>205.91</v>
      </c>
      <c r="Z330" s="1" t="s">
        <v>3012</v>
      </c>
      <c r="AA330" s="36">
        <v>0.17399999999999999</v>
      </c>
      <c r="AB330" s="54">
        <v>4.8080999999999996</v>
      </c>
      <c r="AC330" s="54">
        <v>1.0843800000000001</v>
      </c>
      <c r="AD330" s="36">
        <v>43.366</v>
      </c>
    </row>
    <row r="331" spans="1:30" s="37" customFormat="1" ht="15.75" customHeight="1" x14ac:dyDescent="0.2">
      <c r="A331" s="26">
        <v>53</v>
      </c>
      <c r="B331" s="27" t="s">
        <v>840</v>
      </c>
      <c r="C331" s="27" t="s">
        <v>26</v>
      </c>
      <c r="D331" s="28">
        <v>7.0000000000000007E-2</v>
      </c>
      <c r="E331" s="29">
        <v>3502.14</v>
      </c>
      <c r="F331" s="29">
        <v>8.73</v>
      </c>
      <c r="G331" s="30" t="s">
        <v>27</v>
      </c>
      <c r="H331" s="27" t="s">
        <v>94</v>
      </c>
      <c r="I331" s="27" t="s">
        <v>41</v>
      </c>
      <c r="J331" s="27" t="s">
        <v>57</v>
      </c>
      <c r="K331" s="27" t="s">
        <v>31</v>
      </c>
      <c r="L331" s="31" t="s">
        <v>841</v>
      </c>
      <c r="M331" s="32">
        <v>0.56999999999999995</v>
      </c>
      <c r="N331" s="27" t="s">
        <v>33</v>
      </c>
      <c r="O331" s="27" t="s">
        <v>60</v>
      </c>
      <c r="P331" s="27" t="s">
        <v>67</v>
      </c>
      <c r="Q331" s="27" t="s">
        <v>842</v>
      </c>
      <c r="R331" s="33">
        <v>98052</v>
      </c>
      <c r="S331" s="34">
        <v>42032</v>
      </c>
      <c r="T331" s="34">
        <v>42034</v>
      </c>
      <c r="U331" s="29">
        <v>-6923.5991999999997</v>
      </c>
      <c r="V331" s="26">
        <v>1</v>
      </c>
      <c r="W331" s="29">
        <v>3267.55</v>
      </c>
      <c r="X331" s="26">
        <v>88425</v>
      </c>
      <c r="Y331" s="35">
        <v>3502.0699999999997</v>
      </c>
      <c r="Z331" s="1" t="s">
        <v>3013</v>
      </c>
      <c r="AA331" s="36">
        <v>245.14980000000003</v>
      </c>
      <c r="AB331" s="54">
        <v>1405.0465000000002</v>
      </c>
      <c r="AC331" s="54">
        <v>1862.5035</v>
      </c>
      <c r="AD331" s="36">
        <v>9937.269400000001</v>
      </c>
    </row>
    <row r="332" spans="1:30" s="37" customFormat="1" ht="15.75" customHeight="1" x14ac:dyDescent="0.2">
      <c r="A332" s="26">
        <v>3266</v>
      </c>
      <c r="B332" s="27" t="s">
        <v>843</v>
      </c>
      <c r="C332" s="27" t="s">
        <v>26</v>
      </c>
      <c r="D332" s="28">
        <v>0</v>
      </c>
      <c r="E332" s="29">
        <v>122.99</v>
      </c>
      <c r="F332" s="29">
        <v>70.2</v>
      </c>
      <c r="G332" s="30" t="s">
        <v>27</v>
      </c>
      <c r="H332" s="27" t="s">
        <v>94</v>
      </c>
      <c r="I332" s="27" t="s">
        <v>29</v>
      </c>
      <c r="J332" s="27" t="s">
        <v>109</v>
      </c>
      <c r="K332" s="27" t="s">
        <v>58</v>
      </c>
      <c r="L332" s="31" t="s">
        <v>804</v>
      </c>
      <c r="M332" s="32">
        <v>0.74</v>
      </c>
      <c r="N332" s="27" t="s">
        <v>33</v>
      </c>
      <c r="O332" s="27" t="s">
        <v>111</v>
      </c>
      <c r="P332" s="27" t="s">
        <v>331</v>
      </c>
      <c r="Q332" s="27" t="s">
        <v>332</v>
      </c>
      <c r="R332" s="33">
        <v>4073</v>
      </c>
      <c r="S332" s="34">
        <v>42032</v>
      </c>
      <c r="T332" s="34">
        <v>42033</v>
      </c>
      <c r="U332" s="29">
        <v>-1764.29</v>
      </c>
      <c r="V332" s="26">
        <v>14</v>
      </c>
      <c r="W332" s="29">
        <v>1794.88</v>
      </c>
      <c r="X332" s="26">
        <v>89836</v>
      </c>
      <c r="Y332" s="35">
        <v>122.99</v>
      </c>
      <c r="Z332" s="1" t="s">
        <v>3014</v>
      </c>
      <c r="AA332" s="36">
        <v>0</v>
      </c>
      <c r="AB332" s="54">
        <v>466.66880000000003</v>
      </c>
      <c r="AC332" s="54">
        <v>94.872228571428579</v>
      </c>
      <c r="AD332" s="36">
        <v>3488.9700000000003</v>
      </c>
    </row>
    <row r="333" spans="1:30" s="37" customFormat="1" ht="15.75" customHeight="1" x14ac:dyDescent="0.2">
      <c r="A333" s="26">
        <v>3269</v>
      </c>
      <c r="B333" s="27" t="s">
        <v>844</v>
      </c>
      <c r="C333" s="27" t="s">
        <v>26</v>
      </c>
      <c r="D333" s="28">
        <v>0.01</v>
      </c>
      <c r="E333" s="29">
        <v>60.97</v>
      </c>
      <c r="F333" s="29">
        <v>4.5</v>
      </c>
      <c r="G333" s="30" t="s">
        <v>87</v>
      </c>
      <c r="H333" s="27" t="s">
        <v>94</v>
      </c>
      <c r="I333" s="27" t="s">
        <v>49</v>
      </c>
      <c r="J333" s="27" t="s">
        <v>95</v>
      </c>
      <c r="K333" s="27" t="s">
        <v>73</v>
      </c>
      <c r="L333" s="31" t="s">
        <v>96</v>
      </c>
      <c r="M333" s="32">
        <v>0.56000000000000005</v>
      </c>
      <c r="N333" s="27" t="s">
        <v>33</v>
      </c>
      <c r="O333" s="27" t="s">
        <v>111</v>
      </c>
      <c r="P333" s="27" t="s">
        <v>397</v>
      </c>
      <c r="Q333" s="27" t="s">
        <v>845</v>
      </c>
      <c r="R333" s="33">
        <v>7060</v>
      </c>
      <c r="S333" s="34">
        <v>42032</v>
      </c>
      <c r="T333" s="34">
        <v>42034</v>
      </c>
      <c r="U333" s="29">
        <v>527.87760000000003</v>
      </c>
      <c r="V333" s="26">
        <v>12</v>
      </c>
      <c r="W333" s="29">
        <v>765.04</v>
      </c>
      <c r="X333" s="26">
        <v>89836</v>
      </c>
      <c r="Y333" s="35">
        <v>60.96</v>
      </c>
      <c r="Z333" s="1" t="s">
        <v>3014</v>
      </c>
      <c r="AA333" s="36">
        <v>7.3163999999999998</v>
      </c>
      <c r="AB333" s="54">
        <v>336.61759999999992</v>
      </c>
      <c r="AC333" s="54">
        <v>35.701866666666668</v>
      </c>
      <c r="AD333" s="36">
        <v>225.34599999999989</v>
      </c>
    </row>
    <row r="334" spans="1:30" s="37" customFormat="1" ht="15.75" customHeight="1" x14ac:dyDescent="0.2">
      <c r="A334" s="26">
        <v>556</v>
      </c>
      <c r="B334" s="27" t="s">
        <v>853</v>
      </c>
      <c r="C334" s="27" t="s">
        <v>116</v>
      </c>
      <c r="D334" s="28">
        <v>0.03</v>
      </c>
      <c r="E334" s="29">
        <v>32.479999999999997</v>
      </c>
      <c r="F334" s="29">
        <v>35</v>
      </c>
      <c r="G334" s="30" t="s">
        <v>87</v>
      </c>
      <c r="H334" s="27" t="s">
        <v>71</v>
      </c>
      <c r="I334" s="27" t="s">
        <v>49</v>
      </c>
      <c r="J334" s="27" t="s">
        <v>78</v>
      </c>
      <c r="K334" s="27" t="s">
        <v>65</v>
      </c>
      <c r="L334" s="31" t="s">
        <v>785</v>
      </c>
      <c r="M334" s="32">
        <v>0.81</v>
      </c>
      <c r="N334" s="27" t="s">
        <v>33</v>
      </c>
      <c r="O334" s="27" t="s">
        <v>60</v>
      </c>
      <c r="P334" s="27" t="s">
        <v>146</v>
      </c>
      <c r="Q334" s="27" t="s">
        <v>854</v>
      </c>
      <c r="R334" s="33">
        <v>84604</v>
      </c>
      <c r="S334" s="34">
        <v>42032</v>
      </c>
      <c r="T334" s="34">
        <v>42032</v>
      </c>
      <c r="U334" s="29">
        <v>-1116.3348000000001</v>
      </c>
      <c r="V334" s="26">
        <v>8</v>
      </c>
      <c r="W334" s="29">
        <v>274.91000000000003</v>
      </c>
      <c r="X334" s="26">
        <v>86189</v>
      </c>
      <c r="Y334" s="35">
        <v>55.419999999999995</v>
      </c>
      <c r="Z334" s="1" t="s">
        <v>3013</v>
      </c>
      <c r="AA334" s="36">
        <v>7.7951999999999986</v>
      </c>
      <c r="AB334" s="54">
        <v>52.232899999999987</v>
      </c>
      <c r="AC334" s="54">
        <v>27.834637500000003</v>
      </c>
      <c r="AD334" s="36">
        <v>1348.4496000000001</v>
      </c>
    </row>
    <row r="335" spans="1:30" s="37" customFormat="1" ht="15.75" customHeight="1" x14ac:dyDescent="0.2">
      <c r="A335" s="26">
        <v>553</v>
      </c>
      <c r="B335" s="27" t="s">
        <v>851</v>
      </c>
      <c r="C335" s="27" t="s">
        <v>116</v>
      </c>
      <c r="D335" s="28">
        <v>0</v>
      </c>
      <c r="E335" s="29">
        <v>6.88</v>
      </c>
      <c r="F335" s="29">
        <v>2</v>
      </c>
      <c r="G335" s="30" t="s">
        <v>87</v>
      </c>
      <c r="H335" s="27" t="s">
        <v>71</v>
      </c>
      <c r="I335" s="27" t="s">
        <v>49</v>
      </c>
      <c r="J335" s="27" t="s">
        <v>88</v>
      </c>
      <c r="K335" s="27" t="s">
        <v>51</v>
      </c>
      <c r="L335" s="31" t="s">
        <v>852</v>
      </c>
      <c r="M335" s="32">
        <v>0.39</v>
      </c>
      <c r="N335" s="27" t="s">
        <v>33</v>
      </c>
      <c r="O335" s="27" t="s">
        <v>60</v>
      </c>
      <c r="P335" s="27" t="s">
        <v>90</v>
      </c>
      <c r="Q335" s="27" t="s">
        <v>100</v>
      </c>
      <c r="R335" s="33">
        <v>90008</v>
      </c>
      <c r="S335" s="34">
        <v>42032</v>
      </c>
      <c r="T335" s="34">
        <v>42033</v>
      </c>
      <c r="U335" s="29">
        <v>34.067999999999998</v>
      </c>
      <c r="V335" s="26">
        <v>36</v>
      </c>
      <c r="W335" s="29">
        <v>267.52999999999997</v>
      </c>
      <c r="X335" s="26">
        <v>17155</v>
      </c>
      <c r="Y335" s="35">
        <v>1.66</v>
      </c>
      <c r="Z335" s="1" t="s">
        <v>3013</v>
      </c>
      <c r="AA335" s="36">
        <v>0</v>
      </c>
      <c r="AB335" s="54">
        <v>163.19329999999999</v>
      </c>
      <c r="AC335" s="54">
        <v>2.8982416666666664</v>
      </c>
      <c r="AD335" s="36">
        <v>231.46199999999999</v>
      </c>
    </row>
    <row r="336" spans="1:30" s="37" customFormat="1" ht="15.75" customHeight="1" x14ac:dyDescent="0.2">
      <c r="A336" s="26">
        <v>24</v>
      </c>
      <c r="B336" s="27" t="s">
        <v>846</v>
      </c>
      <c r="C336" s="27" t="s">
        <v>38</v>
      </c>
      <c r="D336" s="28">
        <v>0.06</v>
      </c>
      <c r="E336" s="29">
        <v>55.48</v>
      </c>
      <c r="F336" s="29">
        <v>14.3</v>
      </c>
      <c r="G336" s="30" t="s">
        <v>39</v>
      </c>
      <c r="H336" s="27" t="s">
        <v>94</v>
      </c>
      <c r="I336" s="27" t="s">
        <v>49</v>
      </c>
      <c r="J336" s="27" t="s">
        <v>88</v>
      </c>
      <c r="K336" s="27" t="s">
        <v>73</v>
      </c>
      <c r="L336" s="31" t="s">
        <v>847</v>
      </c>
      <c r="M336" s="32">
        <v>0.37</v>
      </c>
      <c r="N336" s="27" t="s">
        <v>33</v>
      </c>
      <c r="O336" s="27" t="s">
        <v>60</v>
      </c>
      <c r="P336" s="27" t="s">
        <v>90</v>
      </c>
      <c r="Q336" s="27" t="s">
        <v>848</v>
      </c>
      <c r="R336" s="33">
        <v>92677</v>
      </c>
      <c r="S336" s="34">
        <v>42032</v>
      </c>
      <c r="T336" s="34">
        <v>42033</v>
      </c>
      <c r="U336" s="29">
        <v>-28.296800000000001</v>
      </c>
      <c r="V336" s="26">
        <v>1</v>
      </c>
      <c r="W336" s="29">
        <v>67.489999999999995</v>
      </c>
      <c r="X336" s="26">
        <v>87651</v>
      </c>
      <c r="Y336" s="35">
        <v>59.959999999999994</v>
      </c>
      <c r="Z336" s="1" t="s">
        <v>3013</v>
      </c>
      <c r="AA336" s="36">
        <v>3.3287999999999998</v>
      </c>
      <c r="AB336" s="54">
        <v>42.518699999999995</v>
      </c>
      <c r="AC336" s="54">
        <v>24.971299999999999</v>
      </c>
      <c r="AD336" s="36">
        <v>78.158000000000001</v>
      </c>
    </row>
    <row r="337" spans="1:30" s="37" customFormat="1" ht="15.75" customHeight="1" x14ac:dyDescent="0.2">
      <c r="A337" s="26">
        <v>556</v>
      </c>
      <c r="B337" s="27" t="s">
        <v>853</v>
      </c>
      <c r="C337" s="27" t="s">
        <v>116</v>
      </c>
      <c r="D337" s="28">
        <v>0</v>
      </c>
      <c r="E337" s="29">
        <v>6.88</v>
      </c>
      <c r="F337" s="29">
        <v>2</v>
      </c>
      <c r="G337" s="30" t="s">
        <v>87</v>
      </c>
      <c r="H337" s="27" t="s">
        <v>71</v>
      </c>
      <c r="I337" s="27" t="s">
        <v>49</v>
      </c>
      <c r="J337" s="27" t="s">
        <v>88</v>
      </c>
      <c r="K337" s="27" t="s">
        <v>51</v>
      </c>
      <c r="L337" s="31" t="s">
        <v>852</v>
      </c>
      <c r="M337" s="32">
        <v>0.39</v>
      </c>
      <c r="N337" s="27" t="s">
        <v>33</v>
      </c>
      <c r="O337" s="27" t="s">
        <v>60</v>
      </c>
      <c r="P337" s="27" t="s">
        <v>146</v>
      </c>
      <c r="Q337" s="27" t="s">
        <v>854</v>
      </c>
      <c r="R337" s="33">
        <v>84604</v>
      </c>
      <c r="S337" s="34">
        <v>42032</v>
      </c>
      <c r="T337" s="34">
        <v>42033</v>
      </c>
      <c r="U337" s="29">
        <v>46.147199999999998</v>
      </c>
      <c r="V337" s="26">
        <v>9</v>
      </c>
      <c r="W337" s="29">
        <v>66.88</v>
      </c>
      <c r="X337" s="26">
        <v>86189</v>
      </c>
      <c r="Y337" s="35">
        <v>5.1499999999999995</v>
      </c>
      <c r="Z337" s="1" t="s">
        <v>3013</v>
      </c>
      <c r="AA337" s="36">
        <v>0</v>
      </c>
      <c r="AB337" s="54">
        <v>40.796799999999998</v>
      </c>
      <c r="AC337" s="54">
        <v>2.8981333333333335</v>
      </c>
      <c r="AD337" s="36">
        <v>18.732799999999997</v>
      </c>
    </row>
    <row r="338" spans="1:30" s="37" customFormat="1" ht="15.75" customHeight="1" x14ac:dyDescent="0.2">
      <c r="A338" s="26">
        <v>744</v>
      </c>
      <c r="B338" s="27" t="s">
        <v>586</v>
      </c>
      <c r="C338" s="27" t="s">
        <v>48</v>
      </c>
      <c r="D338" s="28">
        <v>0.02</v>
      </c>
      <c r="E338" s="29">
        <v>59.98</v>
      </c>
      <c r="F338" s="29">
        <v>3.99</v>
      </c>
      <c r="G338" s="30" t="s">
        <v>39</v>
      </c>
      <c r="H338" s="27" t="s">
        <v>94</v>
      </c>
      <c r="I338" s="27" t="s">
        <v>49</v>
      </c>
      <c r="J338" s="27" t="s">
        <v>95</v>
      </c>
      <c r="K338" s="27" t="s">
        <v>73</v>
      </c>
      <c r="L338" s="31" t="s">
        <v>849</v>
      </c>
      <c r="M338" s="32">
        <v>0.56999999999999995</v>
      </c>
      <c r="N338" s="27" t="s">
        <v>33</v>
      </c>
      <c r="O338" s="27" t="s">
        <v>60</v>
      </c>
      <c r="P338" s="27" t="s">
        <v>588</v>
      </c>
      <c r="Q338" s="27" t="s">
        <v>589</v>
      </c>
      <c r="R338" s="33">
        <v>85737</v>
      </c>
      <c r="S338" s="34">
        <v>42032</v>
      </c>
      <c r="T338" s="34">
        <v>42041</v>
      </c>
      <c r="U338" s="29">
        <v>-54.622</v>
      </c>
      <c r="V338" s="26">
        <v>1</v>
      </c>
      <c r="W338" s="29">
        <v>63.48</v>
      </c>
      <c r="X338" s="26">
        <v>87725</v>
      </c>
      <c r="Y338" s="35">
        <v>6.88</v>
      </c>
      <c r="Z338" s="1" t="s">
        <v>3013</v>
      </c>
      <c r="AA338" s="36">
        <v>1.1996</v>
      </c>
      <c r="AB338" s="54">
        <v>27.296400000000002</v>
      </c>
      <c r="AC338" s="54">
        <v>36.183599999999998</v>
      </c>
      <c r="AD338" s="36">
        <v>112.91239999999999</v>
      </c>
    </row>
    <row r="339" spans="1:30" s="37" customFormat="1" ht="15.75" customHeight="1" x14ac:dyDescent="0.2">
      <c r="A339" s="26">
        <v>744</v>
      </c>
      <c r="B339" s="27" t="s">
        <v>586</v>
      </c>
      <c r="C339" s="27" t="s">
        <v>48</v>
      </c>
      <c r="D339" s="28">
        <v>0.03</v>
      </c>
      <c r="E339" s="29">
        <v>5.18</v>
      </c>
      <c r="F339" s="29">
        <v>5.74</v>
      </c>
      <c r="G339" s="30" t="s">
        <v>39</v>
      </c>
      <c r="H339" s="27" t="s">
        <v>94</v>
      </c>
      <c r="I339" s="27" t="s">
        <v>49</v>
      </c>
      <c r="J339" s="27" t="s">
        <v>72</v>
      </c>
      <c r="K339" s="27" t="s">
        <v>73</v>
      </c>
      <c r="L339" s="31" t="s">
        <v>850</v>
      </c>
      <c r="M339" s="32">
        <v>0.36</v>
      </c>
      <c r="N339" s="27" t="s">
        <v>33</v>
      </c>
      <c r="O339" s="27" t="s">
        <v>60</v>
      </c>
      <c r="P339" s="27" t="s">
        <v>588</v>
      </c>
      <c r="Q339" s="27" t="s">
        <v>589</v>
      </c>
      <c r="R339" s="33">
        <v>85737</v>
      </c>
      <c r="S339" s="34">
        <v>42032</v>
      </c>
      <c r="T339" s="34">
        <v>42036</v>
      </c>
      <c r="U339" s="29">
        <v>-126.81417999999999</v>
      </c>
      <c r="V339" s="26">
        <v>9</v>
      </c>
      <c r="W339" s="29">
        <v>47.64</v>
      </c>
      <c r="X339" s="26">
        <v>87725</v>
      </c>
      <c r="Y339" s="35">
        <v>6.88</v>
      </c>
      <c r="Z339" s="1" t="s">
        <v>3013</v>
      </c>
      <c r="AA339" s="36">
        <v>1.3985999999999998</v>
      </c>
      <c r="AB339" s="54">
        <v>30.489599999999999</v>
      </c>
      <c r="AC339" s="54">
        <v>1.9055999999999997</v>
      </c>
      <c r="AD339" s="36">
        <v>167.31558000000001</v>
      </c>
    </row>
    <row r="340" spans="1:30" s="37" customFormat="1" ht="15.75" customHeight="1" x14ac:dyDescent="0.2">
      <c r="A340" s="26">
        <v>24</v>
      </c>
      <c r="B340" s="27" t="s">
        <v>846</v>
      </c>
      <c r="C340" s="27" t="s">
        <v>38</v>
      </c>
      <c r="D340" s="28">
        <v>0.02</v>
      </c>
      <c r="E340" s="29">
        <v>1.68</v>
      </c>
      <c r="F340" s="29">
        <v>1.57</v>
      </c>
      <c r="G340" s="30" t="s">
        <v>39</v>
      </c>
      <c r="H340" s="27" t="s">
        <v>94</v>
      </c>
      <c r="I340" s="27" t="s">
        <v>49</v>
      </c>
      <c r="J340" s="27" t="s">
        <v>50</v>
      </c>
      <c r="K340" s="27" t="s">
        <v>51</v>
      </c>
      <c r="L340" s="31" t="s">
        <v>574</v>
      </c>
      <c r="M340" s="32">
        <v>0.59</v>
      </c>
      <c r="N340" s="27" t="s">
        <v>33</v>
      </c>
      <c r="O340" s="27" t="s">
        <v>60</v>
      </c>
      <c r="P340" s="27" t="s">
        <v>90</v>
      </c>
      <c r="Q340" s="27" t="s">
        <v>848</v>
      </c>
      <c r="R340" s="33">
        <v>92677</v>
      </c>
      <c r="S340" s="34">
        <v>42032</v>
      </c>
      <c r="T340" s="34">
        <v>42034</v>
      </c>
      <c r="U340" s="29">
        <v>-5.3071999999999999</v>
      </c>
      <c r="V340" s="26">
        <v>1</v>
      </c>
      <c r="W340" s="29">
        <v>2.25</v>
      </c>
      <c r="X340" s="26">
        <v>87651</v>
      </c>
      <c r="Y340" s="35">
        <v>32.449999999999996</v>
      </c>
      <c r="Z340" s="1" t="s">
        <v>3013</v>
      </c>
      <c r="AA340" s="36">
        <v>3.3599999999999998E-2</v>
      </c>
      <c r="AB340" s="54">
        <v>0.9225000000000001</v>
      </c>
      <c r="AC340" s="54">
        <v>1.3274999999999999</v>
      </c>
      <c r="AD340" s="36">
        <v>5.9535999999999998</v>
      </c>
    </row>
    <row r="341" spans="1:30" s="37" customFormat="1" ht="15.75" customHeight="1" x14ac:dyDescent="0.2">
      <c r="A341" s="26">
        <v>699</v>
      </c>
      <c r="B341" s="27" t="s">
        <v>861</v>
      </c>
      <c r="C341" s="27" t="s">
        <v>116</v>
      </c>
      <c r="D341" s="28">
        <v>7.0000000000000007E-2</v>
      </c>
      <c r="E341" s="29">
        <v>280.98</v>
      </c>
      <c r="F341" s="29">
        <v>57</v>
      </c>
      <c r="G341" s="30" t="s">
        <v>27</v>
      </c>
      <c r="H341" s="27" t="s">
        <v>40</v>
      </c>
      <c r="I341" s="27" t="s">
        <v>29</v>
      </c>
      <c r="J341" s="27" t="s">
        <v>109</v>
      </c>
      <c r="K341" s="27" t="s">
        <v>58</v>
      </c>
      <c r="L341" s="31" t="s">
        <v>862</v>
      </c>
      <c r="M341" s="32">
        <v>0.78</v>
      </c>
      <c r="N341" s="27" t="s">
        <v>33</v>
      </c>
      <c r="O341" s="27" t="s">
        <v>60</v>
      </c>
      <c r="P341" s="27" t="s">
        <v>90</v>
      </c>
      <c r="Q341" s="27" t="s">
        <v>100</v>
      </c>
      <c r="R341" s="33">
        <v>90041</v>
      </c>
      <c r="S341" s="34">
        <v>42033</v>
      </c>
      <c r="T341" s="34">
        <v>42035</v>
      </c>
      <c r="U341" s="29">
        <v>-439.62</v>
      </c>
      <c r="V341" s="26">
        <v>23</v>
      </c>
      <c r="W341" s="29">
        <v>6499.87</v>
      </c>
      <c r="X341" s="26">
        <v>32420</v>
      </c>
      <c r="Y341" s="35">
        <v>95.899999999999991</v>
      </c>
      <c r="Z341" s="1" t="s">
        <v>3013</v>
      </c>
      <c r="AA341" s="36">
        <v>452.37780000000004</v>
      </c>
      <c r="AB341" s="54">
        <v>1429.9713999999999</v>
      </c>
      <c r="AC341" s="54">
        <v>220.4303739130435</v>
      </c>
      <c r="AD341" s="36">
        <v>6430.1121999999996</v>
      </c>
    </row>
    <row r="342" spans="1:30" s="37" customFormat="1" ht="15.75" customHeight="1" x14ac:dyDescent="0.2">
      <c r="A342" s="26">
        <v>2062</v>
      </c>
      <c r="B342" s="27" t="s">
        <v>866</v>
      </c>
      <c r="C342" s="27" t="s">
        <v>116</v>
      </c>
      <c r="D342" s="28">
        <v>0.02</v>
      </c>
      <c r="E342" s="29">
        <v>420.98</v>
      </c>
      <c r="F342" s="29">
        <v>19.989999999999998</v>
      </c>
      <c r="G342" s="30" t="s">
        <v>39</v>
      </c>
      <c r="H342" s="27" t="s">
        <v>94</v>
      </c>
      <c r="I342" s="27" t="s">
        <v>49</v>
      </c>
      <c r="J342" s="27" t="s">
        <v>72</v>
      </c>
      <c r="K342" s="27" t="s">
        <v>73</v>
      </c>
      <c r="L342" s="31" t="s">
        <v>867</v>
      </c>
      <c r="M342" s="32">
        <v>0.35</v>
      </c>
      <c r="N342" s="27" t="s">
        <v>33</v>
      </c>
      <c r="O342" s="27" t="s">
        <v>34</v>
      </c>
      <c r="P342" s="27" t="s">
        <v>242</v>
      </c>
      <c r="Q342" s="27" t="s">
        <v>868</v>
      </c>
      <c r="R342" s="33">
        <v>23111</v>
      </c>
      <c r="S342" s="34">
        <v>42033</v>
      </c>
      <c r="T342" s="34">
        <v>42036</v>
      </c>
      <c r="U342" s="29">
        <v>-162.69399999999999</v>
      </c>
      <c r="V342" s="26">
        <v>10</v>
      </c>
      <c r="W342" s="29">
        <v>4249.37</v>
      </c>
      <c r="X342" s="26">
        <v>87146</v>
      </c>
      <c r="Y342" s="35">
        <v>7.3500000000000005</v>
      </c>
      <c r="Z342" s="1" t="s">
        <v>3011</v>
      </c>
      <c r="AA342" s="36">
        <v>84.196000000000012</v>
      </c>
      <c r="AB342" s="54">
        <v>2762.0905000000002</v>
      </c>
      <c r="AC342" s="54">
        <v>148.72794999999999</v>
      </c>
      <c r="AD342" s="36">
        <v>4307.8779999999997</v>
      </c>
    </row>
    <row r="343" spans="1:30" s="37" customFormat="1" ht="15.75" customHeight="1" x14ac:dyDescent="0.2">
      <c r="A343" s="26">
        <v>1875</v>
      </c>
      <c r="B343" s="27" t="s">
        <v>855</v>
      </c>
      <c r="C343" s="27" t="s">
        <v>26</v>
      </c>
      <c r="D343" s="28">
        <v>0.09</v>
      </c>
      <c r="E343" s="29">
        <v>95.99</v>
      </c>
      <c r="F343" s="29">
        <v>4.9000000000000004</v>
      </c>
      <c r="G343" s="30" t="s">
        <v>39</v>
      </c>
      <c r="H343" s="27" t="s">
        <v>40</v>
      </c>
      <c r="I343" s="27" t="s">
        <v>41</v>
      </c>
      <c r="J343" s="27" t="s">
        <v>135</v>
      </c>
      <c r="K343" s="27" t="s">
        <v>73</v>
      </c>
      <c r="L343" s="31" t="s">
        <v>768</v>
      </c>
      <c r="M343" s="32">
        <v>0.56000000000000005</v>
      </c>
      <c r="N343" s="27" t="s">
        <v>33</v>
      </c>
      <c r="O343" s="27" t="s">
        <v>34</v>
      </c>
      <c r="P343" s="27" t="s">
        <v>242</v>
      </c>
      <c r="Q343" s="27" t="s">
        <v>856</v>
      </c>
      <c r="R343" s="33">
        <v>23320</v>
      </c>
      <c r="S343" s="34">
        <v>42033</v>
      </c>
      <c r="T343" s="34">
        <v>42035</v>
      </c>
      <c r="U343" s="29">
        <v>34.302</v>
      </c>
      <c r="V343" s="26">
        <v>4</v>
      </c>
      <c r="W343" s="29">
        <v>320.75</v>
      </c>
      <c r="X343" s="26">
        <v>90899</v>
      </c>
      <c r="Y343" s="35">
        <v>6.4700000000000006</v>
      </c>
      <c r="Z343" s="1" t="s">
        <v>3011</v>
      </c>
      <c r="AA343" s="36">
        <v>34.556399999999996</v>
      </c>
      <c r="AB343" s="54">
        <v>141.13</v>
      </c>
      <c r="AC343" s="54">
        <v>44.905000000000001</v>
      </c>
      <c r="AD343" s="36">
        <v>246.99160000000001</v>
      </c>
    </row>
    <row r="344" spans="1:30" s="37" customFormat="1" ht="15.75" customHeight="1" x14ac:dyDescent="0.2">
      <c r="A344" s="26">
        <v>2061</v>
      </c>
      <c r="B344" s="27" t="s">
        <v>863</v>
      </c>
      <c r="C344" s="27" t="s">
        <v>116</v>
      </c>
      <c r="D344" s="28">
        <v>0.02</v>
      </c>
      <c r="E344" s="29">
        <v>240.98</v>
      </c>
      <c r="F344" s="29">
        <v>60.2</v>
      </c>
      <c r="G344" s="30" t="s">
        <v>27</v>
      </c>
      <c r="H344" s="27" t="s">
        <v>94</v>
      </c>
      <c r="I344" s="27" t="s">
        <v>29</v>
      </c>
      <c r="J344" s="27" t="s">
        <v>117</v>
      </c>
      <c r="K344" s="27" t="s">
        <v>31</v>
      </c>
      <c r="L344" s="31" t="s">
        <v>864</v>
      </c>
      <c r="M344" s="32">
        <v>0.56000000000000005</v>
      </c>
      <c r="N344" s="27" t="s">
        <v>33</v>
      </c>
      <c r="O344" s="27" t="s">
        <v>53</v>
      </c>
      <c r="P344" s="27" t="s">
        <v>133</v>
      </c>
      <c r="Q344" s="27" t="s">
        <v>865</v>
      </c>
      <c r="R344" s="33">
        <v>69101</v>
      </c>
      <c r="S344" s="34">
        <v>42033</v>
      </c>
      <c r="T344" s="34">
        <v>42035</v>
      </c>
      <c r="U344" s="29">
        <v>-272.71319999999997</v>
      </c>
      <c r="V344" s="26">
        <v>1</v>
      </c>
      <c r="W344" s="29">
        <v>260.66000000000003</v>
      </c>
      <c r="X344" s="26">
        <v>87146</v>
      </c>
      <c r="Y344" s="35">
        <v>4.9499999999999993</v>
      </c>
      <c r="Z344" s="1" t="s">
        <v>3012</v>
      </c>
      <c r="AA344" s="36">
        <v>4.8196000000000003</v>
      </c>
      <c r="AB344" s="54">
        <v>114.6904</v>
      </c>
      <c r="AC344" s="54">
        <v>145.96960000000001</v>
      </c>
      <c r="AD344" s="36">
        <v>468.35360000000003</v>
      </c>
    </row>
    <row r="345" spans="1:30" s="37" customFormat="1" ht="15.75" customHeight="1" x14ac:dyDescent="0.2">
      <c r="A345" s="26">
        <v>699</v>
      </c>
      <c r="B345" s="27" t="s">
        <v>861</v>
      </c>
      <c r="C345" s="27" t="s">
        <v>116</v>
      </c>
      <c r="D345" s="28">
        <v>7.0000000000000007E-2</v>
      </c>
      <c r="E345" s="29">
        <v>5.0199999999999996</v>
      </c>
      <c r="F345" s="29">
        <v>5.14</v>
      </c>
      <c r="G345" s="30" t="s">
        <v>39</v>
      </c>
      <c r="H345" s="27" t="s">
        <v>40</v>
      </c>
      <c r="I345" s="27" t="s">
        <v>41</v>
      </c>
      <c r="J345" s="27" t="s">
        <v>42</v>
      </c>
      <c r="K345" s="27" t="s">
        <v>43</v>
      </c>
      <c r="L345" s="31" t="s">
        <v>391</v>
      </c>
      <c r="M345" s="32">
        <v>0.79</v>
      </c>
      <c r="N345" s="27" t="s">
        <v>33</v>
      </c>
      <c r="O345" s="27" t="s">
        <v>60</v>
      </c>
      <c r="P345" s="27" t="s">
        <v>90</v>
      </c>
      <c r="Q345" s="27" t="s">
        <v>100</v>
      </c>
      <c r="R345" s="33">
        <v>90041</v>
      </c>
      <c r="S345" s="34">
        <v>42033</v>
      </c>
      <c r="T345" s="34">
        <v>42035</v>
      </c>
      <c r="U345" s="29">
        <v>-168.72</v>
      </c>
      <c r="V345" s="26">
        <v>42</v>
      </c>
      <c r="W345" s="29">
        <v>210.1</v>
      </c>
      <c r="X345" s="26">
        <v>32420</v>
      </c>
      <c r="Y345" s="35">
        <v>280.91000000000003</v>
      </c>
      <c r="Z345" s="1" t="s">
        <v>3013</v>
      </c>
      <c r="AA345" s="36">
        <v>14.758799999999999</v>
      </c>
      <c r="AB345" s="54">
        <v>44.120999999999988</v>
      </c>
      <c r="AC345" s="54">
        <v>3.9518809523809524</v>
      </c>
      <c r="AD345" s="36">
        <v>358.9212</v>
      </c>
    </row>
    <row r="346" spans="1:30" s="37" customFormat="1" ht="15.75" customHeight="1" x14ac:dyDescent="0.2">
      <c r="A346" s="26">
        <v>2265</v>
      </c>
      <c r="B346" s="27" t="s">
        <v>857</v>
      </c>
      <c r="C346" s="27" t="s">
        <v>26</v>
      </c>
      <c r="D346" s="28">
        <v>0.01</v>
      </c>
      <c r="E346" s="29">
        <v>6.48</v>
      </c>
      <c r="F346" s="29">
        <v>7.86</v>
      </c>
      <c r="G346" s="30" t="s">
        <v>39</v>
      </c>
      <c r="H346" s="27" t="s">
        <v>94</v>
      </c>
      <c r="I346" s="27" t="s">
        <v>49</v>
      </c>
      <c r="J346" s="27" t="s">
        <v>88</v>
      </c>
      <c r="K346" s="27" t="s">
        <v>73</v>
      </c>
      <c r="L346" s="31" t="s">
        <v>860</v>
      </c>
      <c r="M346" s="32">
        <v>0.37</v>
      </c>
      <c r="N346" s="27" t="s">
        <v>33</v>
      </c>
      <c r="O346" s="27" t="s">
        <v>53</v>
      </c>
      <c r="P346" s="27" t="s">
        <v>80</v>
      </c>
      <c r="Q346" s="27" t="s">
        <v>859</v>
      </c>
      <c r="R346" s="33">
        <v>64130</v>
      </c>
      <c r="S346" s="34">
        <v>42033</v>
      </c>
      <c r="T346" s="34">
        <v>42035</v>
      </c>
      <c r="U346" s="29">
        <v>-135.74</v>
      </c>
      <c r="V346" s="26">
        <v>10</v>
      </c>
      <c r="W346" s="29">
        <v>66.459999999999994</v>
      </c>
      <c r="X346" s="26">
        <v>86612</v>
      </c>
      <c r="Y346" s="35">
        <v>240.95999999999998</v>
      </c>
      <c r="Z346" s="1" t="s">
        <v>3012</v>
      </c>
      <c r="AA346" s="36">
        <v>0.64800000000000013</v>
      </c>
      <c r="AB346" s="54">
        <v>41.869799999999998</v>
      </c>
      <c r="AC346" s="54">
        <v>2.4590199999999998</v>
      </c>
      <c r="AD346" s="36">
        <v>193.69200000000001</v>
      </c>
    </row>
    <row r="347" spans="1:30" s="37" customFormat="1" ht="15.75" customHeight="1" x14ac:dyDescent="0.2">
      <c r="A347" s="26">
        <v>2265</v>
      </c>
      <c r="B347" s="27" t="s">
        <v>857</v>
      </c>
      <c r="C347" s="27" t="s">
        <v>26</v>
      </c>
      <c r="D347" s="28">
        <v>0.1</v>
      </c>
      <c r="E347" s="29">
        <v>7.45</v>
      </c>
      <c r="F347" s="29">
        <v>6.28</v>
      </c>
      <c r="G347" s="30" t="s">
        <v>39</v>
      </c>
      <c r="H347" s="27" t="s">
        <v>94</v>
      </c>
      <c r="I347" s="27" t="s">
        <v>49</v>
      </c>
      <c r="J347" s="27" t="s">
        <v>72</v>
      </c>
      <c r="K347" s="27" t="s">
        <v>73</v>
      </c>
      <c r="L347" s="31" t="s">
        <v>858</v>
      </c>
      <c r="M347" s="32">
        <v>0.4</v>
      </c>
      <c r="N347" s="27" t="s">
        <v>33</v>
      </c>
      <c r="O347" s="27" t="s">
        <v>53</v>
      </c>
      <c r="P347" s="27" t="s">
        <v>80</v>
      </c>
      <c r="Q347" s="27" t="s">
        <v>859</v>
      </c>
      <c r="R347" s="33">
        <v>64130</v>
      </c>
      <c r="S347" s="34">
        <v>42033</v>
      </c>
      <c r="T347" s="34">
        <v>42036</v>
      </c>
      <c r="U347" s="29">
        <v>-69.873999999999995</v>
      </c>
      <c r="V347" s="26">
        <v>8</v>
      </c>
      <c r="W347" s="29">
        <v>59.4</v>
      </c>
      <c r="X347" s="26">
        <v>86612</v>
      </c>
      <c r="Y347" s="35">
        <v>420.96000000000004</v>
      </c>
      <c r="Z347" s="1" t="s">
        <v>3012</v>
      </c>
      <c r="AA347" s="36">
        <v>5.9600000000000009</v>
      </c>
      <c r="AB347" s="54">
        <v>35.64</v>
      </c>
      <c r="AC347" s="54">
        <v>2.97</v>
      </c>
      <c r="AD347" s="36">
        <v>117.03399999999999</v>
      </c>
    </row>
    <row r="348" spans="1:30" s="217" customFormat="1" ht="15.75" customHeight="1" x14ac:dyDescent="0.2">
      <c r="A348" s="204">
        <v>2775</v>
      </c>
      <c r="B348" s="205" t="s">
        <v>880</v>
      </c>
      <c r="C348" s="205" t="s">
        <v>48</v>
      </c>
      <c r="D348" s="206">
        <v>7.0000000000000007E-2</v>
      </c>
      <c r="E348" s="207">
        <v>574.74</v>
      </c>
      <c r="F348" s="207">
        <v>24.49</v>
      </c>
      <c r="G348" s="208" t="s">
        <v>39</v>
      </c>
      <c r="H348" s="205" t="s">
        <v>40</v>
      </c>
      <c r="I348" s="205" t="s">
        <v>41</v>
      </c>
      <c r="J348" s="205" t="s">
        <v>57</v>
      </c>
      <c r="K348" s="205" t="s">
        <v>65</v>
      </c>
      <c r="L348" s="209" t="s">
        <v>170</v>
      </c>
      <c r="M348" s="210">
        <v>0.37</v>
      </c>
      <c r="N348" s="205" t="s">
        <v>33</v>
      </c>
      <c r="O348" s="205" t="s">
        <v>53</v>
      </c>
      <c r="P348" s="205" t="s">
        <v>103</v>
      </c>
      <c r="Q348" s="205" t="s">
        <v>881</v>
      </c>
      <c r="R348" s="211">
        <v>60131</v>
      </c>
      <c r="S348" s="212">
        <v>42034</v>
      </c>
      <c r="T348" s="212">
        <v>42039</v>
      </c>
      <c r="U348" s="207">
        <v>2860.9331999999999</v>
      </c>
      <c r="V348" s="204">
        <v>8</v>
      </c>
      <c r="W348" s="207">
        <v>4146.28</v>
      </c>
      <c r="X348" s="204">
        <v>91229</v>
      </c>
      <c r="Y348" s="213">
        <v>31.68</v>
      </c>
      <c r="Z348" s="214" t="s">
        <v>3012</v>
      </c>
      <c r="AA348" s="215">
        <v>321.85440000000006</v>
      </c>
      <c r="AB348" s="216">
        <v>2612.1563999999998</v>
      </c>
      <c r="AC348" s="216">
        <v>191.76544999999999</v>
      </c>
      <c r="AD348" s="215">
        <v>939.00239999999985</v>
      </c>
    </row>
    <row r="349" spans="1:30" s="217" customFormat="1" ht="15.75" customHeight="1" x14ac:dyDescent="0.2">
      <c r="A349" s="204">
        <v>1442</v>
      </c>
      <c r="B349" s="205" t="s">
        <v>877</v>
      </c>
      <c r="C349" s="205" t="s">
        <v>48</v>
      </c>
      <c r="D349" s="206">
        <v>0.09</v>
      </c>
      <c r="E349" s="207">
        <v>46.94</v>
      </c>
      <c r="F349" s="207">
        <v>6.77</v>
      </c>
      <c r="G349" s="208" t="s">
        <v>87</v>
      </c>
      <c r="H349" s="205" t="s">
        <v>94</v>
      </c>
      <c r="I349" s="205" t="s">
        <v>29</v>
      </c>
      <c r="J349" s="205" t="s">
        <v>126</v>
      </c>
      <c r="K349" s="205" t="s">
        <v>73</v>
      </c>
      <c r="L349" s="209" t="s">
        <v>879</v>
      </c>
      <c r="M349" s="210">
        <v>0.44</v>
      </c>
      <c r="N349" s="205" t="s">
        <v>33</v>
      </c>
      <c r="O349" s="205" t="s">
        <v>53</v>
      </c>
      <c r="P349" s="205" t="s">
        <v>80</v>
      </c>
      <c r="Q349" s="205" t="s">
        <v>878</v>
      </c>
      <c r="R349" s="211">
        <v>65807</v>
      </c>
      <c r="S349" s="212">
        <v>42034</v>
      </c>
      <c r="T349" s="212">
        <v>42034</v>
      </c>
      <c r="U349" s="207">
        <v>297.96960000000001</v>
      </c>
      <c r="V349" s="204">
        <v>10</v>
      </c>
      <c r="W349" s="207">
        <v>431.84</v>
      </c>
      <c r="X349" s="204">
        <v>89077</v>
      </c>
      <c r="Y349" s="213">
        <v>1.63</v>
      </c>
      <c r="Z349" s="214" t="s">
        <v>3012</v>
      </c>
      <c r="AA349" s="215">
        <v>42.245999999999995</v>
      </c>
      <c r="AB349" s="216">
        <v>241.8304</v>
      </c>
      <c r="AC349" s="216">
        <v>19.000959999999999</v>
      </c>
      <c r="AD349" s="215">
        <v>84.854399999999998</v>
      </c>
    </row>
    <row r="350" spans="1:30" s="217" customFormat="1" ht="15.75" customHeight="1" x14ac:dyDescent="0.2">
      <c r="A350" s="204">
        <v>767</v>
      </c>
      <c r="B350" s="205" t="s">
        <v>869</v>
      </c>
      <c r="C350" s="205" t="s">
        <v>26</v>
      </c>
      <c r="D350" s="206">
        <v>0.1</v>
      </c>
      <c r="E350" s="207">
        <v>31.78</v>
      </c>
      <c r="F350" s="207">
        <v>1.99</v>
      </c>
      <c r="G350" s="208" t="s">
        <v>39</v>
      </c>
      <c r="H350" s="205" t="s">
        <v>94</v>
      </c>
      <c r="I350" s="205" t="s">
        <v>41</v>
      </c>
      <c r="J350" s="205" t="s">
        <v>42</v>
      </c>
      <c r="K350" s="205" t="s">
        <v>43</v>
      </c>
      <c r="L350" s="209" t="s">
        <v>870</v>
      </c>
      <c r="M350" s="210">
        <v>0.42</v>
      </c>
      <c r="N350" s="205" t="s">
        <v>33</v>
      </c>
      <c r="O350" s="205" t="s">
        <v>53</v>
      </c>
      <c r="P350" s="205" t="s">
        <v>103</v>
      </c>
      <c r="Q350" s="205" t="s">
        <v>871</v>
      </c>
      <c r="R350" s="211">
        <v>61201</v>
      </c>
      <c r="S350" s="212">
        <v>42034</v>
      </c>
      <c r="T350" s="212">
        <v>42036</v>
      </c>
      <c r="U350" s="207">
        <v>232.2816</v>
      </c>
      <c r="V350" s="204">
        <v>11</v>
      </c>
      <c r="W350" s="207">
        <v>336.64</v>
      </c>
      <c r="X350" s="204">
        <v>86279</v>
      </c>
      <c r="Y350" s="213">
        <v>218.65</v>
      </c>
      <c r="Z350" s="214" t="s">
        <v>3012</v>
      </c>
      <c r="AA350" s="215">
        <v>34.958000000000006</v>
      </c>
      <c r="AB350" s="216">
        <v>195.25120000000001</v>
      </c>
      <c r="AC350" s="216">
        <v>12.853527272727272</v>
      </c>
      <c r="AD350" s="215">
        <v>67.410399999999981</v>
      </c>
    </row>
    <row r="351" spans="1:30" s="217" customFormat="1" ht="15.75" customHeight="1" x14ac:dyDescent="0.2">
      <c r="A351" s="204">
        <v>550</v>
      </c>
      <c r="B351" s="205" t="s">
        <v>872</v>
      </c>
      <c r="C351" s="205" t="s">
        <v>38</v>
      </c>
      <c r="D351" s="206">
        <v>0.1</v>
      </c>
      <c r="E351" s="207">
        <v>218.75</v>
      </c>
      <c r="F351" s="207">
        <v>69.64</v>
      </c>
      <c r="G351" s="208" t="s">
        <v>27</v>
      </c>
      <c r="H351" s="205" t="s">
        <v>94</v>
      </c>
      <c r="I351" s="205" t="s">
        <v>29</v>
      </c>
      <c r="J351" s="205" t="s">
        <v>30</v>
      </c>
      <c r="K351" s="205" t="s">
        <v>31</v>
      </c>
      <c r="L351" s="209" t="s">
        <v>874</v>
      </c>
      <c r="M351" s="210">
        <v>0.77</v>
      </c>
      <c r="N351" s="205" t="s">
        <v>33</v>
      </c>
      <c r="O351" s="205" t="s">
        <v>53</v>
      </c>
      <c r="P351" s="205" t="s">
        <v>187</v>
      </c>
      <c r="Q351" s="205" t="s">
        <v>873</v>
      </c>
      <c r="R351" s="211">
        <v>78155</v>
      </c>
      <c r="S351" s="212">
        <v>42034</v>
      </c>
      <c r="T351" s="212">
        <v>42036</v>
      </c>
      <c r="U351" s="207">
        <v>-201.27600000000001</v>
      </c>
      <c r="V351" s="204">
        <v>1</v>
      </c>
      <c r="W351" s="207">
        <v>188.51</v>
      </c>
      <c r="X351" s="204">
        <v>90909</v>
      </c>
      <c r="Y351" s="213">
        <v>15.04</v>
      </c>
      <c r="Z351" s="214" t="s">
        <v>3012</v>
      </c>
      <c r="AA351" s="215">
        <v>21.875</v>
      </c>
      <c r="AB351" s="216">
        <v>43.357299999999995</v>
      </c>
      <c r="AC351" s="216">
        <v>145.15270000000001</v>
      </c>
      <c r="AD351" s="215">
        <v>298.27100000000002</v>
      </c>
    </row>
    <row r="352" spans="1:30" s="217" customFormat="1" ht="15.75" customHeight="1" x14ac:dyDescent="0.2">
      <c r="A352" s="204">
        <v>1442</v>
      </c>
      <c r="B352" s="205" t="s">
        <v>877</v>
      </c>
      <c r="C352" s="205" t="s">
        <v>48</v>
      </c>
      <c r="D352" s="206">
        <v>0.02</v>
      </c>
      <c r="E352" s="207">
        <v>15.99</v>
      </c>
      <c r="F352" s="207">
        <v>13.18</v>
      </c>
      <c r="G352" s="208" t="s">
        <v>87</v>
      </c>
      <c r="H352" s="205" t="s">
        <v>94</v>
      </c>
      <c r="I352" s="205" t="s">
        <v>49</v>
      </c>
      <c r="J352" s="205" t="s">
        <v>72</v>
      </c>
      <c r="K352" s="205" t="s">
        <v>73</v>
      </c>
      <c r="L352" s="209" t="s">
        <v>295</v>
      </c>
      <c r="M352" s="210">
        <v>0.37</v>
      </c>
      <c r="N352" s="205" t="s">
        <v>33</v>
      </c>
      <c r="O352" s="205" t="s">
        <v>53</v>
      </c>
      <c r="P352" s="205" t="s">
        <v>80</v>
      </c>
      <c r="Q352" s="205" t="s">
        <v>878</v>
      </c>
      <c r="R352" s="211">
        <v>65807</v>
      </c>
      <c r="S352" s="212">
        <v>42034</v>
      </c>
      <c r="T352" s="212">
        <v>42038</v>
      </c>
      <c r="U352" s="207">
        <v>-76.992500000000007</v>
      </c>
      <c r="V352" s="204">
        <v>7</v>
      </c>
      <c r="W352" s="207">
        <v>123.03</v>
      </c>
      <c r="X352" s="204">
        <v>89077</v>
      </c>
      <c r="Y352" s="213">
        <v>15.97</v>
      </c>
      <c r="Z352" s="214" t="s">
        <v>3012</v>
      </c>
      <c r="AA352" s="215">
        <v>2.2386000000000004</v>
      </c>
      <c r="AB352" s="216">
        <v>77.508899999999997</v>
      </c>
      <c r="AC352" s="216">
        <v>6.5030142857142863</v>
      </c>
      <c r="AD352" s="215">
        <v>184.60390000000001</v>
      </c>
    </row>
    <row r="353" spans="1:30" s="217" customFormat="1" ht="15.75" customHeight="1" x14ac:dyDescent="0.2">
      <c r="A353" s="204">
        <v>551</v>
      </c>
      <c r="B353" s="205" t="s">
        <v>875</v>
      </c>
      <c r="C353" s="205" t="s">
        <v>38</v>
      </c>
      <c r="D353" s="206">
        <v>0</v>
      </c>
      <c r="E353" s="207">
        <v>15.04</v>
      </c>
      <c r="F353" s="207">
        <v>1.97</v>
      </c>
      <c r="G353" s="208" t="s">
        <v>39</v>
      </c>
      <c r="H353" s="205" t="s">
        <v>94</v>
      </c>
      <c r="I353" s="205" t="s">
        <v>49</v>
      </c>
      <c r="J353" s="205" t="s">
        <v>88</v>
      </c>
      <c r="K353" s="205" t="s">
        <v>51</v>
      </c>
      <c r="L353" s="209" t="s">
        <v>92</v>
      </c>
      <c r="M353" s="210">
        <v>0.39</v>
      </c>
      <c r="N353" s="205" t="s">
        <v>33</v>
      </c>
      <c r="O353" s="205" t="s">
        <v>53</v>
      </c>
      <c r="P353" s="205" t="s">
        <v>187</v>
      </c>
      <c r="Q353" s="205" t="s">
        <v>876</v>
      </c>
      <c r="R353" s="211">
        <v>75090</v>
      </c>
      <c r="S353" s="212">
        <v>42034</v>
      </c>
      <c r="T353" s="212">
        <v>42036</v>
      </c>
      <c r="U353" s="207">
        <v>21.514199999999999</v>
      </c>
      <c r="V353" s="204">
        <v>2</v>
      </c>
      <c r="W353" s="207">
        <v>31.18</v>
      </c>
      <c r="X353" s="204">
        <v>90909</v>
      </c>
      <c r="Y353" s="213">
        <v>46.849999999999994</v>
      </c>
      <c r="Z353" s="214" t="s">
        <v>3012</v>
      </c>
      <c r="AA353" s="215">
        <v>0</v>
      </c>
      <c r="AB353" s="216">
        <v>19.0198</v>
      </c>
      <c r="AC353" s="216">
        <v>6.0800999999999998</v>
      </c>
      <c r="AD353" s="215">
        <v>7.695800000000002</v>
      </c>
    </row>
    <row r="354" spans="1:30" s="217" customFormat="1" ht="15.75" customHeight="1" x14ac:dyDescent="0.2">
      <c r="A354" s="204">
        <v>550</v>
      </c>
      <c r="B354" s="205" t="s">
        <v>872</v>
      </c>
      <c r="C354" s="205" t="s">
        <v>38</v>
      </c>
      <c r="D354" s="206">
        <v>0.05</v>
      </c>
      <c r="E354" s="207">
        <v>1.68</v>
      </c>
      <c r="F354" s="207">
        <v>1.57</v>
      </c>
      <c r="G354" s="208" t="s">
        <v>39</v>
      </c>
      <c r="H354" s="205" t="s">
        <v>94</v>
      </c>
      <c r="I354" s="205" t="s">
        <v>49</v>
      </c>
      <c r="J354" s="205" t="s">
        <v>50</v>
      </c>
      <c r="K354" s="205" t="s">
        <v>51</v>
      </c>
      <c r="L354" s="209" t="s">
        <v>574</v>
      </c>
      <c r="M354" s="210">
        <v>0.59</v>
      </c>
      <c r="N354" s="205" t="s">
        <v>33</v>
      </c>
      <c r="O354" s="205" t="s">
        <v>53</v>
      </c>
      <c r="P354" s="205" t="s">
        <v>187</v>
      </c>
      <c r="Q354" s="205" t="s">
        <v>873</v>
      </c>
      <c r="R354" s="211">
        <v>78155</v>
      </c>
      <c r="S354" s="212">
        <v>42034</v>
      </c>
      <c r="T354" s="212">
        <v>42035</v>
      </c>
      <c r="U354" s="207">
        <v>-33.340000000000003</v>
      </c>
      <c r="V354" s="204">
        <v>11</v>
      </c>
      <c r="W354" s="207">
        <v>18.75</v>
      </c>
      <c r="X354" s="204">
        <v>90909</v>
      </c>
      <c r="Y354" s="213">
        <v>574.66999999999996</v>
      </c>
      <c r="Z354" s="214" t="s">
        <v>3012</v>
      </c>
      <c r="AA354" s="215">
        <v>0.92400000000000004</v>
      </c>
      <c r="AB354" s="216">
        <v>7.6875000000000009</v>
      </c>
      <c r="AC354" s="216">
        <v>1.0056818181818181</v>
      </c>
      <c r="AD354" s="215">
        <v>49.596000000000004</v>
      </c>
    </row>
    <row r="355" spans="1:30" s="37" customFormat="1" ht="15.75" customHeight="1" x14ac:dyDescent="0.2">
      <c r="A355" s="26">
        <v>2781</v>
      </c>
      <c r="B355" s="27" t="s">
        <v>895</v>
      </c>
      <c r="C355" s="27" t="s">
        <v>48</v>
      </c>
      <c r="D355" s="28">
        <v>0.03</v>
      </c>
      <c r="E355" s="29">
        <v>808.49</v>
      </c>
      <c r="F355" s="29">
        <v>55.3</v>
      </c>
      <c r="G355" s="30" t="s">
        <v>27</v>
      </c>
      <c r="H355" s="27" t="s">
        <v>40</v>
      </c>
      <c r="I355" s="27" t="s">
        <v>41</v>
      </c>
      <c r="J355" s="27" t="s">
        <v>57</v>
      </c>
      <c r="K355" s="27" t="s">
        <v>58</v>
      </c>
      <c r="L355" s="31" t="s">
        <v>898</v>
      </c>
      <c r="M355" s="32">
        <v>0.4</v>
      </c>
      <c r="N355" s="27" t="s">
        <v>33</v>
      </c>
      <c r="O355" s="27" t="s">
        <v>60</v>
      </c>
      <c r="P355" s="27" t="s">
        <v>139</v>
      </c>
      <c r="Q355" s="27" t="s">
        <v>897</v>
      </c>
      <c r="R355" s="33">
        <v>97071</v>
      </c>
      <c r="S355" s="34">
        <v>42035</v>
      </c>
      <c r="T355" s="34">
        <v>42042</v>
      </c>
      <c r="U355" s="29">
        <v>7576.11</v>
      </c>
      <c r="V355" s="26">
        <v>11</v>
      </c>
      <c r="W355" s="29">
        <v>8201.33</v>
      </c>
      <c r="X355" s="26">
        <v>87162</v>
      </c>
      <c r="Y355" s="35">
        <v>8.31</v>
      </c>
      <c r="Z355" s="1" t="s">
        <v>3013</v>
      </c>
      <c r="AA355" s="36">
        <v>266.80169999999998</v>
      </c>
      <c r="AB355" s="54">
        <v>4920.7979999999998</v>
      </c>
      <c r="AC355" s="54">
        <v>298.23018181818185</v>
      </c>
      <c r="AD355" s="36">
        <v>303.11830000000009</v>
      </c>
    </row>
    <row r="356" spans="1:30" s="37" customFormat="1" ht="15.75" customHeight="1" x14ac:dyDescent="0.2">
      <c r="A356" s="26">
        <v>911</v>
      </c>
      <c r="B356" s="27" t="s">
        <v>902</v>
      </c>
      <c r="C356" s="27" t="s">
        <v>3094</v>
      </c>
      <c r="D356" s="28">
        <v>0.04</v>
      </c>
      <c r="E356" s="29">
        <v>218.75</v>
      </c>
      <c r="F356" s="29">
        <v>69.64</v>
      </c>
      <c r="G356" s="30" t="s">
        <v>27</v>
      </c>
      <c r="H356" s="27" t="s">
        <v>94</v>
      </c>
      <c r="I356" s="27" t="s">
        <v>29</v>
      </c>
      <c r="J356" s="27" t="s">
        <v>30</v>
      </c>
      <c r="K356" s="27" t="s">
        <v>31</v>
      </c>
      <c r="L356" s="31" t="s">
        <v>874</v>
      </c>
      <c r="M356" s="32">
        <v>0.72</v>
      </c>
      <c r="N356" s="27" t="s">
        <v>33</v>
      </c>
      <c r="O356" s="27" t="s">
        <v>111</v>
      </c>
      <c r="P356" s="27" t="s">
        <v>903</v>
      </c>
      <c r="Q356" s="27" t="s">
        <v>904</v>
      </c>
      <c r="R356" s="33">
        <v>26003</v>
      </c>
      <c r="S356" s="34">
        <v>42035</v>
      </c>
      <c r="T356" s="34">
        <v>42036</v>
      </c>
      <c r="U356" s="29">
        <v>-655.52987499999995</v>
      </c>
      <c r="V356" s="26">
        <v>10</v>
      </c>
      <c r="W356" s="29">
        <v>2285.41</v>
      </c>
      <c r="X356" s="26">
        <v>90185</v>
      </c>
      <c r="Y356" s="35">
        <v>15.200000000000001</v>
      </c>
      <c r="Z356" s="1" t="s">
        <v>3014</v>
      </c>
      <c r="AA356" s="36">
        <v>87.5</v>
      </c>
      <c r="AB356" s="54">
        <v>639.91480000000001</v>
      </c>
      <c r="AC356" s="54">
        <v>164.54952</v>
      </c>
      <c r="AD356" s="36">
        <v>2783.7998749999997</v>
      </c>
    </row>
    <row r="357" spans="1:30" s="37" customFormat="1" ht="15.75" customHeight="1" x14ac:dyDescent="0.2">
      <c r="A357" s="26">
        <v>1723</v>
      </c>
      <c r="B357" s="27" t="s">
        <v>888</v>
      </c>
      <c r="C357" s="27" t="s">
        <v>48</v>
      </c>
      <c r="D357" s="28">
        <v>0.1</v>
      </c>
      <c r="E357" s="29">
        <v>49.99</v>
      </c>
      <c r="F357" s="29">
        <v>19.989999999999998</v>
      </c>
      <c r="G357" s="30" t="s">
        <v>87</v>
      </c>
      <c r="H357" s="27" t="s">
        <v>94</v>
      </c>
      <c r="I357" s="27" t="s">
        <v>41</v>
      </c>
      <c r="J357" s="27" t="s">
        <v>42</v>
      </c>
      <c r="K357" s="27" t="s">
        <v>73</v>
      </c>
      <c r="L357" s="31" t="s">
        <v>889</v>
      </c>
      <c r="M357" s="32">
        <v>0.45</v>
      </c>
      <c r="N357" s="27" t="s">
        <v>33</v>
      </c>
      <c r="O357" s="27" t="s">
        <v>60</v>
      </c>
      <c r="P357" s="27" t="s">
        <v>90</v>
      </c>
      <c r="Q357" s="27" t="s">
        <v>890</v>
      </c>
      <c r="R357" s="33">
        <v>92037</v>
      </c>
      <c r="S357" s="34">
        <v>42035</v>
      </c>
      <c r="T357" s="34">
        <v>42040</v>
      </c>
      <c r="U357" s="29">
        <v>13.507999999999999</v>
      </c>
      <c r="V357" s="26">
        <v>46</v>
      </c>
      <c r="W357" s="29">
        <v>2188.06</v>
      </c>
      <c r="X357" s="26">
        <v>40101</v>
      </c>
      <c r="Y357" s="35">
        <v>49.89</v>
      </c>
      <c r="Z357" s="1" t="s">
        <v>3013</v>
      </c>
      <c r="AA357" s="36">
        <v>229.95400000000004</v>
      </c>
      <c r="AB357" s="54">
        <v>1203.433</v>
      </c>
      <c r="AC357" s="54">
        <v>21.404934782608699</v>
      </c>
      <c r="AD357" s="36">
        <v>1924.6079999999999</v>
      </c>
    </row>
    <row r="358" spans="1:30" s="37" customFormat="1" ht="15.75" customHeight="1" x14ac:dyDescent="0.2">
      <c r="A358" s="26">
        <v>2202</v>
      </c>
      <c r="B358" s="27" t="s">
        <v>891</v>
      </c>
      <c r="C358" s="27" t="s">
        <v>48</v>
      </c>
      <c r="D358" s="28">
        <v>0.09</v>
      </c>
      <c r="E358" s="29">
        <v>160.97999999999999</v>
      </c>
      <c r="F358" s="29">
        <v>30</v>
      </c>
      <c r="G358" s="30" t="s">
        <v>27</v>
      </c>
      <c r="H358" s="27" t="s">
        <v>71</v>
      </c>
      <c r="I358" s="27" t="s">
        <v>29</v>
      </c>
      <c r="J358" s="27" t="s">
        <v>109</v>
      </c>
      <c r="K358" s="27" t="s">
        <v>58</v>
      </c>
      <c r="L358" s="31" t="s">
        <v>892</v>
      </c>
      <c r="M358" s="32">
        <v>0.62</v>
      </c>
      <c r="N358" s="27" t="s">
        <v>33</v>
      </c>
      <c r="O358" s="27" t="s">
        <v>53</v>
      </c>
      <c r="P358" s="27" t="s">
        <v>84</v>
      </c>
      <c r="Q358" s="27" t="s">
        <v>893</v>
      </c>
      <c r="R358" s="33">
        <v>55429</v>
      </c>
      <c r="S358" s="34">
        <v>42035</v>
      </c>
      <c r="T358" s="34">
        <v>42035</v>
      </c>
      <c r="U358" s="29">
        <v>357.428</v>
      </c>
      <c r="V358" s="26">
        <v>11</v>
      </c>
      <c r="W358" s="29">
        <v>1635.38</v>
      </c>
      <c r="X358" s="26">
        <v>86050</v>
      </c>
      <c r="Y358" s="35">
        <v>160.88999999999999</v>
      </c>
      <c r="Z358" s="1" t="s">
        <v>3012</v>
      </c>
      <c r="AA358" s="36">
        <v>159.37019999999998</v>
      </c>
      <c r="AB358" s="54">
        <v>621.44440000000009</v>
      </c>
      <c r="AC358" s="54">
        <v>92.175963636363647</v>
      </c>
      <c r="AD358" s="36">
        <v>1088.5818000000002</v>
      </c>
    </row>
    <row r="359" spans="1:30" s="37" customFormat="1" ht="15.75" customHeight="1" x14ac:dyDescent="0.2">
      <c r="A359" s="26">
        <v>1238</v>
      </c>
      <c r="B359" s="27" t="s">
        <v>900</v>
      </c>
      <c r="C359" s="27" t="s">
        <v>116</v>
      </c>
      <c r="D359" s="28">
        <v>0.01</v>
      </c>
      <c r="E359" s="29">
        <v>160.97999999999999</v>
      </c>
      <c r="F359" s="29">
        <v>30</v>
      </c>
      <c r="G359" s="30" t="s">
        <v>27</v>
      </c>
      <c r="H359" s="27" t="s">
        <v>94</v>
      </c>
      <c r="I359" s="27" t="s">
        <v>29</v>
      </c>
      <c r="J359" s="27" t="s">
        <v>109</v>
      </c>
      <c r="K359" s="27" t="s">
        <v>58</v>
      </c>
      <c r="L359" s="31" t="s">
        <v>892</v>
      </c>
      <c r="M359" s="32">
        <v>0.62</v>
      </c>
      <c r="N359" s="27" t="s">
        <v>33</v>
      </c>
      <c r="O359" s="27" t="s">
        <v>53</v>
      </c>
      <c r="P359" s="27" t="s">
        <v>187</v>
      </c>
      <c r="Q359" s="27" t="s">
        <v>901</v>
      </c>
      <c r="R359" s="33">
        <v>75104</v>
      </c>
      <c r="S359" s="34">
        <v>42035</v>
      </c>
      <c r="T359" s="34">
        <v>42037</v>
      </c>
      <c r="U359" s="29">
        <v>788.79</v>
      </c>
      <c r="V359" s="26">
        <v>10</v>
      </c>
      <c r="W359" s="29">
        <v>1634.67</v>
      </c>
      <c r="X359" s="26">
        <v>86075</v>
      </c>
      <c r="Y359" s="35">
        <v>6.21</v>
      </c>
      <c r="Z359" s="1" t="s">
        <v>3012</v>
      </c>
      <c r="AA359" s="36">
        <v>16.097999999999999</v>
      </c>
      <c r="AB359" s="54">
        <v>621.17460000000005</v>
      </c>
      <c r="AC359" s="54">
        <v>101.34954</v>
      </c>
      <c r="AD359" s="36">
        <v>799.78200000000015</v>
      </c>
    </row>
    <row r="360" spans="1:30" s="37" customFormat="1" ht="15.75" customHeight="1" x14ac:dyDescent="0.2">
      <c r="A360" s="26">
        <v>343</v>
      </c>
      <c r="B360" s="27" t="s">
        <v>885</v>
      </c>
      <c r="C360" s="27" t="s">
        <v>26</v>
      </c>
      <c r="D360" s="28">
        <v>0.03</v>
      </c>
      <c r="E360" s="29">
        <v>15.23</v>
      </c>
      <c r="F360" s="29">
        <v>27.75</v>
      </c>
      <c r="G360" s="30" t="s">
        <v>27</v>
      </c>
      <c r="H360" s="27" t="s">
        <v>94</v>
      </c>
      <c r="I360" s="27" t="s">
        <v>29</v>
      </c>
      <c r="J360" s="27" t="s">
        <v>30</v>
      </c>
      <c r="K360" s="27" t="s">
        <v>31</v>
      </c>
      <c r="L360" s="31" t="s">
        <v>886</v>
      </c>
      <c r="M360" s="32">
        <v>0.76</v>
      </c>
      <c r="N360" s="27" t="s">
        <v>33</v>
      </c>
      <c r="O360" s="27" t="s">
        <v>111</v>
      </c>
      <c r="P360" s="27" t="s">
        <v>331</v>
      </c>
      <c r="Q360" s="27" t="s">
        <v>887</v>
      </c>
      <c r="R360" s="33">
        <v>4401</v>
      </c>
      <c r="S360" s="34">
        <v>42035</v>
      </c>
      <c r="T360" s="34">
        <v>42036</v>
      </c>
      <c r="U360" s="29">
        <v>11.65095</v>
      </c>
      <c r="V360" s="26">
        <v>7</v>
      </c>
      <c r="W360" s="29">
        <v>111.86</v>
      </c>
      <c r="X360" s="26">
        <v>88151</v>
      </c>
      <c r="Y360" s="35">
        <v>4.9800000000000004</v>
      </c>
      <c r="Z360" s="1" t="s">
        <v>3014</v>
      </c>
      <c r="AA360" s="36">
        <v>3.1982999999999997</v>
      </c>
      <c r="AB360" s="54">
        <v>26.846399999999999</v>
      </c>
      <c r="AC360" s="54">
        <v>12.1448</v>
      </c>
      <c r="AD360" s="36">
        <v>69.260750000000002</v>
      </c>
    </row>
    <row r="361" spans="1:30" s="37" customFormat="1" ht="15.75" customHeight="1" x14ac:dyDescent="0.2">
      <c r="A361" s="26">
        <v>2137</v>
      </c>
      <c r="B361" s="27" t="s">
        <v>905</v>
      </c>
      <c r="C361" s="27" t="s">
        <v>3094</v>
      </c>
      <c r="D361" s="28">
        <v>0</v>
      </c>
      <c r="E361" s="29">
        <v>6.98</v>
      </c>
      <c r="F361" s="29">
        <v>1.6</v>
      </c>
      <c r="G361" s="30" t="s">
        <v>39</v>
      </c>
      <c r="H361" s="27" t="s">
        <v>94</v>
      </c>
      <c r="I361" s="27" t="s">
        <v>49</v>
      </c>
      <c r="J361" s="27" t="s">
        <v>88</v>
      </c>
      <c r="K361" s="27" t="s">
        <v>51</v>
      </c>
      <c r="L361" s="31" t="s">
        <v>722</v>
      </c>
      <c r="M361" s="32">
        <v>0.38</v>
      </c>
      <c r="N361" s="27" t="s">
        <v>33</v>
      </c>
      <c r="O361" s="27" t="s">
        <v>34</v>
      </c>
      <c r="P361" s="27" t="s">
        <v>123</v>
      </c>
      <c r="Q361" s="27" t="s">
        <v>906</v>
      </c>
      <c r="R361" s="33">
        <v>33407</v>
      </c>
      <c r="S361" s="34">
        <v>42035</v>
      </c>
      <c r="T361" s="34">
        <v>42037</v>
      </c>
      <c r="U361" s="29">
        <v>-343.86799999999999</v>
      </c>
      <c r="V361" s="26">
        <v>9</v>
      </c>
      <c r="W361" s="29">
        <v>64.48</v>
      </c>
      <c r="X361" s="26">
        <v>86002</v>
      </c>
      <c r="Y361" s="35">
        <v>2.0700000000000003</v>
      </c>
      <c r="Z361" s="1" t="s">
        <v>3011</v>
      </c>
      <c r="AA361" s="36">
        <v>0</v>
      </c>
      <c r="AB361" s="54">
        <v>39.977600000000002</v>
      </c>
      <c r="AC361" s="54">
        <v>2.7224888888888894</v>
      </c>
      <c r="AD361" s="36">
        <v>406.74799999999999</v>
      </c>
    </row>
    <row r="362" spans="1:30" s="37" customFormat="1" ht="15.75" customHeight="1" x14ac:dyDescent="0.2">
      <c r="A362" s="26">
        <v>2202</v>
      </c>
      <c r="B362" s="27" t="s">
        <v>891</v>
      </c>
      <c r="C362" s="27" t="s">
        <v>48</v>
      </c>
      <c r="D362" s="28">
        <v>0.09</v>
      </c>
      <c r="E362" s="29">
        <v>6.3</v>
      </c>
      <c r="F362" s="29">
        <v>0.5</v>
      </c>
      <c r="G362" s="30" t="s">
        <v>39</v>
      </c>
      <c r="H362" s="27" t="s">
        <v>71</v>
      </c>
      <c r="I362" s="27" t="s">
        <v>49</v>
      </c>
      <c r="J362" s="27" t="s">
        <v>152</v>
      </c>
      <c r="K362" s="27" t="s">
        <v>73</v>
      </c>
      <c r="L362" s="31" t="s">
        <v>422</v>
      </c>
      <c r="M362" s="32">
        <v>0.39</v>
      </c>
      <c r="N362" s="27" t="s">
        <v>33</v>
      </c>
      <c r="O362" s="27" t="s">
        <v>53</v>
      </c>
      <c r="P362" s="27" t="s">
        <v>84</v>
      </c>
      <c r="Q362" s="27" t="s">
        <v>893</v>
      </c>
      <c r="R362" s="33">
        <v>55429</v>
      </c>
      <c r="S362" s="34">
        <v>42035</v>
      </c>
      <c r="T362" s="34">
        <v>42035</v>
      </c>
      <c r="U362" s="29">
        <v>40.351199999999999</v>
      </c>
      <c r="V362" s="26">
        <v>10</v>
      </c>
      <c r="W362" s="29">
        <v>58.48</v>
      </c>
      <c r="X362" s="26">
        <v>86050</v>
      </c>
      <c r="Y362" s="35">
        <v>808.46</v>
      </c>
      <c r="Z362" s="1" t="s">
        <v>3012</v>
      </c>
      <c r="AA362" s="36">
        <v>5.67</v>
      </c>
      <c r="AB362" s="54">
        <v>35.672799999999995</v>
      </c>
      <c r="AC362" s="54">
        <v>2.2807200000000001</v>
      </c>
      <c r="AD362" s="36">
        <v>11.958799999999997</v>
      </c>
    </row>
    <row r="363" spans="1:30" s="37" customFormat="1" ht="15.75" customHeight="1" x14ac:dyDescent="0.2">
      <c r="A363" s="26">
        <v>2202</v>
      </c>
      <c r="B363" s="27" t="s">
        <v>891</v>
      </c>
      <c r="C363" s="27" t="s">
        <v>48</v>
      </c>
      <c r="D363" s="28">
        <v>0</v>
      </c>
      <c r="E363" s="29">
        <v>4.9800000000000004</v>
      </c>
      <c r="F363" s="29">
        <v>0.8</v>
      </c>
      <c r="G363" s="30" t="s">
        <v>39</v>
      </c>
      <c r="H363" s="27" t="s">
        <v>71</v>
      </c>
      <c r="I363" s="27" t="s">
        <v>49</v>
      </c>
      <c r="J363" s="27" t="s">
        <v>88</v>
      </c>
      <c r="K363" s="27" t="s">
        <v>51</v>
      </c>
      <c r="L363" s="31" t="s">
        <v>894</v>
      </c>
      <c r="M363" s="32">
        <v>0.36</v>
      </c>
      <c r="N363" s="27" t="s">
        <v>33</v>
      </c>
      <c r="O363" s="27" t="s">
        <v>53</v>
      </c>
      <c r="P363" s="27" t="s">
        <v>84</v>
      </c>
      <c r="Q363" s="27" t="s">
        <v>893</v>
      </c>
      <c r="R363" s="33">
        <v>55429</v>
      </c>
      <c r="S363" s="34">
        <v>42035</v>
      </c>
      <c r="T363" s="34">
        <v>42042</v>
      </c>
      <c r="U363" s="29">
        <v>27.634499999999999</v>
      </c>
      <c r="V363" s="26">
        <v>8</v>
      </c>
      <c r="W363" s="29">
        <v>40.049999999999997</v>
      </c>
      <c r="X363" s="26">
        <v>86050</v>
      </c>
      <c r="Y363" s="35">
        <v>6.48</v>
      </c>
      <c r="Z363" s="1" t="s">
        <v>3012</v>
      </c>
      <c r="AA363" s="36">
        <v>0</v>
      </c>
      <c r="AB363" s="54">
        <v>25.631999999999998</v>
      </c>
      <c r="AC363" s="54">
        <v>1.8022499999999999</v>
      </c>
      <c r="AD363" s="36">
        <v>11.615499999999997</v>
      </c>
    </row>
    <row r="364" spans="1:30" s="37" customFormat="1" ht="15.75" customHeight="1" x14ac:dyDescent="0.2">
      <c r="A364" s="26">
        <v>256</v>
      </c>
      <c r="B364" s="27" t="s">
        <v>882</v>
      </c>
      <c r="C364" s="27" t="s">
        <v>26</v>
      </c>
      <c r="D364" s="28">
        <v>0.03</v>
      </c>
      <c r="E364" s="29">
        <v>8.34</v>
      </c>
      <c r="F364" s="29">
        <v>2.64</v>
      </c>
      <c r="G364" s="30" t="s">
        <v>39</v>
      </c>
      <c r="H364" s="27" t="s">
        <v>71</v>
      </c>
      <c r="I364" s="27" t="s">
        <v>49</v>
      </c>
      <c r="J364" s="27" t="s">
        <v>568</v>
      </c>
      <c r="K364" s="27" t="s">
        <v>43</v>
      </c>
      <c r="L364" s="31" t="s">
        <v>883</v>
      </c>
      <c r="M364" s="32">
        <v>0.59</v>
      </c>
      <c r="N364" s="27" t="s">
        <v>33</v>
      </c>
      <c r="O364" s="27" t="s">
        <v>111</v>
      </c>
      <c r="P364" s="27" t="s">
        <v>320</v>
      </c>
      <c r="Q364" s="27" t="s">
        <v>884</v>
      </c>
      <c r="R364" s="33">
        <v>17331</v>
      </c>
      <c r="S364" s="34">
        <v>42035</v>
      </c>
      <c r="T364" s="34">
        <v>42037</v>
      </c>
      <c r="U364" s="29">
        <v>0.68400000000000005</v>
      </c>
      <c r="V364" s="26">
        <v>4</v>
      </c>
      <c r="W364" s="29">
        <v>34.64</v>
      </c>
      <c r="X364" s="26">
        <v>86267</v>
      </c>
      <c r="Y364" s="35">
        <v>160.97</v>
      </c>
      <c r="Z364" s="1" t="s">
        <v>3014</v>
      </c>
      <c r="AA364" s="36">
        <v>1.0007999999999999</v>
      </c>
      <c r="AB364" s="54">
        <v>14.202400000000001</v>
      </c>
      <c r="AC364" s="54">
        <v>5.1093999999999999</v>
      </c>
      <c r="AD364" s="36">
        <v>30.315200000000001</v>
      </c>
    </row>
    <row r="365" spans="1:30" s="37" customFormat="1" ht="15.75" customHeight="1" x14ac:dyDescent="0.2">
      <c r="A365" s="26">
        <v>2781</v>
      </c>
      <c r="B365" s="27" t="s">
        <v>895</v>
      </c>
      <c r="C365" s="27" t="s">
        <v>48</v>
      </c>
      <c r="D365" s="28">
        <v>0</v>
      </c>
      <c r="E365" s="29">
        <v>6.48</v>
      </c>
      <c r="F365" s="29">
        <v>8.19</v>
      </c>
      <c r="G365" s="30" t="s">
        <v>39</v>
      </c>
      <c r="H365" s="27" t="s">
        <v>40</v>
      </c>
      <c r="I365" s="27" t="s">
        <v>49</v>
      </c>
      <c r="J365" s="27" t="s">
        <v>88</v>
      </c>
      <c r="K365" s="27" t="s">
        <v>73</v>
      </c>
      <c r="L365" s="31" t="s">
        <v>899</v>
      </c>
      <c r="M365" s="32">
        <v>0.37</v>
      </c>
      <c r="N365" s="27" t="s">
        <v>33</v>
      </c>
      <c r="O365" s="27" t="s">
        <v>60</v>
      </c>
      <c r="P365" s="27" t="s">
        <v>139</v>
      </c>
      <c r="Q365" s="27" t="s">
        <v>897</v>
      </c>
      <c r="R365" s="33">
        <v>97071</v>
      </c>
      <c r="S365" s="34">
        <v>42035</v>
      </c>
      <c r="T365" s="34">
        <v>42042</v>
      </c>
      <c r="U365" s="29">
        <v>-43.26</v>
      </c>
      <c r="V365" s="26">
        <v>3</v>
      </c>
      <c r="W365" s="29">
        <v>22.67</v>
      </c>
      <c r="X365" s="26">
        <v>87162</v>
      </c>
      <c r="Y365" s="35">
        <v>7.59</v>
      </c>
      <c r="Z365" s="1" t="s">
        <v>3013</v>
      </c>
      <c r="AA365" s="36">
        <v>0</v>
      </c>
      <c r="AB365" s="54">
        <v>14.282100000000002</v>
      </c>
      <c r="AC365" s="54">
        <v>2.7959666666666672</v>
      </c>
      <c r="AD365" s="36">
        <v>57.74</v>
      </c>
    </row>
    <row r="366" spans="1:30" s="37" customFormat="1" ht="15.75" customHeight="1" x14ac:dyDescent="0.2">
      <c r="A366" s="26">
        <v>911</v>
      </c>
      <c r="B366" s="27" t="s">
        <v>902</v>
      </c>
      <c r="C366" s="27" t="s">
        <v>3094</v>
      </c>
      <c r="D366" s="28">
        <v>0.05</v>
      </c>
      <c r="E366" s="29">
        <v>7.64</v>
      </c>
      <c r="F366" s="29">
        <v>5.83</v>
      </c>
      <c r="G366" s="30" t="s">
        <v>39</v>
      </c>
      <c r="H366" s="27" t="s">
        <v>94</v>
      </c>
      <c r="I366" s="27" t="s">
        <v>49</v>
      </c>
      <c r="J366" s="27" t="s">
        <v>88</v>
      </c>
      <c r="K366" s="27" t="s">
        <v>51</v>
      </c>
      <c r="L366" s="31" t="s">
        <v>232</v>
      </c>
      <c r="M366" s="32">
        <v>0.36</v>
      </c>
      <c r="N366" s="27" t="s">
        <v>33</v>
      </c>
      <c r="O366" s="27" t="s">
        <v>111</v>
      </c>
      <c r="P366" s="27" t="s">
        <v>903</v>
      </c>
      <c r="Q366" s="27" t="s">
        <v>904</v>
      </c>
      <c r="R366" s="33">
        <v>26003</v>
      </c>
      <c r="S366" s="34">
        <v>42035</v>
      </c>
      <c r="T366" s="34">
        <v>42037</v>
      </c>
      <c r="U366" s="29">
        <v>-21.018000000000001</v>
      </c>
      <c r="V366" s="26">
        <v>2</v>
      </c>
      <c r="W366" s="29">
        <v>16.600000000000001</v>
      </c>
      <c r="X366" s="26">
        <v>90185</v>
      </c>
      <c r="Y366" s="35">
        <v>218.71</v>
      </c>
      <c r="Z366" s="1" t="s">
        <v>3014</v>
      </c>
      <c r="AA366" s="36">
        <v>0.76400000000000001</v>
      </c>
      <c r="AB366" s="54">
        <v>10.624000000000001</v>
      </c>
      <c r="AC366" s="54">
        <v>2.988</v>
      </c>
      <c r="AD366" s="36">
        <v>31.024000000000001</v>
      </c>
    </row>
    <row r="367" spans="1:30" s="37" customFormat="1" ht="15.75" customHeight="1" x14ac:dyDescent="0.2">
      <c r="A367" s="26">
        <v>2781</v>
      </c>
      <c r="B367" s="27" t="s">
        <v>895</v>
      </c>
      <c r="C367" s="27" t="s">
        <v>48</v>
      </c>
      <c r="D367" s="28">
        <v>0.09</v>
      </c>
      <c r="E367" s="29">
        <v>2.16</v>
      </c>
      <c r="F367" s="29">
        <v>6.05</v>
      </c>
      <c r="G367" s="30" t="s">
        <v>39</v>
      </c>
      <c r="H367" s="27" t="s">
        <v>40</v>
      </c>
      <c r="I367" s="27" t="s">
        <v>49</v>
      </c>
      <c r="J367" s="27" t="s">
        <v>72</v>
      </c>
      <c r="K367" s="27" t="s">
        <v>73</v>
      </c>
      <c r="L367" s="31" t="s">
        <v>896</v>
      </c>
      <c r="M367" s="32">
        <v>0.37</v>
      </c>
      <c r="N367" s="27" t="s">
        <v>33</v>
      </c>
      <c r="O367" s="27" t="s">
        <v>60</v>
      </c>
      <c r="P367" s="27" t="s">
        <v>139</v>
      </c>
      <c r="Q367" s="27" t="s">
        <v>897</v>
      </c>
      <c r="R367" s="33">
        <v>97071</v>
      </c>
      <c r="S367" s="34">
        <v>42035</v>
      </c>
      <c r="T367" s="34">
        <v>42039</v>
      </c>
      <c r="U367" s="29">
        <v>-37.789000000000001</v>
      </c>
      <c r="V367" s="26">
        <v>2</v>
      </c>
      <c r="W367" s="29">
        <v>5.48</v>
      </c>
      <c r="X367" s="26">
        <v>87162</v>
      </c>
      <c r="Y367" s="35">
        <v>6.98</v>
      </c>
      <c r="Z367" s="1" t="s">
        <v>3013</v>
      </c>
      <c r="AA367" s="36">
        <v>0.38880000000000003</v>
      </c>
      <c r="AB367" s="54">
        <v>3.4524000000000004</v>
      </c>
      <c r="AC367" s="54">
        <v>1.0138</v>
      </c>
      <c r="AD367" s="36">
        <v>36.830200000000005</v>
      </c>
    </row>
    <row r="368" spans="1:30" s="37" customFormat="1" ht="15.75" customHeight="1" x14ac:dyDescent="0.2">
      <c r="A368" s="26">
        <v>1949</v>
      </c>
      <c r="B368" s="27" t="s">
        <v>914</v>
      </c>
      <c r="C368" s="27" t="s">
        <v>48</v>
      </c>
      <c r="D368" s="28">
        <v>0.05</v>
      </c>
      <c r="E368" s="29">
        <v>424.21</v>
      </c>
      <c r="F368" s="29">
        <v>110.2</v>
      </c>
      <c r="G368" s="30" t="s">
        <v>27</v>
      </c>
      <c r="H368" s="27" t="s">
        <v>3095</v>
      </c>
      <c r="I368" s="27" t="s">
        <v>29</v>
      </c>
      <c r="J368" s="27" t="s">
        <v>30</v>
      </c>
      <c r="K368" s="27" t="s">
        <v>31</v>
      </c>
      <c r="L368" s="31" t="s">
        <v>915</v>
      </c>
      <c r="M368" s="32">
        <v>0.67</v>
      </c>
      <c r="N368" s="27" t="s">
        <v>33</v>
      </c>
      <c r="O368" s="27" t="s">
        <v>60</v>
      </c>
      <c r="P368" s="27" t="s">
        <v>277</v>
      </c>
      <c r="Q368" s="27" t="s">
        <v>916</v>
      </c>
      <c r="R368" s="33">
        <v>59715</v>
      </c>
      <c r="S368" s="34">
        <v>42036</v>
      </c>
      <c r="T368" s="34">
        <v>42040</v>
      </c>
      <c r="U368" s="29">
        <v>-213.40280000000001</v>
      </c>
      <c r="V368" s="26">
        <v>12</v>
      </c>
      <c r="W368" s="29">
        <v>4935.22</v>
      </c>
      <c r="X368" s="26">
        <v>90415</v>
      </c>
      <c r="Y368" s="35">
        <v>6.34</v>
      </c>
      <c r="Z368" s="1" t="s">
        <v>3013</v>
      </c>
      <c r="AA368" s="36">
        <v>254.52600000000001</v>
      </c>
      <c r="AB368" s="54">
        <v>1628.6225999999999</v>
      </c>
      <c r="AC368" s="54">
        <v>275.54978333333338</v>
      </c>
      <c r="AD368" s="36">
        <v>4783.8968000000004</v>
      </c>
    </row>
    <row r="369" spans="1:30" s="37" customFormat="1" ht="15.75" customHeight="1" x14ac:dyDescent="0.2">
      <c r="A369" s="26">
        <v>2071</v>
      </c>
      <c r="B369" s="27" t="s">
        <v>917</v>
      </c>
      <c r="C369" s="27" t="s">
        <v>3094</v>
      </c>
      <c r="D369" s="28">
        <v>0.03</v>
      </c>
      <c r="E369" s="29">
        <v>60.98</v>
      </c>
      <c r="F369" s="29">
        <v>1.99</v>
      </c>
      <c r="G369" s="30" t="s">
        <v>39</v>
      </c>
      <c r="H369" s="27" t="s">
        <v>94</v>
      </c>
      <c r="I369" s="27" t="s">
        <v>41</v>
      </c>
      <c r="J369" s="27" t="s">
        <v>42</v>
      </c>
      <c r="K369" s="27" t="s">
        <v>43</v>
      </c>
      <c r="L369" s="31" t="s">
        <v>918</v>
      </c>
      <c r="M369" s="32">
        <v>0.5</v>
      </c>
      <c r="N369" s="27" t="s">
        <v>33</v>
      </c>
      <c r="O369" s="27" t="s">
        <v>53</v>
      </c>
      <c r="P369" s="27" t="s">
        <v>289</v>
      </c>
      <c r="Q369" s="27" t="s">
        <v>919</v>
      </c>
      <c r="R369" s="33">
        <v>48336</v>
      </c>
      <c r="S369" s="34">
        <v>42036</v>
      </c>
      <c r="T369" s="34">
        <v>42036</v>
      </c>
      <c r="U369" s="29">
        <v>976.2672</v>
      </c>
      <c r="V369" s="26">
        <v>23</v>
      </c>
      <c r="W369" s="29">
        <v>1414.88</v>
      </c>
      <c r="X369" s="26">
        <v>88555</v>
      </c>
      <c r="Y369" s="35">
        <v>80.91</v>
      </c>
      <c r="Z369" s="1" t="s">
        <v>3012</v>
      </c>
      <c r="AA369" s="36">
        <v>42.0762</v>
      </c>
      <c r="AB369" s="54">
        <v>707.44</v>
      </c>
      <c r="AC369" s="54">
        <v>30.75826086956522</v>
      </c>
      <c r="AD369" s="36">
        <v>394.54660000000013</v>
      </c>
    </row>
    <row r="370" spans="1:30" s="37" customFormat="1" ht="15.75" customHeight="1" x14ac:dyDescent="0.2">
      <c r="A370" s="26">
        <v>2122</v>
      </c>
      <c r="B370" s="27" t="s">
        <v>908</v>
      </c>
      <c r="C370" s="27" t="s">
        <v>26</v>
      </c>
      <c r="D370" s="28">
        <v>0.06</v>
      </c>
      <c r="E370" s="29">
        <v>80.97</v>
      </c>
      <c r="F370" s="29">
        <v>33.6</v>
      </c>
      <c r="G370" s="30" t="s">
        <v>27</v>
      </c>
      <c r="H370" s="27" t="s">
        <v>40</v>
      </c>
      <c r="I370" s="27" t="s">
        <v>41</v>
      </c>
      <c r="J370" s="27" t="s">
        <v>57</v>
      </c>
      <c r="K370" s="27" t="s">
        <v>58</v>
      </c>
      <c r="L370" s="31" t="s">
        <v>909</v>
      </c>
      <c r="M370" s="32">
        <v>0.37</v>
      </c>
      <c r="N370" s="27" t="s">
        <v>33</v>
      </c>
      <c r="O370" s="27" t="s">
        <v>34</v>
      </c>
      <c r="P370" s="27" t="s">
        <v>45</v>
      </c>
      <c r="Q370" s="27" t="s">
        <v>910</v>
      </c>
      <c r="R370" s="33">
        <v>72116</v>
      </c>
      <c r="S370" s="34">
        <v>42036</v>
      </c>
      <c r="T370" s="34">
        <v>42038</v>
      </c>
      <c r="U370" s="29">
        <v>-15.1844</v>
      </c>
      <c r="V370" s="26">
        <v>10</v>
      </c>
      <c r="W370" s="29">
        <v>799.76</v>
      </c>
      <c r="X370" s="26">
        <v>89664</v>
      </c>
      <c r="Y370" s="35">
        <v>3.0700000000000003</v>
      </c>
      <c r="Z370" s="1" t="s">
        <v>3011</v>
      </c>
      <c r="AA370" s="36">
        <v>48.582000000000001</v>
      </c>
      <c r="AB370" s="54">
        <v>503.84879999999998</v>
      </c>
      <c r="AC370" s="54">
        <v>29.59112</v>
      </c>
      <c r="AD370" s="36">
        <v>732.76239999999996</v>
      </c>
    </row>
    <row r="371" spans="1:30" s="37" customFormat="1" ht="15.75" customHeight="1" x14ac:dyDescent="0.2">
      <c r="A371" s="26">
        <v>2072</v>
      </c>
      <c r="B371" s="27" t="s">
        <v>920</v>
      </c>
      <c r="C371" s="27" t="s">
        <v>3094</v>
      </c>
      <c r="D371" s="28">
        <v>0</v>
      </c>
      <c r="E371" s="29">
        <v>10.31</v>
      </c>
      <c r="F371" s="29">
        <v>1.79</v>
      </c>
      <c r="G371" s="30" t="s">
        <v>39</v>
      </c>
      <c r="H371" s="27" t="s">
        <v>94</v>
      </c>
      <c r="I371" s="27" t="s">
        <v>49</v>
      </c>
      <c r="J371" s="27" t="s">
        <v>88</v>
      </c>
      <c r="K371" s="27" t="s">
        <v>51</v>
      </c>
      <c r="L371" s="31" t="s">
        <v>921</v>
      </c>
      <c r="M371" s="32">
        <v>0.38</v>
      </c>
      <c r="N371" s="27" t="s">
        <v>33</v>
      </c>
      <c r="O371" s="27" t="s">
        <v>53</v>
      </c>
      <c r="P371" s="27" t="s">
        <v>289</v>
      </c>
      <c r="Q371" s="27" t="s">
        <v>922</v>
      </c>
      <c r="R371" s="33">
        <v>48505</v>
      </c>
      <c r="S371" s="34">
        <v>42036</v>
      </c>
      <c r="T371" s="34">
        <v>42038</v>
      </c>
      <c r="U371" s="29">
        <v>167.46299999999999</v>
      </c>
      <c r="V371" s="26">
        <v>23</v>
      </c>
      <c r="W371" s="29">
        <v>242.7</v>
      </c>
      <c r="X371" s="26">
        <v>88555</v>
      </c>
      <c r="Y371" s="35">
        <v>424.15999999999997</v>
      </c>
      <c r="Z371" s="1" t="s">
        <v>3012</v>
      </c>
      <c r="AA371" s="36">
        <v>0</v>
      </c>
      <c r="AB371" s="54">
        <v>150.47399999999999</v>
      </c>
      <c r="AC371" s="54">
        <v>4.0098260869565214</v>
      </c>
      <c r="AD371" s="36">
        <v>73.447000000000003</v>
      </c>
    </row>
    <row r="372" spans="1:30" s="37" customFormat="1" ht="15.75" customHeight="1" x14ac:dyDescent="0.2">
      <c r="A372" s="26">
        <v>510</v>
      </c>
      <c r="B372" s="27" t="s">
        <v>461</v>
      </c>
      <c r="C372" s="27" t="s">
        <v>26</v>
      </c>
      <c r="D372" s="28">
        <v>0.03</v>
      </c>
      <c r="E372" s="29">
        <v>6.37</v>
      </c>
      <c r="F372" s="29">
        <v>5.19</v>
      </c>
      <c r="G372" s="30" t="s">
        <v>39</v>
      </c>
      <c r="H372" s="27" t="s">
        <v>94</v>
      </c>
      <c r="I372" s="27" t="s">
        <v>49</v>
      </c>
      <c r="J372" s="27" t="s">
        <v>72</v>
      </c>
      <c r="K372" s="27" t="s">
        <v>73</v>
      </c>
      <c r="L372" s="31" t="s">
        <v>907</v>
      </c>
      <c r="M372" s="32">
        <v>0.38</v>
      </c>
      <c r="N372" s="27" t="s">
        <v>33</v>
      </c>
      <c r="O372" s="27" t="s">
        <v>60</v>
      </c>
      <c r="P372" s="27" t="s">
        <v>90</v>
      </c>
      <c r="Q372" s="27" t="s">
        <v>463</v>
      </c>
      <c r="R372" s="33">
        <v>95336</v>
      </c>
      <c r="S372" s="34">
        <v>42036</v>
      </c>
      <c r="T372" s="34">
        <v>42037</v>
      </c>
      <c r="U372" s="29">
        <v>-29.092700000000001</v>
      </c>
      <c r="V372" s="26">
        <v>14</v>
      </c>
      <c r="W372" s="29">
        <v>89.79</v>
      </c>
      <c r="X372" s="26">
        <v>90059</v>
      </c>
      <c r="Y372" s="35">
        <v>60.949999999999996</v>
      </c>
      <c r="Z372" s="1" t="s">
        <v>3013</v>
      </c>
      <c r="AA372" s="36">
        <v>2.6753999999999998</v>
      </c>
      <c r="AB372" s="54">
        <v>55.669800000000002</v>
      </c>
      <c r="AC372" s="54">
        <v>2.437157142857143</v>
      </c>
      <c r="AD372" s="36">
        <v>111.01730000000001</v>
      </c>
    </row>
    <row r="373" spans="1:30" s="37" customFormat="1" ht="15.75" customHeight="1" x14ac:dyDescent="0.2">
      <c r="A373" s="26">
        <v>2071</v>
      </c>
      <c r="B373" s="27" t="s">
        <v>917</v>
      </c>
      <c r="C373" s="27" t="s">
        <v>3094</v>
      </c>
      <c r="D373" s="28">
        <v>0.04</v>
      </c>
      <c r="E373" s="29">
        <v>3.08</v>
      </c>
      <c r="F373" s="29">
        <v>0.99</v>
      </c>
      <c r="G373" s="30" t="s">
        <v>39</v>
      </c>
      <c r="H373" s="27" t="s">
        <v>94</v>
      </c>
      <c r="I373" s="27" t="s">
        <v>49</v>
      </c>
      <c r="J373" s="27" t="s">
        <v>152</v>
      </c>
      <c r="K373" s="27" t="s">
        <v>73</v>
      </c>
      <c r="L373" s="31" t="s">
        <v>658</v>
      </c>
      <c r="M373" s="32">
        <v>0.37</v>
      </c>
      <c r="N373" s="27" t="s">
        <v>33</v>
      </c>
      <c r="O373" s="27" t="s">
        <v>53</v>
      </c>
      <c r="P373" s="27" t="s">
        <v>289</v>
      </c>
      <c r="Q373" s="27" t="s">
        <v>919</v>
      </c>
      <c r="R373" s="33">
        <v>48336</v>
      </c>
      <c r="S373" s="34">
        <v>42036</v>
      </c>
      <c r="T373" s="34">
        <v>42037</v>
      </c>
      <c r="U373" s="29">
        <v>23.204699999999999</v>
      </c>
      <c r="V373" s="26">
        <v>11</v>
      </c>
      <c r="W373" s="29">
        <v>33.630000000000003</v>
      </c>
      <c r="X373" s="26">
        <v>88555</v>
      </c>
      <c r="Y373" s="35">
        <v>3.04</v>
      </c>
      <c r="Z373" s="1" t="s">
        <v>3012</v>
      </c>
      <c r="AA373" s="36">
        <v>1.3552</v>
      </c>
      <c r="AB373" s="54">
        <v>21.186900000000001</v>
      </c>
      <c r="AC373" s="54">
        <v>1.1311909090909091</v>
      </c>
      <c r="AD373" s="36">
        <v>8.0801000000000052</v>
      </c>
    </row>
    <row r="374" spans="1:30" s="37" customFormat="1" ht="15.75" customHeight="1" x14ac:dyDescent="0.2">
      <c r="A374" s="26">
        <v>1211</v>
      </c>
      <c r="B374" s="27" t="s">
        <v>911</v>
      </c>
      <c r="C374" s="27" t="s">
        <v>48</v>
      </c>
      <c r="D374" s="28">
        <v>0.01</v>
      </c>
      <c r="E374" s="29">
        <v>3.08</v>
      </c>
      <c r="F374" s="29">
        <v>0.5</v>
      </c>
      <c r="G374" s="30" t="s">
        <v>39</v>
      </c>
      <c r="H374" s="27" t="s">
        <v>94</v>
      </c>
      <c r="I374" s="27" t="s">
        <v>49</v>
      </c>
      <c r="J374" s="27" t="s">
        <v>152</v>
      </c>
      <c r="K374" s="27" t="s">
        <v>73</v>
      </c>
      <c r="L374" s="31" t="s">
        <v>912</v>
      </c>
      <c r="M374" s="32">
        <v>0.37</v>
      </c>
      <c r="N374" s="27" t="s">
        <v>33</v>
      </c>
      <c r="O374" s="27" t="s">
        <v>53</v>
      </c>
      <c r="P374" s="27" t="s">
        <v>54</v>
      </c>
      <c r="Q374" s="27" t="s">
        <v>913</v>
      </c>
      <c r="R374" s="33">
        <v>46806</v>
      </c>
      <c r="S374" s="34">
        <v>42036</v>
      </c>
      <c r="T374" s="34">
        <v>42041</v>
      </c>
      <c r="U374" s="29">
        <v>9.0045000000000002</v>
      </c>
      <c r="V374" s="26">
        <v>4</v>
      </c>
      <c r="W374" s="29">
        <v>13.05</v>
      </c>
      <c r="X374" s="26">
        <v>88598</v>
      </c>
      <c r="Y374" s="35">
        <v>10.31</v>
      </c>
      <c r="Z374" s="1" t="s">
        <v>3012</v>
      </c>
      <c r="AA374" s="36">
        <v>0.1232</v>
      </c>
      <c r="AB374" s="54">
        <v>8.2215000000000007</v>
      </c>
      <c r="AC374" s="54">
        <v>1.207125</v>
      </c>
      <c r="AD374" s="36">
        <v>3.4222999999999999</v>
      </c>
    </row>
    <row r="375" spans="1:30" s="37" customFormat="1" ht="15.75" customHeight="1" x14ac:dyDescent="0.2">
      <c r="A375" s="26">
        <v>3196</v>
      </c>
      <c r="B375" s="27" t="s">
        <v>939</v>
      </c>
      <c r="C375" s="27" t="s">
        <v>3094</v>
      </c>
      <c r="D375" s="28">
        <v>0.03</v>
      </c>
      <c r="E375" s="29">
        <v>200.97</v>
      </c>
      <c r="F375" s="29">
        <v>15.59</v>
      </c>
      <c r="G375" s="30" t="s">
        <v>27</v>
      </c>
      <c r="H375" s="27" t="s">
        <v>71</v>
      </c>
      <c r="I375" s="27" t="s">
        <v>41</v>
      </c>
      <c r="J375" s="27" t="s">
        <v>57</v>
      </c>
      <c r="K375" s="27" t="s">
        <v>58</v>
      </c>
      <c r="L375" s="31" t="s">
        <v>940</v>
      </c>
      <c r="M375" s="32">
        <v>0.36</v>
      </c>
      <c r="N375" s="27" t="s">
        <v>33</v>
      </c>
      <c r="O375" s="27" t="s">
        <v>60</v>
      </c>
      <c r="P375" s="27" t="s">
        <v>90</v>
      </c>
      <c r="Q375" s="27" t="s">
        <v>941</v>
      </c>
      <c r="R375" s="33">
        <v>94109</v>
      </c>
      <c r="S375" s="34">
        <v>42037</v>
      </c>
      <c r="T375" s="34">
        <v>42038</v>
      </c>
      <c r="U375" s="29">
        <v>1951.3</v>
      </c>
      <c r="V375" s="26">
        <v>43</v>
      </c>
      <c r="W375" s="29">
        <v>8717.75</v>
      </c>
      <c r="X375" s="26">
        <v>24294</v>
      </c>
      <c r="Y375" s="35">
        <v>154.03</v>
      </c>
      <c r="Z375" s="1" t="s">
        <v>3013</v>
      </c>
      <c r="AA375" s="36">
        <v>259.25130000000001</v>
      </c>
      <c r="AB375" s="54">
        <v>5579.36</v>
      </c>
      <c r="AC375" s="54">
        <v>72.985813953488375</v>
      </c>
      <c r="AD375" s="36">
        <v>6491.6087000000007</v>
      </c>
    </row>
    <row r="376" spans="1:30" s="37" customFormat="1" ht="15.75" customHeight="1" x14ac:dyDescent="0.2">
      <c r="A376" s="26">
        <v>68</v>
      </c>
      <c r="B376" s="27" t="s">
        <v>108</v>
      </c>
      <c r="C376" s="27" t="s">
        <v>38</v>
      </c>
      <c r="D376" s="28">
        <v>0.09</v>
      </c>
      <c r="E376" s="29">
        <v>122.99</v>
      </c>
      <c r="F376" s="29">
        <v>70.2</v>
      </c>
      <c r="G376" s="30" t="s">
        <v>27</v>
      </c>
      <c r="H376" s="27" t="s">
        <v>94</v>
      </c>
      <c r="I376" s="27" t="s">
        <v>29</v>
      </c>
      <c r="J376" s="27" t="s">
        <v>109</v>
      </c>
      <c r="K376" s="27" t="s">
        <v>58</v>
      </c>
      <c r="L376" s="31" t="s">
        <v>804</v>
      </c>
      <c r="M376" s="32">
        <v>0.74</v>
      </c>
      <c r="N376" s="27" t="s">
        <v>33</v>
      </c>
      <c r="O376" s="27" t="s">
        <v>111</v>
      </c>
      <c r="P376" s="27" t="s">
        <v>112</v>
      </c>
      <c r="Q376" s="27" t="s">
        <v>113</v>
      </c>
      <c r="R376" s="33">
        <v>10177</v>
      </c>
      <c r="S376" s="34">
        <v>42037</v>
      </c>
      <c r="T376" s="34">
        <v>42039</v>
      </c>
      <c r="U376" s="29">
        <v>-2426.5500000000002</v>
      </c>
      <c r="V376" s="26">
        <v>49</v>
      </c>
      <c r="W376" s="29">
        <v>5718.85</v>
      </c>
      <c r="X376" s="26">
        <v>55713</v>
      </c>
      <c r="Y376" s="35">
        <v>12.97</v>
      </c>
      <c r="Z376" s="1" t="s">
        <v>3014</v>
      </c>
      <c r="AA376" s="36">
        <v>542.38589999999999</v>
      </c>
      <c r="AB376" s="54">
        <v>1486.9010000000001</v>
      </c>
      <c r="AC376" s="54">
        <v>86.366306122448989</v>
      </c>
      <c r="AD376" s="36">
        <v>7532.8141000000005</v>
      </c>
    </row>
    <row r="377" spans="1:30" s="37" customFormat="1" ht="15.75" customHeight="1" x14ac:dyDescent="0.2">
      <c r="A377" s="26">
        <v>3197</v>
      </c>
      <c r="B377" s="27" t="s">
        <v>942</v>
      </c>
      <c r="C377" s="27" t="s">
        <v>3094</v>
      </c>
      <c r="D377" s="28">
        <v>0.03</v>
      </c>
      <c r="E377" s="29">
        <v>200.97</v>
      </c>
      <c r="F377" s="29">
        <v>15.59</v>
      </c>
      <c r="G377" s="30" t="s">
        <v>27</v>
      </c>
      <c r="H377" s="27" t="s">
        <v>71</v>
      </c>
      <c r="I377" s="27" t="s">
        <v>41</v>
      </c>
      <c r="J377" s="27" t="s">
        <v>57</v>
      </c>
      <c r="K377" s="27" t="s">
        <v>58</v>
      </c>
      <c r="L377" s="31" t="s">
        <v>940</v>
      </c>
      <c r="M377" s="32">
        <v>0.36</v>
      </c>
      <c r="N377" s="27" t="s">
        <v>33</v>
      </c>
      <c r="O377" s="27" t="s">
        <v>53</v>
      </c>
      <c r="P377" s="27" t="s">
        <v>103</v>
      </c>
      <c r="Q377" s="27" t="s">
        <v>943</v>
      </c>
      <c r="R377" s="33">
        <v>60062</v>
      </c>
      <c r="S377" s="34">
        <v>42037</v>
      </c>
      <c r="T377" s="34">
        <v>42038</v>
      </c>
      <c r="U377" s="29">
        <v>1538.7828</v>
      </c>
      <c r="V377" s="26">
        <v>11</v>
      </c>
      <c r="W377" s="29">
        <v>2230.12</v>
      </c>
      <c r="X377" s="26">
        <v>90850</v>
      </c>
      <c r="Y377" s="35">
        <v>4.8500000000000005</v>
      </c>
      <c r="Z377" s="1" t="s">
        <v>3012</v>
      </c>
      <c r="AA377" s="36">
        <v>66.320099999999996</v>
      </c>
      <c r="AB377" s="54">
        <v>1427.2767999999999</v>
      </c>
      <c r="AC377" s="54">
        <v>72.985745454545452</v>
      </c>
      <c r="AD377" s="36">
        <v>609.42710000000011</v>
      </c>
    </row>
    <row r="378" spans="1:30" s="37" customFormat="1" ht="15.75" customHeight="1" x14ac:dyDescent="0.2">
      <c r="A378" s="26">
        <v>70</v>
      </c>
      <c r="B378" s="27" t="s">
        <v>927</v>
      </c>
      <c r="C378" s="27" t="s">
        <v>38</v>
      </c>
      <c r="D378" s="28">
        <v>0.09</v>
      </c>
      <c r="E378" s="29">
        <v>122.99</v>
      </c>
      <c r="F378" s="29">
        <v>70.2</v>
      </c>
      <c r="G378" s="30" t="s">
        <v>27</v>
      </c>
      <c r="H378" s="27" t="s">
        <v>94</v>
      </c>
      <c r="I378" s="27" t="s">
        <v>29</v>
      </c>
      <c r="J378" s="27" t="s">
        <v>109</v>
      </c>
      <c r="K378" s="27" t="s">
        <v>58</v>
      </c>
      <c r="L378" s="31" t="s">
        <v>804</v>
      </c>
      <c r="M378" s="32">
        <v>0.74</v>
      </c>
      <c r="N378" s="27" t="s">
        <v>33</v>
      </c>
      <c r="O378" s="27" t="s">
        <v>111</v>
      </c>
      <c r="P378" s="27" t="s">
        <v>633</v>
      </c>
      <c r="Q378" s="27" t="s">
        <v>928</v>
      </c>
      <c r="R378" s="33">
        <v>5401</v>
      </c>
      <c r="S378" s="34">
        <v>42037</v>
      </c>
      <c r="T378" s="34">
        <v>42039</v>
      </c>
      <c r="U378" s="29">
        <v>-2426.5500000000002</v>
      </c>
      <c r="V378" s="26">
        <v>12</v>
      </c>
      <c r="W378" s="29">
        <v>1400.53</v>
      </c>
      <c r="X378" s="26">
        <v>87947</v>
      </c>
      <c r="Y378" s="35">
        <v>122.89999999999999</v>
      </c>
      <c r="Z378" s="1" t="s">
        <v>3014</v>
      </c>
      <c r="AA378" s="36">
        <v>132.82919999999999</v>
      </c>
      <c r="AB378" s="54">
        <v>364.13780000000003</v>
      </c>
      <c r="AC378" s="54">
        <v>86.366016666666667</v>
      </c>
      <c r="AD378" s="36">
        <v>3624.0508</v>
      </c>
    </row>
    <row r="379" spans="1:30" s="37" customFormat="1" ht="15.75" customHeight="1" x14ac:dyDescent="0.2">
      <c r="A379" s="26">
        <v>397</v>
      </c>
      <c r="B379" s="27" t="s">
        <v>923</v>
      </c>
      <c r="C379" s="27" t="s">
        <v>26</v>
      </c>
      <c r="D379" s="28">
        <v>0.1</v>
      </c>
      <c r="E379" s="29">
        <v>154.13</v>
      </c>
      <c r="F379" s="29">
        <v>69</v>
      </c>
      <c r="G379" s="30" t="s">
        <v>39</v>
      </c>
      <c r="H379" s="27" t="s">
        <v>94</v>
      </c>
      <c r="I379" s="27" t="s">
        <v>29</v>
      </c>
      <c r="J379" s="27" t="s">
        <v>30</v>
      </c>
      <c r="K379" s="27" t="s">
        <v>65</v>
      </c>
      <c r="L379" s="31" t="s">
        <v>924</v>
      </c>
      <c r="M379" s="32">
        <v>0.68</v>
      </c>
      <c r="N379" s="27" t="s">
        <v>33</v>
      </c>
      <c r="O379" s="27" t="s">
        <v>111</v>
      </c>
      <c r="P379" s="27" t="s">
        <v>317</v>
      </c>
      <c r="Q379" s="27" t="s">
        <v>925</v>
      </c>
      <c r="R379" s="33">
        <v>44221</v>
      </c>
      <c r="S379" s="34">
        <v>42037</v>
      </c>
      <c r="T379" s="34">
        <v>42038</v>
      </c>
      <c r="U379" s="29">
        <v>-372.48597100000001</v>
      </c>
      <c r="V379" s="26">
        <v>8</v>
      </c>
      <c r="W379" s="29">
        <v>1216.32</v>
      </c>
      <c r="X379" s="26">
        <v>89319</v>
      </c>
      <c r="Y379" s="35">
        <v>122.89999999999999</v>
      </c>
      <c r="Z379" s="1" t="s">
        <v>3014</v>
      </c>
      <c r="AA379" s="36">
        <v>123.304</v>
      </c>
      <c r="AB379" s="54">
        <v>389.22239999999994</v>
      </c>
      <c r="AC379" s="54">
        <v>103.38720000000001</v>
      </c>
      <c r="AD379" s="36">
        <v>1396.5019709999999</v>
      </c>
    </row>
    <row r="380" spans="1:30" s="37" customFormat="1" ht="15.75" customHeight="1" x14ac:dyDescent="0.2">
      <c r="A380" s="26">
        <v>1413</v>
      </c>
      <c r="B380" s="27" t="s">
        <v>938</v>
      </c>
      <c r="C380" s="27" t="s">
        <v>3094</v>
      </c>
      <c r="D380" s="28">
        <v>0.02</v>
      </c>
      <c r="E380" s="29">
        <v>16.48</v>
      </c>
      <c r="F380" s="29">
        <v>1.99</v>
      </c>
      <c r="G380" s="30" t="s">
        <v>87</v>
      </c>
      <c r="H380" s="27" t="s">
        <v>94</v>
      </c>
      <c r="I380" s="27" t="s">
        <v>41</v>
      </c>
      <c r="J380" s="27" t="s">
        <v>42</v>
      </c>
      <c r="K380" s="27" t="s">
        <v>43</v>
      </c>
      <c r="L380" s="31" t="s">
        <v>601</v>
      </c>
      <c r="M380" s="32">
        <v>0.42</v>
      </c>
      <c r="N380" s="27" t="s">
        <v>33</v>
      </c>
      <c r="O380" s="27" t="s">
        <v>111</v>
      </c>
      <c r="P380" s="27" t="s">
        <v>403</v>
      </c>
      <c r="Q380" s="27" t="s">
        <v>788</v>
      </c>
      <c r="R380" s="33">
        <v>2113</v>
      </c>
      <c r="S380" s="34">
        <v>42037</v>
      </c>
      <c r="T380" s="34">
        <v>42039</v>
      </c>
      <c r="U380" s="29">
        <v>69.61</v>
      </c>
      <c r="V380" s="26">
        <v>27</v>
      </c>
      <c r="W380" s="29">
        <v>484.56</v>
      </c>
      <c r="X380" s="26">
        <v>45539</v>
      </c>
      <c r="Y380" s="35">
        <v>1.1199999999999999</v>
      </c>
      <c r="Z380" s="1" t="s">
        <v>3014</v>
      </c>
      <c r="AA380" s="36">
        <v>8.8992000000000004</v>
      </c>
      <c r="AB380" s="54">
        <v>281.04480000000001</v>
      </c>
      <c r="AC380" s="54">
        <v>7.5375999999999994</v>
      </c>
      <c r="AD380" s="36">
        <v>404.06079999999997</v>
      </c>
    </row>
    <row r="381" spans="1:30" s="37" customFormat="1" ht="15.75" customHeight="1" x14ac:dyDescent="0.2">
      <c r="A381" s="26">
        <v>2498</v>
      </c>
      <c r="B381" s="27" t="s">
        <v>929</v>
      </c>
      <c r="C381" s="27" t="s">
        <v>116</v>
      </c>
      <c r="D381" s="28">
        <v>0.09</v>
      </c>
      <c r="E381" s="29">
        <v>6.28</v>
      </c>
      <c r="F381" s="29">
        <v>5.41</v>
      </c>
      <c r="G381" s="30" t="s">
        <v>39</v>
      </c>
      <c r="H381" s="27" t="s">
        <v>3095</v>
      </c>
      <c r="I381" s="27" t="s">
        <v>29</v>
      </c>
      <c r="J381" s="27" t="s">
        <v>126</v>
      </c>
      <c r="K381" s="27" t="s">
        <v>73</v>
      </c>
      <c r="L381" s="31" t="s">
        <v>930</v>
      </c>
      <c r="M381" s="32">
        <v>0.53</v>
      </c>
      <c r="N381" s="27" t="s">
        <v>33</v>
      </c>
      <c r="O381" s="27" t="s">
        <v>60</v>
      </c>
      <c r="P381" s="27" t="s">
        <v>90</v>
      </c>
      <c r="Q381" s="27" t="s">
        <v>890</v>
      </c>
      <c r="R381" s="33">
        <v>92024</v>
      </c>
      <c r="S381" s="34">
        <v>42037</v>
      </c>
      <c r="T381" s="34">
        <v>42039</v>
      </c>
      <c r="U381" s="29">
        <v>-61.59</v>
      </c>
      <c r="V381" s="26">
        <v>56</v>
      </c>
      <c r="W381" s="29">
        <v>355.4</v>
      </c>
      <c r="X381" s="26">
        <v>54567</v>
      </c>
      <c r="Y381" s="35">
        <v>6.19</v>
      </c>
      <c r="Z381" s="1" t="s">
        <v>3013</v>
      </c>
      <c r="AA381" s="36">
        <v>31.651200000000003</v>
      </c>
      <c r="AB381" s="54">
        <v>167.03799999999998</v>
      </c>
      <c r="AC381" s="54">
        <v>3.3636071428571426</v>
      </c>
      <c r="AD381" s="36">
        <v>379.92879999999997</v>
      </c>
    </row>
    <row r="382" spans="1:30" s="37" customFormat="1" ht="15.75" customHeight="1" x14ac:dyDescent="0.2">
      <c r="A382" s="26">
        <v>2555</v>
      </c>
      <c r="B382" s="27" t="s">
        <v>355</v>
      </c>
      <c r="C382" s="27" t="s">
        <v>26</v>
      </c>
      <c r="D382" s="28">
        <v>0</v>
      </c>
      <c r="E382" s="29">
        <v>12.97</v>
      </c>
      <c r="F382" s="29">
        <v>1.49</v>
      </c>
      <c r="G382" s="30" t="s">
        <v>39</v>
      </c>
      <c r="H382" s="27" t="s">
        <v>71</v>
      </c>
      <c r="I382" s="27" t="s">
        <v>49</v>
      </c>
      <c r="J382" s="27" t="s">
        <v>72</v>
      </c>
      <c r="K382" s="27" t="s">
        <v>73</v>
      </c>
      <c r="L382" s="31" t="s">
        <v>926</v>
      </c>
      <c r="M382" s="32">
        <v>0.35</v>
      </c>
      <c r="N382" s="27" t="s">
        <v>33</v>
      </c>
      <c r="O382" s="27" t="s">
        <v>53</v>
      </c>
      <c r="P382" s="27" t="s">
        <v>357</v>
      </c>
      <c r="Q382" s="27" t="s">
        <v>358</v>
      </c>
      <c r="R382" s="33">
        <v>53711</v>
      </c>
      <c r="S382" s="34">
        <v>42037</v>
      </c>
      <c r="T382" s="34">
        <v>42038</v>
      </c>
      <c r="U382" s="29">
        <v>180.23490000000001</v>
      </c>
      <c r="V382" s="26">
        <v>19</v>
      </c>
      <c r="W382" s="29">
        <v>261.20999999999998</v>
      </c>
      <c r="X382" s="26">
        <v>86529</v>
      </c>
      <c r="Y382" s="35">
        <v>6.19</v>
      </c>
      <c r="Z382" s="1" t="s">
        <v>3012</v>
      </c>
      <c r="AA382" s="36">
        <v>0</v>
      </c>
      <c r="AB382" s="54">
        <v>169.78649999999999</v>
      </c>
      <c r="AC382" s="54">
        <v>4.8117631578947364</v>
      </c>
      <c r="AD382" s="36">
        <v>79.48509999999996</v>
      </c>
    </row>
    <row r="383" spans="1:30" s="37" customFormat="1" ht="15.75" customHeight="1" x14ac:dyDescent="0.2">
      <c r="A383" s="26">
        <v>84</v>
      </c>
      <c r="B383" s="27" t="s">
        <v>933</v>
      </c>
      <c r="C383" s="27" t="s">
        <v>3094</v>
      </c>
      <c r="D383" s="28">
        <v>0</v>
      </c>
      <c r="E383" s="29">
        <v>8.09</v>
      </c>
      <c r="F383" s="29">
        <v>7.96</v>
      </c>
      <c r="G383" s="30" t="s">
        <v>39</v>
      </c>
      <c r="H383" s="27" t="s">
        <v>40</v>
      </c>
      <c r="I383" s="27" t="s">
        <v>29</v>
      </c>
      <c r="J383" s="27" t="s">
        <v>126</v>
      </c>
      <c r="K383" s="27" t="s">
        <v>73</v>
      </c>
      <c r="L383" s="31" t="s">
        <v>522</v>
      </c>
      <c r="M383" s="32">
        <v>0.49</v>
      </c>
      <c r="N383" s="27" t="s">
        <v>33</v>
      </c>
      <c r="O383" s="27" t="s">
        <v>111</v>
      </c>
      <c r="P383" s="27" t="s">
        <v>317</v>
      </c>
      <c r="Q383" s="27" t="s">
        <v>934</v>
      </c>
      <c r="R383" s="33">
        <v>45231</v>
      </c>
      <c r="S383" s="34">
        <v>42037</v>
      </c>
      <c r="T383" s="34">
        <v>42038</v>
      </c>
      <c r="U383" s="29">
        <v>-144.56</v>
      </c>
      <c r="V383" s="26">
        <v>11</v>
      </c>
      <c r="W383" s="29">
        <v>90.98</v>
      </c>
      <c r="X383" s="26">
        <v>87364</v>
      </c>
      <c r="Y383" s="35">
        <v>8.09</v>
      </c>
      <c r="Z383" s="1" t="s">
        <v>3014</v>
      </c>
      <c r="AA383" s="36">
        <v>0</v>
      </c>
      <c r="AB383" s="54">
        <v>46.399800000000006</v>
      </c>
      <c r="AC383" s="54">
        <v>4.0527454545454544</v>
      </c>
      <c r="AD383" s="36">
        <v>227.57999999999998</v>
      </c>
    </row>
    <row r="384" spans="1:30" s="37" customFormat="1" ht="15.75" customHeight="1" x14ac:dyDescent="0.2">
      <c r="A384" s="26">
        <v>2500</v>
      </c>
      <c r="B384" s="27" t="s">
        <v>931</v>
      </c>
      <c r="C384" s="27" t="s">
        <v>116</v>
      </c>
      <c r="D384" s="28">
        <v>0.09</v>
      </c>
      <c r="E384" s="29">
        <v>6.28</v>
      </c>
      <c r="F384" s="29">
        <v>5.41</v>
      </c>
      <c r="G384" s="30" t="s">
        <v>39</v>
      </c>
      <c r="H384" s="27" t="s">
        <v>3095</v>
      </c>
      <c r="I384" s="27" t="s">
        <v>29</v>
      </c>
      <c r="J384" s="27" t="s">
        <v>126</v>
      </c>
      <c r="K384" s="27" t="s">
        <v>73</v>
      </c>
      <c r="L384" s="31" t="s">
        <v>930</v>
      </c>
      <c r="M384" s="32">
        <v>0.53</v>
      </c>
      <c r="N384" s="27" t="s">
        <v>33</v>
      </c>
      <c r="O384" s="27" t="s">
        <v>53</v>
      </c>
      <c r="P384" s="27" t="s">
        <v>103</v>
      </c>
      <c r="Q384" s="27" t="s">
        <v>932</v>
      </c>
      <c r="R384" s="33">
        <v>60102</v>
      </c>
      <c r="S384" s="34">
        <v>42037</v>
      </c>
      <c r="T384" s="34">
        <v>42039</v>
      </c>
      <c r="U384" s="29">
        <v>-32.026800000000001</v>
      </c>
      <c r="V384" s="26">
        <v>14</v>
      </c>
      <c r="W384" s="29">
        <v>88.85</v>
      </c>
      <c r="X384" s="26">
        <v>88320</v>
      </c>
      <c r="Y384" s="35">
        <v>3.3</v>
      </c>
      <c r="Z384" s="1" t="s">
        <v>3012</v>
      </c>
      <c r="AA384" s="36">
        <v>7.9128000000000007</v>
      </c>
      <c r="AB384" s="54">
        <v>41.759499999999996</v>
      </c>
      <c r="AC384" s="54">
        <v>3.3636071428571426</v>
      </c>
      <c r="AD384" s="36">
        <v>107.554</v>
      </c>
    </row>
    <row r="385" spans="1:30" s="37" customFormat="1" ht="15.75" customHeight="1" x14ac:dyDescent="0.2">
      <c r="A385" s="26">
        <v>894</v>
      </c>
      <c r="B385" s="27" t="s">
        <v>372</v>
      </c>
      <c r="C385" s="27" t="s">
        <v>48</v>
      </c>
      <c r="D385" s="28">
        <v>0.02</v>
      </c>
      <c r="E385" s="29">
        <v>1.1399999999999999</v>
      </c>
      <c r="F385" s="29">
        <v>0.7</v>
      </c>
      <c r="G385" s="30" t="s">
        <v>39</v>
      </c>
      <c r="H385" s="27" t="s">
        <v>94</v>
      </c>
      <c r="I385" s="27" t="s">
        <v>49</v>
      </c>
      <c r="J385" s="27" t="s">
        <v>176</v>
      </c>
      <c r="K385" s="27" t="s">
        <v>51</v>
      </c>
      <c r="L385" s="31" t="s">
        <v>824</v>
      </c>
      <c r="M385" s="32">
        <v>0.38</v>
      </c>
      <c r="N385" s="27" t="s">
        <v>33</v>
      </c>
      <c r="O385" s="27" t="s">
        <v>111</v>
      </c>
      <c r="P385" s="27" t="s">
        <v>374</v>
      </c>
      <c r="Q385" s="27" t="s">
        <v>67</v>
      </c>
      <c r="R385" s="33">
        <v>20024</v>
      </c>
      <c r="S385" s="34">
        <v>42037</v>
      </c>
      <c r="T385" s="34">
        <v>42037</v>
      </c>
      <c r="U385" s="29">
        <v>-0.49</v>
      </c>
      <c r="V385" s="26">
        <v>38</v>
      </c>
      <c r="W385" s="29">
        <v>44.85</v>
      </c>
      <c r="X385" s="26">
        <v>38529</v>
      </c>
      <c r="Y385" s="35">
        <v>16.46</v>
      </c>
      <c r="Z385" s="1" t="s">
        <v>3014</v>
      </c>
      <c r="AA385" s="36">
        <v>0.86639999999999995</v>
      </c>
      <c r="AB385" s="54">
        <v>27.807000000000002</v>
      </c>
      <c r="AC385" s="54">
        <v>0.44850000000000001</v>
      </c>
      <c r="AD385" s="36">
        <v>43.773600000000002</v>
      </c>
    </row>
    <row r="386" spans="1:30" s="37" customFormat="1" ht="15.75" customHeight="1" x14ac:dyDescent="0.2">
      <c r="A386" s="26">
        <v>2555</v>
      </c>
      <c r="B386" s="27" t="s">
        <v>355</v>
      </c>
      <c r="C386" s="27" t="s">
        <v>26</v>
      </c>
      <c r="D386" s="28">
        <v>0.06</v>
      </c>
      <c r="E386" s="29">
        <v>4.91</v>
      </c>
      <c r="F386" s="29">
        <v>0.5</v>
      </c>
      <c r="G386" s="30" t="s">
        <v>39</v>
      </c>
      <c r="H386" s="27" t="s">
        <v>71</v>
      </c>
      <c r="I386" s="27" t="s">
        <v>49</v>
      </c>
      <c r="J386" s="27" t="s">
        <v>152</v>
      </c>
      <c r="K386" s="27" t="s">
        <v>73</v>
      </c>
      <c r="L386" s="31" t="s">
        <v>577</v>
      </c>
      <c r="M386" s="32">
        <v>0.36</v>
      </c>
      <c r="N386" s="27" t="s">
        <v>33</v>
      </c>
      <c r="O386" s="27" t="s">
        <v>53</v>
      </c>
      <c r="P386" s="27" t="s">
        <v>357</v>
      </c>
      <c r="Q386" s="27" t="s">
        <v>358</v>
      </c>
      <c r="R386" s="33">
        <v>53711</v>
      </c>
      <c r="S386" s="34">
        <v>42037</v>
      </c>
      <c r="T386" s="34">
        <v>42037</v>
      </c>
      <c r="U386" s="29">
        <v>29.525099999999998</v>
      </c>
      <c r="V386" s="26">
        <v>9</v>
      </c>
      <c r="W386" s="29">
        <v>42.79</v>
      </c>
      <c r="X386" s="26">
        <v>86529</v>
      </c>
      <c r="Y386" s="35">
        <v>200.94</v>
      </c>
      <c r="Z386" s="1" t="s">
        <v>3012</v>
      </c>
      <c r="AA386" s="36">
        <v>2.6513999999999998</v>
      </c>
      <c r="AB386" s="54">
        <v>27.3856</v>
      </c>
      <c r="AC386" s="54">
        <v>1.7115999999999998</v>
      </c>
      <c r="AD386" s="36">
        <v>10.113500000000002</v>
      </c>
    </row>
    <row r="387" spans="1:30" s="37" customFormat="1" ht="15.75" customHeight="1" x14ac:dyDescent="0.2">
      <c r="A387" s="26">
        <v>1412</v>
      </c>
      <c r="B387" s="27" t="s">
        <v>935</v>
      </c>
      <c r="C387" s="27" t="s">
        <v>3094</v>
      </c>
      <c r="D387" s="28">
        <v>0.08</v>
      </c>
      <c r="E387" s="29">
        <v>3.38</v>
      </c>
      <c r="F387" s="29">
        <v>0.85</v>
      </c>
      <c r="G387" s="30" t="s">
        <v>39</v>
      </c>
      <c r="H387" s="27" t="s">
        <v>94</v>
      </c>
      <c r="I387" s="27" t="s">
        <v>49</v>
      </c>
      <c r="J387" s="27" t="s">
        <v>50</v>
      </c>
      <c r="K387" s="27" t="s">
        <v>51</v>
      </c>
      <c r="L387" s="31" t="s">
        <v>936</v>
      </c>
      <c r="M387" s="32">
        <v>0.48</v>
      </c>
      <c r="N387" s="27" t="s">
        <v>33</v>
      </c>
      <c r="O387" s="27" t="s">
        <v>60</v>
      </c>
      <c r="P387" s="27" t="s">
        <v>90</v>
      </c>
      <c r="Q387" s="27" t="s">
        <v>937</v>
      </c>
      <c r="R387" s="33">
        <v>94043</v>
      </c>
      <c r="S387" s="34">
        <v>42037</v>
      </c>
      <c r="T387" s="34">
        <v>42039</v>
      </c>
      <c r="U387" s="29">
        <v>20.453600000000002</v>
      </c>
      <c r="V387" s="26">
        <v>12</v>
      </c>
      <c r="W387" s="29">
        <v>38.81</v>
      </c>
      <c r="X387" s="26">
        <v>87087</v>
      </c>
      <c r="Y387" s="35">
        <v>200.94</v>
      </c>
      <c r="Z387" s="1" t="s">
        <v>3013</v>
      </c>
      <c r="AA387" s="36">
        <v>3.2447999999999997</v>
      </c>
      <c r="AB387" s="54">
        <v>20.1812</v>
      </c>
      <c r="AC387" s="54">
        <v>1.5524</v>
      </c>
      <c r="AD387" s="36">
        <v>14.261600000000001</v>
      </c>
    </row>
    <row r="388" spans="1:30" s="37" customFormat="1" ht="15.75" customHeight="1" x14ac:dyDescent="0.2">
      <c r="A388" s="26">
        <v>2486</v>
      </c>
      <c r="B388" s="27" t="s">
        <v>944</v>
      </c>
      <c r="C388" s="27" t="s">
        <v>48</v>
      </c>
      <c r="D388" s="28">
        <v>0</v>
      </c>
      <c r="E388" s="29">
        <v>180.98</v>
      </c>
      <c r="F388" s="29">
        <v>30</v>
      </c>
      <c r="G388" s="30" t="s">
        <v>27</v>
      </c>
      <c r="H388" s="27" t="s">
        <v>3095</v>
      </c>
      <c r="I388" s="27" t="s">
        <v>29</v>
      </c>
      <c r="J388" s="27" t="s">
        <v>109</v>
      </c>
      <c r="K388" s="27" t="s">
        <v>58</v>
      </c>
      <c r="L388" s="31" t="s">
        <v>945</v>
      </c>
      <c r="M388" s="32">
        <v>0.69</v>
      </c>
      <c r="N388" s="27" t="s">
        <v>33</v>
      </c>
      <c r="O388" s="27" t="s">
        <v>34</v>
      </c>
      <c r="P388" s="27" t="s">
        <v>75</v>
      </c>
      <c r="Q388" s="27" t="s">
        <v>946</v>
      </c>
      <c r="R388" s="33">
        <v>30458</v>
      </c>
      <c r="S388" s="34">
        <v>42038</v>
      </c>
      <c r="T388" s="34">
        <v>42040</v>
      </c>
      <c r="U388" s="29">
        <v>9.2040000000000006</v>
      </c>
      <c r="V388" s="26">
        <v>11</v>
      </c>
      <c r="W388" s="29">
        <v>2084.16</v>
      </c>
      <c r="X388" s="26">
        <v>91416</v>
      </c>
      <c r="Y388" s="35">
        <v>180.98</v>
      </c>
      <c r="Z388" s="1" t="s">
        <v>3011</v>
      </c>
      <c r="AA388" s="36">
        <v>0</v>
      </c>
      <c r="AB388" s="54">
        <v>646.08960000000002</v>
      </c>
      <c r="AC388" s="54">
        <v>130.7336727272727</v>
      </c>
      <c r="AD388" s="36">
        <v>2044.9559999999999</v>
      </c>
    </row>
    <row r="389" spans="1:30" s="37" customFormat="1" ht="15.75" customHeight="1" x14ac:dyDescent="0.2">
      <c r="A389" s="26">
        <v>3053</v>
      </c>
      <c r="B389" s="27" t="s">
        <v>947</v>
      </c>
      <c r="C389" s="27" t="s">
        <v>116</v>
      </c>
      <c r="D389" s="28">
        <v>0.06</v>
      </c>
      <c r="E389" s="29">
        <v>125.99</v>
      </c>
      <c r="F389" s="29">
        <v>2.5</v>
      </c>
      <c r="G389" s="30" t="s">
        <v>39</v>
      </c>
      <c r="H389" s="27" t="s">
        <v>94</v>
      </c>
      <c r="I389" s="27" t="s">
        <v>41</v>
      </c>
      <c r="J389" s="27" t="s">
        <v>135</v>
      </c>
      <c r="K389" s="27" t="s">
        <v>73</v>
      </c>
      <c r="L389" s="31" t="s">
        <v>948</v>
      </c>
      <c r="M389" s="32">
        <v>0.6</v>
      </c>
      <c r="N389" s="27" t="s">
        <v>33</v>
      </c>
      <c r="O389" s="27" t="s">
        <v>34</v>
      </c>
      <c r="P389" s="27" t="s">
        <v>388</v>
      </c>
      <c r="Q389" s="27" t="s">
        <v>949</v>
      </c>
      <c r="R389" s="33">
        <v>42071</v>
      </c>
      <c r="S389" s="34">
        <v>42038</v>
      </c>
      <c r="T389" s="34">
        <v>42040</v>
      </c>
      <c r="U389" s="29">
        <v>402.06599999999997</v>
      </c>
      <c r="V389" s="26">
        <v>11</v>
      </c>
      <c r="W389" s="29">
        <v>1173.76</v>
      </c>
      <c r="X389" s="26">
        <v>86662</v>
      </c>
      <c r="Y389" s="35">
        <v>125.92999999999999</v>
      </c>
      <c r="Z389" s="1" t="s">
        <v>3011</v>
      </c>
      <c r="AA389" s="36">
        <v>83.153399999999991</v>
      </c>
      <c r="AB389" s="54">
        <v>469.50400000000002</v>
      </c>
      <c r="AC389" s="54">
        <v>64.023272727272726</v>
      </c>
      <c r="AD389" s="36">
        <v>686.04060000000004</v>
      </c>
    </row>
    <row r="390" spans="1:30" s="37" customFormat="1" ht="15.75" customHeight="1" x14ac:dyDescent="0.2">
      <c r="A390" s="26">
        <v>603</v>
      </c>
      <c r="B390" s="27" t="s">
        <v>950</v>
      </c>
      <c r="C390" s="27" t="s">
        <v>3094</v>
      </c>
      <c r="D390" s="28">
        <v>0.02</v>
      </c>
      <c r="E390" s="29">
        <v>35.99</v>
      </c>
      <c r="F390" s="29">
        <v>5</v>
      </c>
      <c r="G390" s="30" t="s">
        <v>39</v>
      </c>
      <c r="H390" s="27" t="s">
        <v>71</v>
      </c>
      <c r="I390" s="27" t="s">
        <v>41</v>
      </c>
      <c r="J390" s="27" t="s">
        <v>135</v>
      </c>
      <c r="K390" s="27" t="s">
        <v>73</v>
      </c>
      <c r="L390" s="31" t="s">
        <v>951</v>
      </c>
      <c r="M390" s="32">
        <v>0.85</v>
      </c>
      <c r="N390" s="27" t="s">
        <v>33</v>
      </c>
      <c r="O390" s="27" t="s">
        <v>60</v>
      </c>
      <c r="P390" s="27" t="s">
        <v>61</v>
      </c>
      <c r="Q390" s="27" t="s">
        <v>952</v>
      </c>
      <c r="R390" s="33">
        <v>81001</v>
      </c>
      <c r="S390" s="34">
        <v>42038</v>
      </c>
      <c r="T390" s="34">
        <v>42040</v>
      </c>
      <c r="U390" s="29">
        <v>-120.934</v>
      </c>
      <c r="V390" s="26">
        <v>7</v>
      </c>
      <c r="W390" s="29">
        <v>227.79</v>
      </c>
      <c r="X390" s="26">
        <v>87020</v>
      </c>
      <c r="Y390" s="35">
        <v>35.97</v>
      </c>
      <c r="Z390" s="1" t="s">
        <v>3013</v>
      </c>
      <c r="AA390" s="36">
        <v>5.0386000000000006</v>
      </c>
      <c r="AB390" s="54">
        <v>34.168500000000002</v>
      </c>
      <c r="AC390" s="54">
        <v>27.660214285714282</v>
      </c>
      <c r="AD390" s="36">
        <v>338.68539999999996</v>
      </c>
    </row>
    <row r="391" spans="1:30" s="37" customFormat="1" ht="15.75" customHeight="1" x14ac:dyDescent="0.2">
      <c r="A391" s="26">
        <v>3151</v>
      </c>
      <c r="B391" s="27" t="s">
        <v>953</v>
      </c>
      <c r="C391" s="27" t="s">
        <v>26</v>
      </c>
      <c r="D391" s="28">
        <v>0.01</v>
      </c>
      <c r="E391" s="29">
        <v>3502.14</v>
      </c>
      <c r="F391" s="29">
        <v>8.73</v>
      </c>
      <c r="G391" s="30" t="s">
        <v>27</v>
      </c>
      <c r="H391" s="27" t="s">
        <v>94</v>
      </c>
      <c r="I391" s="27" t="s">
        <v>41</v>
      </c>
      <c r="J391" s="27" t="s">
        <v>57</v>
      </c>
      <c r="K391" s="27" t="s">
        <v>31</v>
      </c>
      <c r="L391" s="31" t="s">
        <v>841</v>
      </c>
      <c r="M391" s="32">
        <v>0.56999999999999995</v>
      </c>
      <c r="N391" s="27" t="s">
        <v>33</v>
      </c>
      <c r="O391" s="27" t="s">
        <v>60</v>
      </c>
      <c r="P391" s="27" t="s">
        <v>90</v>
      </c>
      <c r="Q391" s="27" t="s">
        <v>954</v>
      </c>
      <c r="R391" s="33">
        <v>92277</v>
      </c>
      <c r="S391" s="34">
        <v>42039</v>
      </c>
      <c r="T391" s="34">
        <v>42040</v>
      </c>
      <c r="U391" s="29">
        <v>-4075.9339920000002</v>
      </c>
      <c r="V391" s="26">
        <v>1</v>
      </c>
      <c r="W391" s="29">
        <v>3501.79</v>
      </c>
      <c r="X391" s="26">
        <v>88544</v>
      </c>
      <c r="Y391" s="35">
        <v>3502.1299999999997</v>
      </c>
      <c r="Z391" s="1" t="s">
        <v>3013</v>
      </c>
      <c r="AA391" s="36">
        <v>35.0214</v>
      </c>
      <c r="AB391" s="54">
        <v>1505.7697000000001</v>
      </c>
      <c r="AC391" s="54">
        <v>1996.0202999999999</v>
      </c>
      <c r="AD391" s="36">
        <v>7533.9725920000001</v>
      </c>
    </row>
    <row r="392" spans="1:30" s="37" customFormat="1" ht="15.75" customHeight="1" x14ac:dyDescent="0.2">
      <c r="A392" s="26">
        <v>1499</v>
      </c>
      <c r="B392" s="27" t="s">
        <v>969</v>
      </c>
      <c r="C392" s="27" t="s">
        <v>116</v>
      </c>
      <c r="D392" s="28">
        <v>0.08</v>
      </c>
      <c r="E392" s="29">
        <v>146.05000000000001</v>
      </c>
      <c r="F392" s="29">
        <v>80.2</v>
      </c>
      <c r="G392" s="30" t="s">
        <v>27</v>
      </c>
      <c r="H392" s="27" t="s">
        <v>71</v>
      </c>
      <c r="I392" s="27" t="s">
        <v>29</v>
      </c>
      <c r="J392" s="27" t="s">
        <v>30</v>
      </c>
      <c r="K392" s="27" t="s">
        <v>31</v>
      </c>
      <c r="L392" s="31" t="s">
        <v>971</v>
      </c>
      <c r="M392" s="32">
        <v>0.71</v>
      </c>
      <c r="N392" s="27" t="s">
        <v>33</v>
      </c>
      <c r="O392" s="27" t="s">
        <v>34</v>
      </c>
      <c r="P392" s="27" t="s">
        <v>123</v>
      </c>
      <c r="Q392" s="27" t="s">
        <v>970</v>
      </c>
      <c r="R392" s="33">
        <v>33134</v>
      </c>
      <c r="S392" s="34">
        <v>42039</v>
      </c>
      <c r="T392" s="34">
        <v>42040</v>
      </c>
      <c r="U392" s="29">
        <v>-27.951000000000001</v>
      </c>
      <c r="V392" s="26">
        <v>11</v>
      </c>
      <c r="W392" s="29">
        <v>1557.66</v>
      </c>
      <c r="X392" s="26">
        <v>90731</v>
      </c>
      <c r="Y392" s="35">
        <v>15.67</v>
      </c>
      <c r="Z392" s="1" t="s">
        <v>3011</v>
      </c>
      <c r="AA392" s="36">
        <v>128.524</v>
      </c>
      <c r="AB392" s="54">
        <v>451.72140000000007</v>
      </c>
      <c r="AC392" s="54">
        <v>100.53987272727274</v>
      </c>
      <c r="AD392" s="36">
        <v>1376.8870000000002</v>
      </c>
    </row>
    <row r="393" spans="1:30" s="37" customFormat="1" ht="15.75" customHeight="1" x14ac:dyDescent="0.2">
      <c r="A393" s="26">
        <v>2290</v>
      </c>
      <c r="B393" s="27" t="s">
        <v>279</v>
      </c>
      <c r="C393" s="27" t="s">
        <v>116</v>
      </c>
      <c r="D393" s="28">
        <v>7.0000000000000007E-2</v>
      </c>
      <c r="E393" s="29">
        <v>80.98</v>
      </c>
      <c r="F393" s="29">
        <v>7.18</v>
      </c>
      <c r="G393" s="30" t="s">
        <v>39</v>
      </c>
      <c r="H393" s="27" t="s">
        <v>94</v>
      </c>
      <c r="I393" s="27" t="s">
        <v>41</v>
      </c>
      <c r="J393" s="27" t="s">
        <v>42</v>
      </c>
      <c r="K393" s="27" t="s">
        <v>73</v>
      </c>
      <c r="L393" s="31" t="s">
        <v>977</v>
      </c>
      <c r="M393" s="32">
        <v>0.48</v>
      </c>
      <c r="N393" s="27" t="s">
        <v>33</v>
      </c>
      <c r="O393" s="27" t="s">
        <v>53</v>
      </c>
      <c r="P393" s="27" t="s">
        <v>84</v>
      </c>
      <c r="Q393" s="27" t="s">
        <v>281</v>
      </c>
      <c r="R393" s="33">
        <v>55433</v>
      </c>
      <c r="S393" s="34">
        <v>42039</v>
      </c>
      <c r="T393" s="34">
        <v>42041</v>
      </c>
      <c r="U393" s="29">
        <v>779.47230000000002</v>
      </c>
      <c r="V393" s="26">
        <v>15</v>
      </c>
      <c r="W393" s="29">
        <v>1129.67</v>
      </c>
      <c r="X393" s="26">
        <v>88164</v>
      </c>
      <c r="Y393" s="35">
        <v>10.790000000000001</v>
      </c>
      <c r="Z393" s="1" t="s">
        <v>3012</v>
      </c>
      <c r="AA393" s="36">
        <v>85.029000000000011</v>
      </c>
      <c r="AB393" s="54">
        <v>587.42840000000001</v>
      </c>
      <c r="AC393" s="54">
        <v>36.149439999999998</v>
      </c>
      <c r="AD393" s="36">
        <v>257.98870000000011</v>
      </c>
    </row>
    <row r="394" spans="1:30" s="37" customFormat="1" ht="15.75" customHeight="1" x14ac:dyDescent="0.2">
      <c r="A394" s="26">
        <v>2203</v>
      </c>
      <c r="B394" s="27" t="s">
        <v>182</v>
      </c>
      <c r="C394" s="27" t="s">
        <v>48</v>
      </c>
      <c r="D394" s="28">
        <v>0.08</v>
      </c>
      <c r="E394" s="29">
        <v>145.44999999999999</v>
      </c>
      <c r="F394" s="29">
        <v>17.850000000000001</v>
      </c>
      <c r="G394" s="30" t="s">
        <v>27</v>
      </c>
      <c r="H394" s="27" t="s">
        <v>71</v>
      </c>
      <c r="I394" s="27" t="s">
        <v>41</v>
      </c>
      <c r="J394" s="27" t="s">
        <v>57</v>
      </c>
      <c r="K394" s="27" t="s">
        <v>58</v>
      </c>
      <c r="L394" s="31" t="s">
        <v>210</v>
      </c>
      <c r="M394" s="32">
        <v>0.56000000000000005</v>
      </c>
      <c r="N394" s="27" t="s">
        <v>33</v>
      </c>
      <c r="O394" s="27" t="s">
        <v>53</v>
      </c>
      <c r="P394" s="27" t="s">
        <v>84</v>
      </c>
      <c r="Q394" s="27" t="s">
        <v>184</v>
      </c>
      <c r="R394" s="33">
        <v>55445</v>
      </c>
      <c r="S394" s="34">
        <v>42039</v>
      </c>
      <c r="T394" s="34">
        <v>42039</v>
      </c>
      <c r="U394" s="29">
        <v>751.58</v>
      </c>
      <c r="V394" s="26">
        <v>8</v>
      </c>
      <c r="W394" s="29">
        <v>1117.6600000000001</v>
      </c>
      <c r="X394" s="26">
        <v>86051</v>
      </c>
      <c r="Y394" s="35">
        <v>2.91</v>
      </c>
      <c r="Z394" s="1" t="s">
        <v>3012</v>
      </c>
      <c r="AA394" s="36">
        <v>93.087999999999994</v>
      </c>
      <c r="AB394" s="54">
        <v>491.7704</v>
      </c>
      <c r="AC394" s="54">
        <v>78.236200000000011</v>
      </c>
      <c r="AD394" s="36">
        <v>255.14200000000005</v>
      </c>
    </row>
    <row r="395" spans="1:30" s="37" customFormat="1" ht="15.75" customHeight="1" x14ac:dyDescent="0.2">
      <c r="A395" s="26">
        <v>1213</v>
      </c>
      <c r="B395" s="27" t="s">
        <v>519</v>
      </c>
      <c r="C395" s="27" t="s">
        <v>48</v>
      </c>
      <c r="D395" s="28">
        <v>7.0000000000000007E-2</v>
      </c>
      <c r="E395" s="29">
        <v>29.89</v>
      </c>
      <c r="F395" s="29">
        <v>1.99</v>
      </c>
      <c r="G395" s="30" t="s">
        <v>87</v>
      </c>
      <c r="H395" s="27" t="s">
        <v>94</v>
      </c>
      <c r="I395" s="27" t="s">
        <v>41</v>
      </c>
      <c r="J395" s="27" t="s">
        <v>42</v>
      </c>
      <c r="K395" s="27" t="s">
        <v>43</v>
      </c>
      <c r="L395" s="31" t="s">
        <v>443</v>
      </c>
      <c r="M395" s="32">
        <v>0.5</v>
      </c>
      <c r="N395" s="27" t="s">
        <v>33</v>
      </c>
      <c r="O395" s="27" t="s">
        <v>53</v>
      </c>
      <c r="P395" s="27" t="s">
        <v>54</v>
      </c>
      <c r="Q395" s="27" t="s">
        <v>520</v>
      </c>
      <c r="R395" s="33">
        <v>46530</v>
      </c>
      <c r="S395" s="34">
        <v>42039</v>
      </c>
      <c r="T395" s="34">
        <v>42044</v>
      </c>
      <c r="U395" s="29">
        <v>258.6189</v>
      </c>
      <c r="V395" s="26">
        <v>13</v>
      </c>
      <c r="W395" s="29">
        <v>374.81</v>
      </c>
      <c r="X395" s="26">
        <v>88599</v>
      </c>
      <c r="Y395" s="35">
        <v>2.91</v>
      </c>
      <c r="Z395" s="1" t="s">
        <v>3012</v>
      </c>
      <c r="AA395" s="36">
        <v>27.199900000000003</v>
      </c>
      <c r="AB395" s="54">
        <v>187.405</v>
      </c>
      <c r="AC395" s="54">
        <v>14.41576923076923</v>
      </c>
      <c r="AD395" s="36">
        <v>87.001199999999983</v>
      </c>
    </row>
    <row r="396" spans="1:30" s="37" customFormat="1" ht="15.75" customHeight="1" x14ac:dyDescent="0.2">
      <c r="A396" s="26">
        <v>3351</v>
      </c>
      <c r="B396" s="27" t="s">
        <v>956</v>
      </c>
      <c r="C396" s="27" t="s">
        <v>26</v>
      </c>
      <c r="D396" s="28">
        <v>0.1</v>
      </c>
      <c r="E396" s="29">
        <v>10.89</v>
      </c>
      <c r="F396" s="29">
        <v>4.5</v>
      </c>
      <c r="G396" s="30" t="s">
        <v>39</v>
      </c>
      <c r="H396" s="27" t="s">
        <v>3095</v>
      </c>
      <c r="I396" s="27" t="s">
        <v>49</v>
      </c>
      <c r="J396" s="27" t="s">
        <v>95</v>
      </c>
      <c r="K396" s="27" t="s">
        <v>73</v>
      </c>
      <c r="L396" s="31" t="s">
        <v>773</v>
      </c>
      <c r="M396" s="32">
        <v>0.59</v>
      </c>
      <c r="N396" s="27" t="s">
        <v>33</v>
      </c>
      <c r="O396" s="27" t="s">
        <v>60</v>
      </c>
      <c r="P396" s="27" t="s">
        <v>67</v>
      </c>
      <c r="Q396" s="27" t="s">
        <v>957</v>
      </c>
      <c r="R396" s="33">
        <v>99301</v>
      </c>
      <c r="S396" s="34">
        <v>42039</v>
      </c>
      <c r="T396" s="34">
        <v>42041</v>
      </c>
      <c r="U396" s="29">
        <v>-19.2972</v>
      </c>
      <c r="V396" s="26">
        <v>17</v>
      </c>
      <c r="W396" s="29">
        <v>178.68</v>
      </c>
      <c r="X396" s="26">
        <v>91297</v>
      </c>
      <c r="Y396" s="35">
        <v>29.82</v>
      </c>
      <c r="Z396" s="1" t="s">
        <v>3013</v>
      </c>
      <c r="AA396" s="36">
        <v>18.513000000000002</v>
      </c>
      <c r="AB396" s="54">
        <v>73.258800000000008</v>
      </c>
      <c r="AC396" s="54">
        <v>6.2012470588235296</v>
      </c>
      <c r="AD396" s="36">
        <v>174.96420000000001</v>
      </c>
    </row>
    <row r="397" spans="1:30" s="37" customFormat="1" ht="15.75" customHeight="1" x14ac:dyDescent="0.2">
      <c r="A397" s="26">
        <v>3042</v>
      </c>
      <c r="B397" s="27" t="s">
        <v>978</v>
      </c>
      <c r="C397" s="27" t="s">
        <v>116</v>
      </c>
      <c r="D397" s="28">
        <v>7.0000000000000007E-2</v>
      </c>
      <c r="E397" s="29">
        <v>14.48</v>
      </c>
      <c r="F397" s="29">
        <v>6.46</v>
      </c>
      <c r="G397" s="30" t="s">
        <v>39</v>
      </c>
      <c r="H397" s="27" t="s">
        <v>3095</v>
      </c>
      <c r="I397" s="27" t="s">
        <v>49</v>
      </c>
      <c r="J397" s="27" t="s">
        <v>72</v>
      </c>
      <c r="K397" s="27" t="s">
        <v>73</v>
      </c>
      <c r="L397" s="31" t="s">
        <v>979</v>
      </c>
      <c r="M397" s="32">
        <v>0.38</v>
      </c>
      <c r="N397" s="27" t="s">
        <v>33</v>
      </c>
      <c r="O397" s="27" t="s">
        <v>53</v>
      </c>
      <c r="P397" s="27" t="s">
        <v>537</v>
      </c>
      <c r="Q397" s="27" t="s">
        <v>980</v>
      </c>
      <c r="R397" s="33">
        <v>67501</v>
      </c>
      <c r="S397" s="34">
        <v>42039</v>
      </c>
      <c r="T397" s="34">
        <v>42040</v>
      </c>
      <c r="U397" s="29">
        <v>67.864000000000004</v>
      </c>
      <c r="V397" s="26">
        <v>12</v>
      </c>
      <c r="W397" s="29">
        <v>171.33</v>
      </c>
      <c r="X397" s="26">
        <v>86101</v>
      </c>
      <c r="Y397" s="35">
        <v>8.31</v>
      </c>
      <c r="Z397" s="1" t="s">
        <v>3012</v>
      </c>
      <c r="AA397" s="36">
        <v>12.1632</v>
      </c>
      <c r="AB397" s="54">
        <v>106.22460000000001</v>
      </c>
      <c r="AC397" s="54">
        <v>5.4254500000000005</v>
      </c>
      <c r="AD397" s="36">
        <v>84.842800000000011</v>
      </c>
    </row>
    <row r="398" spans="1:30" s="37" customFormat="1" ht="15.75" customHeight="1" x14ac:dyDescent="0.2">
      <c r="A398" s="26">
        <v>2204</v>
      </c>
      <c r="B398" s="27" t="s">
        <v>962</v>
      </c>
      <c r="C398" s="27" t="s">
        <v>48</v>
      </c>
      <c r="D398" s="28">
        <v>7.0000000000000007E-2</v>
      </c>
      <c r="E398" s="29">
        <v>33.94</v>
      </c>
      <c r="F398" s="29">
        <v>19.190000000000001</v>
      </c>
      <c r="G398" s="30" t="s">
        <v>27</v>
      </c>
      <c r="H398" s="27" t="s">
        <v>71</v>
      </c>
      <c r="I398" s="27" t="s">
        <v>29</v>
      </c>
      <c r="J398" s="27" t="s">
        <v>109</v>
      </c>
      <c r="K398" s="27" t="s">
        <v>58</v>
      </c>
      <c r="L398" s="31" t="s">
        <v>202</v>
      </c>
      <c r="M398" s="32">
        <v>0.57999999999999996</v>
      </c>
      <c r="N398" s="27" t="s">
        <v>33</v>
      </c>
      <c r="O398" s="27" t="s">
        <v>53</v>
      </c>
      <c r="P398" s="27" t="s">
        <v>84</v>
      </c>
      <c r="Q398" s="27" t="s">
        <v>963</v>
      </c>
      <c r="R398" s="33">
        <v>55337</v>
      </c>
      <c r="S398" s="34">
        <v>42039</v>
      </c>
      <c r="T398" s="34">
        <v>42043</v>
      </c>
      <c r="U398" s="29">
        <v>-157.56</v>
      </c>
      <c r="V398" s="26">
        <v>5</v>
      </c>
      <c r="W398" s="29">
        <v>169.46</v>
      </c>
      <c r="X398" s="26">
        <v>86051</v>
      </c>
      <c r="Y398" s="35">
        <v>145.36999999999998</v>
      </c>
      <c r="Z398" s="1" t="s">
        <v>3012</v>
      </c>
      <c r="AA398" s="36">
        <v>11.879</v>
      </c>
      <c r="AB398" s="54">
        <v>71.173200000000008</v>
      </c>
      <c r="AC398" s="54">
        <v>19.657360000000001</v>
      </c>
      <c r="AD398" s="36">
        <v>295.95100000000002</v>
      </c>
    </row>
    <row r="399" spans="1:30" s="37" customFormat="1" ht="15.75" customHeight="1" x14ac:dyDescent="0.2">
      <c r="A399" s="26">
        <v>2947</v>
      </c>
      <c r="B399" s="27" t="s">
        <v>983</v>
      </c>
      <c r="C399" s="27" t="s">
        <v>3094</v>
      </c>
      <c r="D399" s="28">
        <v>0.01</v>
      </c>
      <c r="E399" s="29">
        <v>7.64</v>
      </c>
      <c r="F399" s="29">
        <v>1.39</v>
      </c>
      <c r="G399" s="30" t="s">
        <v>39</v>
      </c>
      <c r="H399" s="27" t="s">
        <v>40</v>
      </c>
      <c r="I399" s="27" t="s">
        <v>49</v>
      </c>
      <c r="J399" s="27" t="s">
        <v>345</v>
      </c>
      <c r="K399" s="27" t="s">
        <v>73</v>
      </c>
      <c r="L399" s="31" t="s">
        <v>608</v>
      </c>
      <c r="M399" s="32">
        <v>0.36</v>
      </c>
      <c r="N399" s="27" t="s">
        <v>33</v>
      </c>
      <c r="O399" s="27" t="s">
        <v>111</v>
      </c>
      <c r="P399" s="27" t="s">
        <v>112</v>
      </c>
      <c r="Q399" s="27" t="s">
        <v>984</v>
      </c>
      <c r="R399" s="33">
        <v>14043</v>
      </c>
      <c r="S399" s="34">
        <v>42039</v>
      </c>
      <c r="T399" s="34">
        <v>42042</v>
      </c>
      <c r="U399" s="29">
        <v>112.1181</v>
      </c>
      <c r="V399" s="26">
        <v>20</v>
      </c>
      <c r="W399" s="29">
        <v>162.49</v>
      </c>
      <c r="X399" s="26">
        <v>87511</v>
      </c>
      <c r="Y399" s="35">
        <v>33.869999999999997</v>
      </c>
      <c r="Z399" s="1" t="s">
        <v>3014</v>
      </c>
      <c r="AA399" s="36">
        <v>1.528</v>
      </c>
      <c r="AB399" s="54">
        <v>103.99360000000001</v>
      </c>
      <c r="AC399" s="54">
        <v>2.9248200000000004</v>
      </c>
      <c r="AD399" s="36">
        <v>47.453900000000004</v>
      </c>
    </row>
    <row r="400" spans="1:30" s="37" customFormat="1" ht="15.75" customHeight="1" x14ac:dyDescent="0.2">
      <c r="A400" s="26">
        <v>1776</v>
      </c>
      <c r="B400" s="27" t="s">
        <v>981</v>
      </c>
      <c r="C400" s="27" t="s">
        <v>3094</v>
      </c>
      <c r="D400" s="28">
        <v>0.08</v>
      </c>
      <c r="E400" s="29">
        <v>5.78</v>
      </c>
      <c r="F400" s="29">
        <v>5.67</v>
      </c>
      <c r="G400" s="30" t="s">
        <v>39</v>
      </c>
      <c r="H400" s="27" t="s">
        <v>40</v>
      </c>
      <c r="I400" s="27" t="s">
        <v>49</v>
      </c>
      <c r="J400" s="27" t="s">
        <v>88</v>
      </c>
      <c r="K400" s="27" t="s">
        <v>73</v>
      </c>
      <c r="L400" s="31" t="s">
        <v>615</v>
      </c>
      <c r="M400" s="32">
        <v>0.36</v>
      </c>
      <c r="N400" s="27" t="s">
        <v>33</v>
      </c>
      <c r="O400" s="27" t="s">
        <v>53</v>
      </c>
      <c r="P400" s="27" t="s">
        <v>54</v>
      </c>
      <c r="Q400" s="27" t="s">
        <v>982</v>
      </c>
      <c r="R400" s="33">
        <v>47802</v>
      </c>
      <c r="S400" s="34">
        <v>42039</v>
      </c>
      <c r="T400" s="34">
        <v>42040</v>
      </c>
      <c r="U400" s="29">
        <v>-53.898000000000003</v>
      </c>
      <c r="V400" s="26">
        <v>19</v>
      </c>
      <c r="W400" s="29">
        <v>106.57</v>
      </c>
      <c r="X400" s="26">
        <v>89941</v>
      </c>
      <c r="Y400" s="35">
        <v>1.63</v>
      </c>
      <c r="Z400" s="1" t="s">
        <v>3012</v>
      </c>
      <c r="AA400" s="36">
        <v>8.7856000000000005</v>
      </c>
      <c r="AB400" s="54">
        <v>68.204799999999992</v>
      </c>
      <c r="AC400" s="54">
        <v>2.019221052631579</v>
      </c>
      <c r="AD400" s="36">
        <v>146.01239999999999</v>
      </c>
    </row>
    <row r="401" spans="1:30" s="37" customFormat="1" ht="15.75" customHeight="1" x14ac:dyDescent="0.2">
      <c r="A401" s="26">
        <v>3151</v>
      </c>
      <c r="B401" s="27" t="s">
        <v>953</v>
      </c>
      <c r="C401" s="27" t="s">
        <v>26</v>
      </c>
      <c r="D401" s="28">
        <v>0.06</v>
      </c>
      <c r="E401" s="29">
        <v>15.73</v>
      </c>
      <c r="F401" s="29">
        <v>7.42</v>
      </c>
      <c r="G401" s="30" t="s">
        <v>39</v>
      </c>
      <c r="H401" s="27" t="s">
        <v>94</v>
      </c>
      <c r="I401" s="27" t="s">
        <v>49</v>
      </c>
      <c r="J401" s="27" t="s">
        <v>568</v>
      </c>
      <c r="K401" s="27" t="s">
        <v>43</v>
      </c>
      <c r="L401" s="31" t="s">
        <v>955</v>
      </c>
      <c r="M401" s="32">
        <v>0.56000000000000005</v>
      </c>
      <c r="N401" s="27" t="s">
        <v>33</v>
      </c>
      <c r="O401" s="27" t="s">
        <v>60</v>
      </c>
      <c r="P401" s="27" t="s">
        <v>90</v>
      </c>
      <c r="Q401" s="27" t="s">
        <v>954</v>
      </c>
      <c r="R401" s="33">
        <v>92277</v>
      </c>
      <c r="S401" s="34">
        <v>42039</v>
      </c>
      <c r="T401" s="34">
        <v>42040</v>
      </c>
      <c r="U401" s="29">
        <v>-18.558800000000002</v>
      </c>
      <c r="V401" s="26">
        <v>4</v>
      </c>
      <c r="W401" s="29">
        <v>63.04</v>
      </c>
      <c r="X401" s="26">
        <v>88544</v>
      </c>
      <c r="Y401" s="35">
        <v>12.92</v>
      </c>
      <c r="Z401" s="1" t="s">
        <v>3013</v>
      </c>
      <c r="AA401" s="36">
        <v>3.7751999999999999</v>
      </c>
      <c r="AB401" s="54">
        <v>27.737599999999997</v>
      </c>
      <c r="AC401" s="54">
        <v>8.8256000000000014</v>
      </c>
      <c r="AD401" s="36">
        <v>70.403599999999997</v>
      </c>
    </row>
    <row r="402" spans="1:30" s="37" customFormat="1" ht="15.75" customHeight="1" x14ac:dyDescent="0.2">
      <c r="A402" s="26">
        <v>2286</v>
      </c>
      <c r="B402" s="27" t="s">
        <v>972</v>
      </c>
      <c r="C402" s="27" t="s">
        <v>116</v>
      </c>
      <c r="D402" s="28">
        <v>0</v>
      </c>
      <c r="E402" s="29">
        <v>4.91</v>
      </c>
      <c r="F402" s="29">
        <v>0.5</v>
      </c>
      <c r="G402" s="30" t="s">
        <v>39</v>
      </c>
      <c r="H402" s="27" t="s">
        <v>94</v>
      </c>
      <c r="I402" s="27" t="s">
        <v>49</v>
      </c>
      <c r="J402" s="27" t="s">
        <v>152</v>
      </c>
      <c r="K402" s="27" t="s">
        <v>73</v>
      </c>
      <c r="L402" s="31" t="s">
        <v>973</v>
      </c>
      <c r="M402" s="32">
        <v>0.36</v>
      </c>
      <c r="N402" s="27" t="s">
        <v>33</v>
      </c>
      <c r="O402" s="27" t="s">
        <v>34</v>
      </c>
      <c r="P402" s="27" t="s">
        <v>271</v>
      </c>
      <c r="Q402" s="27" t="s">
        <v>974</v>
      </c>
      <c r="R402" s="33">
        <v>29301</v>
      </c>
      <c r="S402" s="34">
        <v>42039</v>
      </c>
      <c r="T402" s="34">
        <v>42041</v>
      </c>
      <c r="U402" s="29">
        <v>99.197999999999993</v>
      </c>
      <c r="V402" s="26">
        <v>12</v>
      </c>
      <c r="W402" s="29">
        <v>61.87</v>
      </c>
      <c r="X402" s="26">
        <v>90145</v>
      </c>
      <c r="Y402" s="35">
        <v>5.75</v>
      </c>
      <c r="Z402" s="1" t="s">
        <v>3011</v>
      </c>
      <c r="AA402" s="36">
        <v>0</v>
      </c>
      <c r="AB402" s="54">
        <v>39.596800000000002</v>
      </c>
      <c r="AC402" s="54">
        <v>1.8560999999999996</v>
      </c>
      <c r="AD402" s="36">
        <v>-37.827999999999996</v>
      </c>
    </row>
    <row r="403" spans="1:30" s="37" customFormat="1" ht="15.75" customHeight="1" x14ac:dyDescent="0.2">
      <c r="A403" s="26">
        <v>1499</v>
      </c>
      <c r="B403" s="27" t="s">
        <v>969</v>
      </c>
      <c r="C403" s="27" t="s">
        <v>116</v>
      </c>
      <c r="D403" s="28">
        <v>0.03</v>
      </c>
      <c r="E403" s="29">
        <v>6.48</v>
      </c>
      <c r="F403" s="29">
        <v>6.6</v>
      </c>
      <c r="G403" s="30" t="s">
        <v>39</v>
      </c>
      <c r="H403" s="27" t="s">
        <v>71</v>
      </c>
      <c r="I403" s="27" t="s">
        <v>49</v>
      </c>
      <c r="J403" s="27" t="s">
        <v>88</v>
      </c>
      <c r="K403" s="27" t="s">
        <v>73</v>
      </c>
      <c r="L403" s="31" t="s">
        <v>648</v>
      </c>
      <c r="M403" s="32">
        <v>0.37</v>
      </c>
      <c r="N403" s="27" t="s">
        <v>33</v>
      </c>
      <c r="O403" s="27" t="s">
        <v>34</v>
      </c>
      <c r="P403" s="27" t="s">
        <v>123</v>
      </c>
      <c r="Q403" s="27" t="s">
        <v>970</v>
      </c>
      <c r="R403" s="33">
        <v>33134</v>
      </c>
      <c r="S403" s="34">
        <v>42039</v>
      </c>
      <c r="T403" s="34">
        <v>42040</v>
      </c>
      <c r="U403" s="29">
        <v>-145.852</v>
      </c>
      <c r="V403" s="26">
        <v>9</v>
      </c>
      <c r="W403" s="29">
        <v>58.83</v>
      </c>
      <c r="X403" s="26">
        <v>90731</v>
      </c>
      <c r="Y403" s="35">
        <v>2.1100000000000003</v>
      </c>
      <c r="Z403" s="1" t="s">
        <v>3011</v>
      </c>
      <c r="AA403" s="36">
        <v>1.7496</v>
      </c>
      <c r="AB403" s="54">
        <v>37.062899999999999</v>
      </c>
      <c r="AC403" s="54">
        <v>2.4185666666666665</v>
      </c>
      <c r="AD403" s="36">
        <v>196.33240000000001</v>
      </c>
    </row>
    <row r="404" spans="1:30" s="37" customFormat="1" ht="15.75" customHeight="1" x14ac:dyDescent="0.2">
      <c r="A404" s="26">
        <v>1363</v>
      </c>
      <c r="B404" s="27" t="s">
        <v>966</v>
      </c>
      <c r="C404" s="27" t="s">
        <v>116</v>
      </c>
      <c r="D404" s="28">
        <v>0.06</v>
      </c>
      <c r="E404" s="29">
        <v>5.81</v>
      </c>
      <c r="F404" s="29">
        <v>3.37</v>
      </c>
      <c r="G404" s="30" t="s">
        <v>39</v>
      </c>
      <c r="H404" s="27" t="s">
        <v>40</v>
      </c>
      <c r="I404" s="27" t="s">
        <v>49</v>
      </c>
      <c r="J404" s="27" t="s">
        <v>176</v>
      </c>
      <c r="K404" s="27" t="s">
        <v>51</v>
      </c>
      <c r="L404" s="31" t="s">
        <v>968</v>
      </c>
      <c r="M404" s="32">
        <v>0.54</v>
      </c>
      <c r="N404" s="27" t="s">
        <v>33</v>
      </c>
      <c r="O404" s="27" t="s">
        <v>34</v>
      </c>
      <c r="P404" s="27" t="s">
        <v>123</v>
      </c>
      <c r="Q404" s="27" t="s">
        <v>967</v>
      </c>
      <c r="R404" s="33">
        <v>32707</v>
      </c>
      <c r="S404" s="34">
        <v>42039</v>
      </c>
      <c r="T404" s="34">
        <v>42041</v>
      </c>
      <c r="U404" s="29">
        <v>-149.1182</v>
      </c>
      <c r="V404" s="26">
        <v>9</v>
      </c>
      <c r="W404" s="29">
        <v>53.44</v>
      </c>
      <c r="X404" s="26">
        <v>89993</v>
      </c>
      <c r="Y404" s="35">
        <v>6.45</v>
      </c>
      <c r="Z404" s="1" t="s">
        <v>3011</v>
      </c>
      <c r="AA404" s="36">
        <v>3.1373999999999995</v>
      </c>
      <c r="AB404" s="54">
        <v>24.582399999999996</v>
      </c>
      <c r="AC404" s="54">
        <v>3.2064000000000004</v>
      </c>
      <c r="AD404" s="36">
        <v>196.05079999999998</v>
      </c>
    </row>
    <row r="405" spans="1:30" s="37" customFormat="1" ht="15.75" customHeight="1" x14ac:dyDescent="0.2">
      <c r="A405" s="26">
        <v>2286</v>
      </c>
      <c r="B405" s="27" t="s">
        <v>972</v>
      </c>
      <c r="C405" s="27" t="s">
        <v>116</v>
      </c>
      <c r="D405" s="28">
        <v>0.01</v>
      </c>
      <c r="E405" s="29">
        <v>7.28</v>
      </c>
      <c r="F405" s="29">
        <v>11.15</v>
      </c>
      <c r="G405" s="30" t="s">
        <v>39</v>
      </c>
      <c r="H405" s="27" t="s">
        <v>94</v>
      </c>
      <c r="I405" s="27" t="s">
        <v>49</v>
      </c>
      <c r="J405" s="27" t="s">
        <v>88</v>
      </c>
      <c r="K405" s="27" t="s">
        <v>73</v>
      </c>
      <c r="L405" s="31" t="s">
        <v>975</v>
      </c>
      <c r="M405" s="32">
        <v>0.37</v>
      </c>
      <c r="N405" s="27" t="s">
        <v>33</v>
      </c>
      <c r="O405" s="27" t="s">
        <v>34</v>
      </c>
      <c r="P405" s="27" t="s">
        <v>271</v>
      </c>
      <c r="Q405" s="27" t="s">
        <v>974</v>
      </c>
      <c r="R405" s="33">
        <v>29301</v>
      </c>
      <c r="S405" s="34">
        <v>42039</v>
      </c>
      <c r="T405" s="34">
        <v>42040</v>
      </c>
      <c r="U405" s="29">
        <v>136.03139999999999</v>
      </c>
      <c r="V405" s="26">
        <v>6</v>
      </c>
      <c r="W405" s="29">
        <v>48.88</v>
      </c>
      <c r="X405" s="26">
        <v>90145</v>
      </c>
      <c r="Y405" s="35">
        <v>145.97</v>
      </c>
      <c r="Z405" s="1" t="s">
        <v>3011</v>
      </c>
      <c r="AA405" s="36">
        <v>0.43680000000000002</v>
      </c>
      <c r="AB405" s="54">
        <v>30.794400000000003</v>
      </c>
      <c r="AC405" s="54">
        <v>3.0142666666666664</v>
      </c>
      <c r="AD405" s="36">
        <v>-98.738200000000006</v>
      </c>
    </row>
    <row r="406" spans="1:30" s="37" customFormat="1" ht="15.75" customHeight="1" x14ac:dyDescent="0.2">
      <c r="A406" s="26">
        <v>1213</v>
      </c>
      <c r="B406" s="27" t="s">
        <v>519</v>
      </c>
      <c r="C406" s="27" t="s">
        <v>48</v>
      </c>
      <c r="D406" s="28">
        <v>0.03</v>
      </c>
      <c r="E406" s="29">
        <v>8.34</v>
      </c>
      <c r="F406" s="29">
        <v>4.82</v>
      </c>
      <c r="G406" s="30" t="s">
        <v>39</v>
      </c>
      <c r="H406" s="27" t="s">
        <v>94</v>
      </c>
      <c r="I406" s="27" t="s">
        <v>49</v>
      </c>
      <c r="J406" s="27" t="s">
        <v>88</v>
      </c>
      <c r="K406" s="27" t="s">
        <v>73</v>
      </c>
      <c r="L406" s="31" t="s">
        <v>961</v>
      </c>
      <c r="M406" s="32">
        <v>0.4</v>
      </c>
      <c r="N406" s="27" t="s">
        <v>33</v>
      </c>
      <c r="O406" s="27" t="s">
        <v>53</v>
      </c>
      <c r="P406" s="27" t="s">
        <v>54</v>
      </c>
      <c r="Q406" s="27" t="s">
        <v>520</v>
      </c>
      <c r="R406" s="33">
        <v>46530</v>
      </c>
      <c r="S406" s="34">
        <v>42039</v>
      </c>
      <c r="T406" s="34">
        <v>42043</v>
      </c>
      <c r="U406" s="29">
        <v>-6.71</v>
      </c>
      <c r="V406" s="26">
        <v>5</v>
      </c>
      <c r="W406" s="29">
        <v>43.27</v>
      </c>
      <c r="X406" s="26">
        <v>88599</v>
      </c>
      <c r="Y406" s="35">
        <v>4.91</v>
      </c>
      <c r="Z406" s="1" t="s">
        <v>3012</v>
      </c>
      <c r="AA406" s="36">
        <v>1.2509999999999999</v>
      </c>
      <c r="AB406" s="54">
        <v>25.962</v>
      </c>
      <c r="AC406" s="54">
        <v>3.4616000000000002</v>
      </c>
      <c r="AD406" s="36">
        <v>43.909000000000006</v>
      </c>
    </row>
    <row r="407" spans="1:30" s="37" customFormat="1" ht="15.75" customHeight="1" x14ac:dyDescent="0.2">
      <c r="A407" s="26">
        <v>1363</v>
      </c>
      <c r="B407" s="27" t="s">
        <v>966</v>
      </c>
      <c r="C407" s="27" t="s">
        <v>116</v>
      </c>
      <c r="D407" s="28">
        <v>0.05</v>
      </c>
      <c r="E407" s="29">
        <v>12.97</v>
      </c>
      <c r="F407" s="29">
        <v>1.49</v>
      </c>
      <c r="G407" s="30" t="s">
        <v>39</v>
      </c>
      <c r="H407" s="27" t="s">
        <v>40</v>
      </c>
      <c r="I407" s="27" t="s">
        <v>49</v>
      </c>
      <c r="J407" s="27" t="s">
        <v>72</v>
      </c>
      <c r="K407" s="27" t="s">
        <v>73</v>
      </c>
      <c r="L407" s="31" t="s">
        <v>926</v>
      </c>
      <c r="M407" s="32">
        <v>0.35</v>
      </c>
      <c r="N407" s="27" t="s">
        <v>33</v>
      </c>
      <c r="O407" s="27" t="s">
        <v>34</v>
      </c>
      <c r="P407" s="27" t="s">
        <v>123</v>
      </c>
      <c r="Q407" s="27" t="s">
        <v>967</v>
      </c>
      <c r="R407" s="33">
        <v>32707</v>
      </c>
      <c r="S407" s="34">
        <v>42039</v>
      </c>
      <c r="T407" s="34">
        <v>42041</v>
      </c>
      <c r="U407" s="29">
        <v>5.4660000000000002</v>
      </c>
      <c r="V407" s="26">
        <v>2</v>
      </c>
      <c r="W407" s="29">
        <v>26.37</v>
      </c>
      <c r="X407" s="26">
        <v>89993</v>
      </c>
      <c r="Y407" s="35">
        <v>7.2700000000000005</v>
      </c>
      <c r="Z407" s="1" t="s">
        <v>3011</v>
      </c>
      <c r="AA407" s="36">
        <v>1.2970000000000002</v>
      </c>
      <c r="AB407" s="54">
        <v>17.140500000000003</v>
      </c>
      <c r="AC407" s="54">
        <v>4.6147499999999999</v>
      </c>
      <c r="AD407" s="36">
        <v>18.117000000000001</v>
      </c>
    </row>
    <row r="408" spans="1:30" s="37" customFormat="1" ht="15.75" customHeight="1" x14ac:dyDescent="0.2">
      <c r="A408" s="26">
        <v>2286</v>
      </c>
      <c r="B408" s="27" t="s">
        <v>972</v>
      </c>
      <c r="C408" s="27" t="s">
        <v>116</v>
      </c>
      <c r="D408" s="28">
        <v>0.1</v>
      </c>
      <c r="E408" s="29">
        <v>6.68</v>
      </c>
      <c r="F408" s="29">
        <v>6.93</v>
      </c>
      <c r="G408" s="30" t="s">
        <v>39</v>
      </c>
      <c r="H408" s="27" t="s">
        <v>94</v>
      </c>
      <c r="I408" s="27" t="s">
        <v>49</v>
      </c>
      <c r="J408" s="27" t="s">
        <v>88</v>
      </c>
      <c r="K408" s="27" t="s">
        <v>73</v>
      </c>
      <c r="L408" s="31" t="s">
        <v>976</v>
      </c>
      <c r="M408" s="32">
        <v>0.37</v>
      </c>
      <c r="N408" s="27" t="s">
        <v>33</v>
      </c>
      <c r="O408" s="27" t="s">
        <v>34</v>
      </c>
      <c r="P408" s="27" t="s">
        <v>271</v>
      </c>
      <c r="Q408" s="27" t="s">
        <v>974</v>
      </c>
      <c r="R408" s="33">
        <v>29301</v>
      </c>
      <c r="S408" s="34">
        <v>42039</v>
      </c>
      <c r="T408" s="34">
        <v>42042</v>
      </c>
      <c r="U408" s="29">
        <v>-100.072</v>
      </c>
      <c r="V408" s="26">
        <v>3</v>
      </c>
      <c r="W408" s="29">
        <v>21.56</v>
      </c>
      <c r="X408" s="26">
        <v>90145</v>
      </c>
      <c r="Y408" s="35">
        <v>6.58</v>
      </c>
      <c r="Z408" s="1" t="s">
        <v>3011</v>
      </c>
      <c r="AA408" s="36">
        <v>2.004</v>
      </c>
      <c r="AB408" s="54">
        <v>13.582799999999999</v>
      </c>
      <c r="AC408" s="54">
        <v>2.6590666666666665</v>
      </c>
      <c r="AD408" s="36">
        <v>112.69799999999999</v>
      </c>
    </row>
    <row r="409" spans="1:30" s="37" customFormat="1" ht="15.75" customHeight="1" x14ac:dyDescent="0.2">
      <c r="A409" s="26">
        <v>1499</v>
      </c>
      <c r="B409" s="27" t="s">
        <v>969</v>
      </c>
      <c r="C409" s="27" t="s">
        <v>116</v>
      </c>
      <c r="D409" s="28">
        <v>0.05</v>
      </c>
      <c r="E409" s="29">
        <v>2.16</v>
      </c>
      <c r="F409" s="29">
        <v>6.05</v>
      </c>
      <c r="G409" s="30" t="s">
        <v>39</v>
      </c>
      <c r="H409" s="27" t="s">
        <v>71</v>
      </c>
      <c r="I409" s="27" t="s">
        <v>49</v>
      </c>
      <c r="J409" s="27" t="s">
        <v>72</v>
      </c>
      <c r="K409" s="27" t="s">
        <v>73</v>
      </c>
      <c r="L409" s="31" t="s">
        <v>896</v>
      </c>
      <c r="M409" s="32">
        <v>0.37</v>
      </c>
      <c r="N409" s="27" t="s">
        <v>33</v>
      </c>
      <c r="O409" s="27" t="s">
        <v>34</v>
      </c>
      <c r="P409" s="27" t="s">
        <v>123</v>
      </c>
      <c r="Q409" s="27" t="s">
        <v>970</v>
      </c>
      <c r="R409" s="33">
        <v>33134</v>
      </c>
      <c r="S409" s="34">
        <v>42039</v>
      </c>
      <c r="T409" s="34">
        <v>42040</v>
      </c>
      <c r="U409" s="29">
        <v>-298.88600000000002</v>
      </c>
      <c r="V409" s="26">
        <v>8</v>
      </c>
      <c r="W409" s="29">
        <v>18.59</v>
      </c>
      <c r="X409" s="26">
        <v>90731</v>
      </c>
      <c r="Y409" s="35">
        <v>80.910000000000011</v>
      </c>
      <c r="Z409" s="1" t="s">
        <v>3011</v>
      </c>
      <c r="AA409" s="36">
        <v>0.8640000000000001</v>
      </c>
      <c r="AB409" s="54">
        <v>11.7117</v>
      </c>
      <c r="AC409" s="54">
        <v>0.85978750000000004</v>
      </c>
      <c r="AD409" s="36">
        <v>310.56200000000001</v>
      </c>
    </row>
    <row r="410" spans="1:30" s="37" customFormat="1" ht="15.75" customHeight="1" x14ac:dyDescent="0.2">
      <c r="A410" s="26">
        <v>689</v>
      </c>
      <c r="B410" s="27" t="s">
        <v>964</v>
      </c>
      <c r="C410" s="27" t="s">
        <v>116</v>
      </c>
      <c r="D410" s="28">
        <v>7.0000000000000007E-2</v>
      </c>
      <c r="E410" s="29">
        <v>1.7</v>
      </c>
      <c r="F410" s="29">
        <v>1.99</v>
      </c>
      <c r="G410" s="30" t="s">
        <v>39</v>
      </c>
      <c r="H410" s="27" t="s">
        <v>3095</v>
      </c>
      <c r="I410" s="27" t="s">
        <v>41</v>
      </c>
      <c r="J410" s="27" t="s">
        <v>42</v>
      </c>
      <c r="K410" s="27" t="s">
        <v>43</v>
      </c>
      <c r="L410" s="31" t="s">
        <v>284</v>
      </c>
      <c r="M410" s="32">
        <v>0.51</v>
      </c>
      <c r="N410" s="27" t="s">
        <v>33</v>
      </c>
      <c r="O410" s="27" t="s">
        <v>53</v>
      </c>
      <c r="P410" s="27" t="s">
        <v>80</v>
      </c>
      <c r="Q410" s="27" t="s">
        <v>965</v>
      </c>
      <c r="R410" s="33">
        <v>63376</v>
      </c>
      <c r="S410" s="34">
        <v>42039</v>
      </c>
      <c r="T410" s="34">
        <v>42040</v>
      </c>
      <c r="U410" s="29">
        <v>-51.42</v>
      </c>
      <c r="V410" s="26">
        <v>10</v>
      </c>
      <c r="W410" s="29">
        <v>17.420000000000002</v>
      </c>
      <c r="X410" s="26">
        <v>88502</v>
      </c>
      <c r="Y410" s="35">
        <v>14.41</v>
      </c>
      <c r="Z410" s="1" t="s">
        <v>3012</v>
      </c>
      <c r="AA410" s="36">
        <v>1.1900000000000002</v>
      </c>
      <c r="AB410" s="54">
        <v>8.5358000000000001</v>
      </c>
      <c r="AC410" s="54">
        <v>0.8884200000000001</v>
      </c>
      <c r="AD410" s="36">
        <v>65.66</v>
      </c>
    </row>
    <row r="411" spans="1:30" s="37" customFormat="1" ht="15.75" customHeight="1" x14ac:dyDescent="0.2">
      <c r="A411" s="26">
        <v>962</v>
      </c>
      <c r="B411" s="27" t="s">
        <v>960</v>
      </c>
      <c r="C411" s="27" t="s">
        <v>48</v>
      </c>
      <c r="D411" s="28">
        <v>0.03</v>
      </c>
      <c r="E411" s="29">
        <v>2.94</v>
      </c>
      <c r="F411" s="29">
        <v>0.96</v>
      </c>
      <c r="G411" s="30" t="s">
        <v>39</v>
      </c>
      <c r="H411" s="27" t="s">
        <v>71</v>
      </c>
      <c r="I411" s="27" t="s">
        <v>49</v>
      </c>
      <c r="J411" s="27" t="s">
        <v>50</v>
      </c>
      <c r="K411" s="27" t="s">
        <v>51</v>
      </c>
      <c r="L411" s="31" t="s">
        <v>829</v>
      </c>
      <c r="M411" s="32">
        <v>0.57999999999999996</v>
      </c>
      <c r="N411" s="27" t="s">
        <v>33</v>
      </c>
      <c r="O411" s="27" t="s">
        <v>53</v>
      </c>
      <c r="P411" s="27" t="s">
        <v>103</v>
      </c>
      <c r="Q411" s="27" t="s">
        <v>533</v>
      </c>
      <c r="R411" s="33">
        <v>60610</v>
      </c>
      <c r="S411" s="34">
        <v>42039</v>
      </c>
      <c r="T411" s="34">
        <v>42043</v>
      </c>
      <c r="U411" s="29">
        <v>-4.2</v>
      </c>
      <c r="V411" s="26">
        <v>2</v>
      </c>
      <c r="W411" s="29">
        <v>7.01</v>
      </c>
      <c r="X411" s="26">
        <v>17636</v>
      </c>
      <c r="Y411" s="35">
        <v>5.7</v>
      </c>
      <c r="Z411" s="1" t="s">
        <v>3012</v>
      </c>
      <c r="AA411" s="36">
        <v>0.1764</v>
      </c>
      <c r="AB411" s="54">
        <v>2.9442000000000004</v>
      </c>
      <c r="AC411" s="54">
        <v>2.0328999999999997</v>
      </c>
      <c r="AD411" s="36">
        <v>10.073599999999999</v>
      </c>
    </row>
    <row r="412" spans="1:30" s="37" customFormat="1" ht="15.75" customHeight="1" x14ac:dyDescent="0.2">
      <c r="A412" s="26">
        <v>960</v>
      </c>
      <c r="B412" s="27" t="s">
        <v>958</v>
      </c>
      <c r="C412" s="27" t="s">
        <v>48</v>
      </c>
      <c r="D412" s="28">
        <v>0.03</v>
      </c>
      <c r="E412" s="29">
        <v>2.94</v>
      </c>
      <c r="F412" s="29">
        <v>0.96</v>
      </c>
      <c r="G412" s="30" t="s">
        <v>39</v>
      </c>
      <c r="H412" s="27" t="s">
        <v>71</v>
      </c>
      <c r="I412" s="27" t="s">
        <v>49</v>
      </c>
      <c r="J412" s="27" t="s">
        <v>50</v>
      </c>
      <c r="K412" s="27" t="s">
        <v>51</v>
      </c>
      <c r="L412" s="31" t="s">
        <v>829</v>
      </c>
      <c r="M412" s="32">
        <v>0.57999999999999996</v>
      </c>
      <c r="N412" s="27" t="s">
        <v>33</v>
      </c>
      <c r="O412" s="27" t="s">
        <v>60</v>
      </c>
      <c r="P412" s="27" t="s">
        <v>90</v>
      </c>
      <c r="Q412" s="27" t="s">
        <v>959</v>
      </c>
      <c r="R412" s="33">
        <v>90278</v>
      </c>
      <c r="S412" s="34">
        <v>42039</v>
      </c>
      <c r="T412" s="34">
        <v>42043</v>
      </c>
      <c r="U412" s="29">
        <v>-4.2</v>
      </c>
      <c r="V412" s="26">
        <v>1</v>
      </c>
      <c r="W412" s="29">
        <v>3.51</v>
      </c>
      <c r="X412" s="26">
        <v>89401</v>
      </c>
      <c r="Y412" s="35">
        <v>7.63</v>
      </c>
      <c r="Z412" s="1" t="s">
        <v>3013</v>
      </c>
      <c r="AA412" s="36">
        <v>8.8200000000000001E-2</v>
      </c>
      <c r="AB412" s="54">
        <v>1.4742</v>
      </c>
      <c r="AC412" s="54">
        <v>2.0357999999999996</v>
      </c>
      <c r="AD412" s="36">
        <v>6.6617999999999995</v>
      </c>
    </row>
    <row r="413" spans="1:30" s="37" customFormat="1" ht="15.75" customHeight="1" x14ac:dyDescent="0.2">
      <c r="A413" s="26">
        <v>2094</v>
      </c>
      <c r="B413" s="27" t="s">
        <v>1001</v>
      </c>
      <c r="C413" s="27" t="s">
        <v>116</v>
      </c>
      <c r="D413" s="28">
        <v>0.08</v>
      </c>
      <c r="E413" s="29">
        <v>400.98</v>
      </c>
      <c r="F413" s="29">
        <v>42.52</v>
      </c>
      <c r="G413" s="30" t="s">
        <v>27</v>
      </c>
      <c r="H413" s="27" t="s">
        <v>94</v>
      </c>
      <c r="I413" s="27" t="s">
        <v>29</v>
      </c>
      <c r="J413" s="27" t="s">
        <v>30</v>
      </c>
      <c r="K413" s="27" t="s">
        <v>31</v>
      </c>
      <c r="L413" s="31" t="s">
        <v>1002</v>
      </c>
      <c r="M413" s="32">
        <v>0.71</v>
      </c>
      <c r="N413" s="27" t="s">
        <v>33</v>
      </c>
      <c r="O413" s="27" t="s">
        <v>60</v>
      </c>
      <c r="P413" s="27" t="s">
        <v>90</v>
      </c>
      <c r="Q413" s="27" t="s">
        <v>1003</v>
      </c>
      <c r="R413" s="33">
        <v>95928</v>
      </c>
      <c r="S413" s="34">
        <v>42040</v>
      </c>
      <c r="T413" s="34">
        <v>42041</v>
      </c>
      <c r="U413" s="29">
        <v>3031.9724000000001</v>
      </c>
      <c r="V413" s="26">
        <v>20</v>
      </c>
      <c r="W413" s="29">
        <v>7840.04</v>
      </c>
      <c r="X413" s="26">
        <v>86629</v>
      </c>
      <c r="Y413" s="35">
        <v>279.75</v>
      </c>
      <c r="Z413" s="1" t="s">
        <v>3013</v>
      </c>
      <c r="AA413" s="36">
        <v>641.56799999999998</v>
      </c>
      <c r="AB413" s="54">
        <v>2273.6116000000002</v>
      </c>
      <c r="AC413" s="54">
        <v>278.32141999999999</v>
      </c>
      <c r="AD413" s="36">
        <v>4123.9795999999997</v>
      </c>
    </row>
    <row r="414" spans="1:30" s="37" customFormat="1" ht="15.75" customHeight="1" x14ac:dyDescent="0.2">
      <c r="A414" s="26">
        <v>2803</v>
      </c>
      <c r="B414" s="27" t="s">
        <v>1008</v>
      </c>
      <c r="C414" s="27" t="s">
        <v>116</v>
      </c>
      <c r="D414" s="28">
        <v>7.0000000000000007E-2</v>
      </c>
      <c r="E414" s="29">
        <v>500.98</v>
      </c>
      <c r="F414" s="29">
        <v>28.14</v>
      </c>
      <c r="G414" s="30" t="s">
        <v>27</v>
      </c>
      <c r="H414" s="27" t="s">
        <v>3095</v>
      </c>
      <c r="I414" s="27" t="s">
        <v>41</v>
      </c>
      <c r="J414" s="27" t="s">
        <v>57</v>
      </c>
      <c r="K414" s="27" t="s">
        <v>58</v>
      </c>
      <c r="L414" s="31" t="s">
        <v>1009</v>
      </c>
      <c r="M414" s="32">
        <v>0.38</v>
      </c>
      <c r="N414" s="27" t="s">
        <v>33</v>
      </c>
      <c r="O414" s="27" t="s">
        <v>60</v>
      </c>
      <c r="P414" s="27" t="s">
        <v>90</v>
      </c>
      <c r="Q414" s="27" t="s">
        <v>1010</v>
      </c>
      <c r="R414" s="33">
        <v>90022</v>
      </c>
      <c r="S414" s="34">
        <v>42040</v>
      </c>
      <c r="T414" s="34">
        <v>42041</v>
      </c>
      <c r="U414" s="29">
        <v>2699.9838</v>
      </c>
      <c r="V414" s="26">
        <v>10</v>
      </c>
      <c r="W414" s="29">
        <v>3913.02</v>
      </c>
      <c r="X414" s="26">
        <v>86227</v>
      </c>
      <c r="Y414" s="35">
        <v>7.28</v>
      </c>
      <c r="Z414" s="1" t="s">
        <v>3013</v>
      </c>
      <c r="AA414" s="36">
        <v>350.68600000000004</v>
      </c>
      <c r="AB414" s="54">
        <v>2426.0724</v>
      </c>
      <c r="AC414" s="54">
        <v>148.69476</v>
      </c>
      <c r="AD414" s="36">
        <v>834.21019999999999</v>
      </c>
    </row>
    <row r="415" spans="1:30" s="37" customFormat="1" ht="15.75" customHeight="1" x14ac:dyDescent="0.2">
      <c r="A415" s="26">
        <v>1427</v>
      </c>
      <c r="B415" s="27" t="s">
        <v>993</v>
      </c>
      <c r="C415" s="27" t="s">
        <v>48</v>
      </c>
      <c r="D415" s="28">
        <v>0.09</v>
      </c>
      <c r="E415" s="29">
        <v>125.99</v>
      </c>
      <c r="F415" s="29">
        <v>2.5</v>
      </c>
      <c r="G415" s="30" t="s">
        <v>39</v>
      </c>
      <c r="H415" s="27" t="s">
        <v>71</v>
      </c>
      <c r="I415" s="27" t="s">
        <v>41</v>
      </c>
      <c r="J415" s="27" t="s">
        <v>135</v>
      </c>
      <c r="K415" s="27" t="s">
        <v>73</v>
      </c>
      <c r="L415" s="31" t="s">
        <v>948</v>
      </c>
      <c r="M415" s="32">
        <v>0.6</v>
      </c>
      <c r="N415" s="27" t="s">
        <v>33</v>
      </c>
      <c r="O415" s="27" t="s">
        <v>53</v>
      </c>
      <c r="P415" s="27" t="s">
        <v>289</v>
      </c>
      <c r="Q415" s="27" t="s">
        <v>994</v>
      </c>
      <c r="R415" s="33">
        <v>48708</v>
      </c>
      <c r="S415" s="34">
        <v>42040</v>
      </c>
      <c r="T415" s="34">
        <v>42044</v>
      </c>
      <c r="U415" s="29">
        <v>1258.7877000000001</v>
      </c>
      <c r="V415" s="26">
        <v>18</v>
      </c>
      <c r="W415" s="29">
        <v>1824.33</v>
      </c>
      <c r="X415" s="26">
        <v>90905</v>
      </c>
      <c r="Y415" s="35">
        <v>2.81</v>
      </c>
      <c r="Z415" s="1" t="s">
        <v>3012</v>
      </c>
      <c r="AA415" s="36">
        <v>204.10379999999998</v>
      </c>
      <c r="AB415" s="54">
        <v>729.73199999999997</v>
      </c>
      <c r="AC415" s="54">
        <v>60.810999999999993</v>
      </c>
      <c r="AD415" s="36">
        <v>358.93849999999975</v>
      </c>
    </row>
    <row r="416" spans="1:30" s="37" customFormat="1" ht="15.75" customHeight="1" x14ac:dyDescent="0.2">
      <c r="A416" s="26">
        <v>234</v>
      </c>
      <c r="B416" s="27" t="s">
        <v>985</v>
      </c>
      <c r="C416" s="27" t="s">
        <v>26</v>
      </c>
      <c r="D416" s="28">
        <v>0.06</v>
      </c>
      <c r="E416" s="29">
        <v>279.81</v>
      </c>
      <c r="F416" s="29">
        <v>23.19</v>
      </c>
      <c r="G416" s="30" t="s">
        <v>27</v>
      </c>
      <c r="H416" s="27" t="s">
        <v>3095</v>
      </c>
      <c r="I416" s="27" t="s">
        <v>49</v>
      </c>
      <c r="J416" s="27" t="s">
        <v>95</v>
      </c>
      <c r="K416" s="27" t="s">
        <v>58</v>
      </c>
      <c r="L416" s="31" t="s">
        <v>986</v>
      </c>
      <c r="M416" s="32">
        <v>0.59</v>
      </c>
      <c r="N416" s="27" t="s">
        <v>33</v>
      </c>
      <c r="O416" s="27" t="s">
        <v>53</v>
      </c>
      <c r="P416" s="27" t="s">
        <v>213</v>
      </c>
      <c r="Q416" s="27" t="s">
        <v>737</v>
      </c>
      <c r="R416" s="33">
        <v>50208</v>
      </c>
      <c r="S416" s="34">
        <v>42040</v>
      </c>
      <c r="T416" s="34">
        <v>42041</v>
      </c>
      <c r="U416" s="29">
        <v>1103.9724000000001</v>
      </c>
      <c r="V416" s="26">
        <v>6</v>
      </c>
      <c r="W416" s="29">
        <v>1599.96</v>
      </c>
      <c r="X416" s="26">
        <v>90236</v>
      </c>
      <c r="Y416" s="35">
        <v>195.89000000000001</v>
      </c>
      <c r="Z416" s="1" t="s">
        <v>3012</v>
      </c>
      <c r="AA416" s="36">
        <v>100.73159999999999</v>
      </c>
      <c r="AB416" s="54">
        <v>655.98360000000002</v>
      </c>
      <c r="AC416" s="54">
        <v>157.32939999999999</v>
      </c>
      <c r="AD416" s="36">
        <v>372.0659999999998</v>
      </c>
    </row>
    <row r="417" spans="1:30" s="37" customFormat="1" ht="15.75" customHeight="1" x14ac:dyDescent="0.2">
      <c r="A417" s="26">
        <v>1821</v>
      </c>
      <c r="B417" s="27" t="s">
        <v>998</v>
      </c>
      <c r="C417" s="27" t="s">
        <v>48</v>
      </c>
      <c r="D417" s="28">
        <v>0.01</v>
      </c>
      <c r="E417" s="29">
        <v>10.48</v>
      </c>
      <c r="F417" s="29">
        <v>2.89</v>
      </c>
      <c r="G417" s="30" t="s">
        <v>39</v>
      </c>
      <c r="H417" s="27" t="s">
        <v>40</v>
      </c>
      <c r="I417" s="27" t="s">
        <v>49</v>
      </c>
      <c r="J417" s="27" t="s">
        <v>50</v>
      </c>
      <c r="K417" s="27" t="s">
        <v>43</v>
      </c>
      <c r="L417" s="31" t="s">
        <v>996</v>
      </c>
      <c r="M417" s="32">
        <v>0.6</v>
      </c>
      <c r="N417" s="27" t="s">
        <v>33</v>
      </c>
      <c r="O417" s="27" t="s">
        <v>111</v>
      </c>
      <c r="P417" s="27" t="s">
        <v>112</v>
      </c>
      <c r="Q417" s="27" t="s">
        <v>113</v>
      </c>
      <c r="R417" s="33">
        <v>10177</v>
      </c>
      <c r="S417" s="34">
        <v>42040</v>
      </c>
      <c r="T417" s="34">
        <v>42042</v>
      </c>
      <c r="U417" s="29">
        <v>40.92</v>
      </c>
      <c r="V417" s="26">
        <v>76</v>
      </c>
      <c r="W417" s="29">
        <v>809.51</v>
      </c>
      <c r="X417" s="26">
        <v>34435</v>
      </c>
      <c r="Y417" s="35">
        <v>125.89999999999999</v>
      </c>
      <c r="Z417" s="1" t="s">
        <v>3014</v>
      </c>
      <c r="AA417" s="36">
        <v>7.9648000000000003</v>
      </c>
      <c r="AB417" s="54">
        <v>323.80400000000003</v>
      </c>
      <c r="AC417" s="54">
        <v>6.3908684210526312</v>
      </c>
      <c r="AD417" s="36">
        <v>757.73519999999996</v>
      </c>
    </row>
    <row r="418" spans="1:30" s="37" customFormat="1" ht="15.75" customHeight="1" x14ac:dyDescent="0.2">
      <c r="A418" s="26">
        <v>980</v>
      </c>
      <c r="B418" s="27" t="s">
        <v>999</v>
      </c>
      <c r="C418" s="27" t="s">
        <v>116</v>
      </c>
      <c r="D418" s="28">
        <v>0</v>
      </c>
      <c r="E418" s="29">
        <v>37.76</v>
      </c>
      <c r="F418" s="29">
        <v>12.9</v>
      </c>
      <c r="G418" s="30" t="s">
        <v>39</v>
      </c>
      <c r="H418" s="27" t="s">
        <v>94</v>
      </c>
      <c r="I418" s="27" t="s">
        <v>49</v>
      </c>
      <c r="J418" s="27" t="s">
        <v>78</v>
      </c>
      <c r="K418" s="27" t="s">
        <v>73</v>
      </c>
      <c r="L418" s="31" t="s">
        <v>1000</v>
      </c>
      <c r="M418" s="32">
        <v>0.56999999999999995</v>
      </c>
      <c r="N418" s="27" t="s">
        <v>33</v>
      </c>
      <c r="O418" s="27" t="s">
        <v>111</v>
      </c>
      <c r="P418" s="27" t="s">
        <v>633</v>
      </c>
      <c r="Q418" s="27" t="s">
        <v>634</v>
      </c>
      <c r="R418" s="33">
        <v>5403</v>
      </c>
      <c r="S418" s="34">
        <v>42040</v>
      </c>
      <c r="T418" s="34">
        <v>42041</v>
      </c>
      <c r="U418" s="29">
        <v>93.846800000000002</v>
      </c>
      <c r="V418" s="26">
        <v>12</v>
      </c>
      <c r="W418" s="29">
        <v>477.2</v>
      </c>
      <c r="X418" s="26">
        <v>87258</v>
      </c>
      <c r="Y418" s="35">
        <v>10.47</v>
      </c>
      <c r="Z418" s="1" t="s">
        <v>3014</v>
      </c>
      <c r="AA418" s="36">
        <v>0</v>
      </c>
      <c r="AB418" s="54">
        <v>205.19600000000003</v>
      </c>
      <c r="AC418" s="54">
        <v>22.666999999999998</v>
      </c>
      <c r="AD418" s="36">
        <v>370.45319999999998</v>
      </c>
    </row>
    <row r="419" spans="1:30" s="37" customFormat="1" ht="15.75" customHeight="1" x14ac:dyDescent="0.2">
      <c r="A419" s="26">
        <v>672</v>
      </c>
      <c r="B419" s="27" t="s">
        <v>990</v>
      </c>
      <c r="C419" s="27" t="s">
        <v>48</v>
      </c>
      <c r="D419" s="28">
        <v>0.1</v>
      </c>
      <c r="E419" s="29">
        <v>195.99</v>
      </c>
      <c r="F419" s="29">
        <v>3.99</v>
      </c>
      <c r="G419" s="30" t="s">
        <v>39</v>
      </c>
      <c r="H419" s="27" t="s">
        <v>3095</v>
      </c>
      <c r="I419" s="27" t="s">
        <v>41</v>
      </c>
      <c r="J419" s="27" t="s">
        <v>135</v>
      </c>
      <c r="K419" s="27" t="s">
        <v>73</v>
      </c>
      <c r="L419" s="31" t="s">
        <v>992</v>
      </c>
      <c r="M419" s="32">
        <v>0.57999999999999996</v>
      </c>
      <c r="N419" s="27" t="s">
        <v>33</v>
      </c>
      <c r="O419" s="27" t="s">
        <v>53</v>
      </c>
      <c r="P419" s="27" t="s">
        <v>213</v>
      </c>
      <c r="Q419" s="27" t="s">
        <v>737</v>
      </c>
      <c r="R419" s="33">
        <v>50208</v>
      </c>
      <c r="S419" s="34">
        <v>42040</v>
      </c>
      <c r="T419" s="34">
        <v>42047</v>
      </c>
      <c r="U419" s="29">
        <v>-655.42399999999998</v>
      </c>
      <c r="V419" s="26">
        <v>2</v>
      </c>
      <c r="W419" s="29">
        <v>308.86</v>
      </c>
      <c r="X419" s="26">
        <v>88173</v>
      </c>
      <c r="Y419" s="35">
        <v>10.47</v>
      </c>
      <c r="Z419" s="1" t="s">
        <v>3012</v>
      </c>
      <c r="AA419" s="36">
        <v>39.198000000000008</v>
      </c>
      <c r="AB419" s="54">
        <v>129.72120000000001</v>
      </c>
      <c r="AC419" s="54">
        <v>89.569400000000002</v>
      </c>
      <c r="AD419" s="36">
        <v>921.096</v>
      </c>
    </row>
    <row r="420" spans="1:30" s="37" customFormat="1" ht="15.75" customHeight="1" x14ac:dyDescent="0.2">
      <c r="A420" s="26">
        <v>1117</v>
      </c>
      <c r="B420" s="27" t="s">
        <v>1012</v>
      </c>
      <c r="C420" s="27" t="s">
        <v>3094</v>
      </c>
      <c r="D420" s="28">
        <v>0.06</v>
      </c>
      <c r="E420" s="29">
        <v>64.650000000000006</v>
      </c>
      <c r="F420" s="29">
        <v>35</v>
      </c>
      <c r="G420" s="30" t="s">
        <v>39</v>
      </c>
      <c r="H420" s="27" t="s">
        <v>71</v>
      </c>
      <c r="I420" s="27" t="s">
        <v>49</v>
      </c>
      <c r="J420" s="27" t="s">
        <v>78</v>
      </c>
      <c r="K420" s="27" t="s">
        <v>65</v>
      </c>
      <c r="L420" s="31" t="s">
        <v>1013</v>
      </c>
      <c r="M420" s="32">
        <v>0.8</v>
      </c>
      <c r="N420" s="27" t="s">
        <v>33</v>
      </c>
      <c r="O420" s="27" t="s">
        <v>60</v>
      </c>
      <c r="P420" s="27" t="s">
        <v>588</v>
      </c>
      <c r="Q420" s="27" t="s">
        <v>1014</v>
      </c>
      <c r="R420" s="33">
        <v>85705</v>
      </c>
      <c r="S420" s="34">
        <v>42040</v>
      </c>
      <c r="T420" s="34">
        <v>42041</v>
      </c>
      <c r="U420" s="29">
        <v>-139.28720000000001</v>
      </c>
      <c r="V420" s="26">
        <v>4</v>
      </c>
      <c r="W420" s="29">
        <v>277.60000000000002</v>
      </c>
      <c r="X420" s="26">
        <v>86768</v>
      </c>
      <c r="Y420" s="35">
        <v>37.76</v>
      </c>
      <c r="Z420" s="1" t="s">
        <v>3013</v>
      </c>
      <c r="AA420" s="36">
        <v>15.516</v>
      </c>
      <c r="AB420" s="54">
        <v>55.519999999999989</v>
      </c>
      <c r="AC420" s="54">
        <v>55.52000000000001</v>
      </c>
      <c r="AD420" s="36">
        <v>366.37120000000004</v>
      </c>
    </row>
    <row r="421" spans="1:30" s="37" customFormat="1" ht="15.75" customHeight="1" x14ac:dyDescent="0.2">
      <c r="A421" s="26">
        <v>1816</v>
      </c>
      <c r="B421" s="27" t="s">
        <v>995</v>
      </c>
      <c r="C421" s="27" t="s">
        <v>48</v>
      </c>
      <c r="D421" s="28">
        <v>0.01</v>
      </c>
      <c r="E421" s="29">
        <v>10.48</v>
      </c>
      <c r="F421" s="29">
        <v>2.89</v>
      </c>
      <c r="G421" s="30" t="s">
        <v>39</v>
      </c>
      <c r="H421" s="27" t="s">
        <v>40</v>
      </c>
      <c r="I421" s="27" t="s">
        <v>49</v>
      </c>
      <c r="J421" s="27" t="s">
        <v>50</v>
      </c>
      <c r="K421" s="27" t="s">
        <v>43</v>
      </c>
      <c r="L421" s="31" t="s">
        <v>996</v>
      </c>
      <c r="M421" s="32">
        <v>0.6</v>
      </c>
      <c r="N421" s="27" t="s">
        <v>33</v>
      </c>
      <c r="O421" s="27" t="s">
        <v>53</v>
      </c>
      <c r="P421" s="27" t="s">
        <v>289</v>
      </c>
      <c r="Q421" s="27" t="s">
        <v>997</v>
      </c>
      <c r="R421" s="33">
        <v>48187</v>
      </c>
      <c r="S421" s="34">
        <v>42040</v>
      </c>
      <c r="T421" s="34">
        <v>42042</v>
      </c>
      <c r="U421" s="29">
        <v>60.561599999999999</v>
      </c>
      <c r="V421" s="26">
        <v>19</v>
      </c>
      <c r="W421" s="29">
        <v>202.38</v>
      </c>
      <c r="X421" s="26">
        <v>85990</v>
      </c>
      <c r="Y421" s="35">
        <v>400.90000000000003</v>
      </c>
      <c r="Z421" s="1" t="s">
        <v>3012</v>
      </c>
      <c r="AA421" s="36">
        <v>1.9912000000000001</v>
      </c>
      <c r="AB421" s="54">
        <v>80.951999999999998</v>
      </c>
      <c r="AC421" s="54">
        <v>6.3909473684210525</v>
      </c>
      <c r="AD421" s="36">
        <v>136.93719999999999</v>
      </c>
    </row>
    <row r="422" spans="1:30" s="37" customFormat="1" ht="15.75" customHeight="1" x14ac:dyDescent="0.2">
      <c r="A422" s="26">
        <v>2803</v>
      </c>
      <c r="B422" s="27" t="s">
        <v>1008</v>
      </c>
      <c r="C422" s="27" t="s">
        <v>116</v>
      </c>
      <c r="D422" s="28">
        <v>0.1</v>
      </c>
      <c r="E422" s="29">
        <v>178.47</v>
      </c>
      <c r="F422" s="29">
        <v>19.989999999999998</v>
      </c>
      <c r="G422" s="30" t="s">
        <v>39</v>
      </c>
      <c r="H422" s="27" t="s">
        <v>3095</v>
      </c>
      <c r="I422" s="27" t="s">
        <v>49</v>
      </c>
      <c r="J422" s="27" t="s">
        <v>78</v>
      </c>
      <c r="K422" s="27" t="s">
        <v>73</v>
      </c>
      <c r="L422" s="31" t="s">
        <v>1011</v>
      </c>
      <c r="M422" s="32">
        <v>0.55000000000000004</v>
      </c>
      <c r="N422" s="27" t="s">
        <v>33</v>
      </c>
      <c r="O422" s="27" t="s">
        <v>60</v>
      </c>
      <c r="P422" s="27" t="s">
        <v>90</v>
      </c>
      <c r="Q422" s="27" t="s">
        <v>1010</v>
      </c>
      <c r="R422" s="33">
        <v>90022</v>
      </c>
      <c r="S422" s="34">
        <v>42040</v>
      </c>
      <c r="T422" s="34">
        <v>42042</v>
      </c>
      <c r="U422" s="29">
        <v>-170.98</v>
      </c>
      <c r="V422" s="26">
        <v>1</v>
      </c>
      <c r="W422" s="29">
        <v>180.14</v>
      </c>
      <c r="X422" s="26">
        <v>86227</v>
      </c>
      <c r="Y422" s="35">
        <v>5.94</v>
      </c>
      <c r="Z422" s="1" t="s">
        <v>3013</v>
      </c>
      <c r="AA422" s="36">
        <v>17.847000000000001</v>
      </c>
      <c r="AB422" s="54">
        <v>81.062999999999988</v>
      </c>
      <c r="AC422" s="54">
        <v>99.076999999999998</v>
      </c>
      <c r="AD422" s="36">
        <v>313.28299999999996</v>
      </c>
    </row>
    <row r="423" spans="1:30" s="37" customFormat="1" ht="15.75" customHeight="1" x14ac:dyDescent="0.2">
      <c r="A423" s="26">
        <v>2747</v>
      </c>
      <c r="B423" s="27" t="s">
        <v>1006</v>
      </c>
      <c r="C423" s="27" t="s">
        <v>116</v>
      </c>
      <c r="D423" s="28">
        <v>0.08</v>
      </c>
      <c r="E423" s="29">
        <v>9.98</v>
      </c>
      <c r="F423" s="29">
        <v>12.52</v>
      </c>
      <c r="G423" s="30" t="s">
        <v>39</v>
      </c>
      <c r="H423" s="27" t="s">
        <v>94</v>
      </c>
      <c r="I423" s="27" t="s">
        <v>29</v>
      </c>
      <c r="J423" s="27" t="s">
        <v>126</v>
      </c>
      <c r="K423" s="27" t="s">
        <v>73</v>
      </c>
      <c r="L423" s="31" t="s">
        <v>1007</v>
      </c>
      <c r="M423" s="32">
        <v>0.56999999999999995</v>
      </c>
      <c r="N423" s="27" t="s">
        <v>33</v>
      </c>
      <c r="O423" s="27" t="s">
        <v>111</v>
      </c>
      <c r="P423" s="27" t="s">
        <v>112</v>
      </c>
      <c r="Q423" s="27" t="s">
        <v>113</v>
      </c>
      <c r="R423" s="33">
        <v>10115</v>
      </c>
      <c r="S423" s="34">
        <v>42040</v>
      </c>
      <c r="T423" s="34">
        <v>42042</v>
      </c>
      <c r="U423" s="29">
        <v>-102.93</v>
      </c>
      <c r="V423" s="26">
        <v>15</v>
      </c>
      <c r="W423" s="29">
        <v>150.24</v>
      </c>
      <c r="X423" s="26">
        <v>35200</v>
      </c>
      <c r="Y423" s="35">
        <v>9.9</v>
      </c>
      <c r="Z423" s="1" t="s">
        <v>3014</v>
      </c>
      <c r="AA423" s="36">
        <v>11.975999999999999</v>
      </c>
      <c r="AB423" s="54">
        <v>64.603200000000015</v>
      </c>
      <c r="AC423" s="54">
        <v>5.7091199999999995</v>
      </c>
      <c r="AD423" s="36">
        <v>228.67400000000004</v>
      </c>
    </row>
    <row r="424" spans="1:30" s="37" customFormat="1" ht="15.75" customHeight="1" x14ac:dyDescent="0.2">
      <c r="A424" s="26">
        <v>2498</v>
      </c>
      <c r="B424" s="27" t="s">
        <v>929</v>
      </c>
      <c r="C424" s="27" t="s">
        <v>3094</v>
      </c>
      <c r="D424" s="28">
        <v>0.08</v>
      </c>
      <c r="E424" s="29">
        <v>1.68</v>
      </c>
      <c r="F424" s="29">
        <v>1.57</v>
      </c>
      <c r="G424" s="30" t="s">
        <v>39</v>
      </c>
      <c r="H424" s="27" t="s">
        <v>3095</v>
      </c>
      <c r="I424" s="27" t="s">
        <v>49</v>
      </c>
      <c r="J424" s="27" t="s">
        <v>50</v>
      </c>
      <c r="K424" s="27" t="s">
        <v>51</v>
      </c>
      <c r="L424" s="31" t="s">
        <v>574</v>
      </c>
      <c r="M424" s="32">
        <v>0.59</v>
      </c>
      <c r="N424" s="27" t="s">
        <v>33</v>
      </c>
      <c r="O424" s="27" t="s">
        <v>60</v>
      </c>
      <c r="P424" s="27" t="s">
        <v>90</v>
      </c>
      <c r="Q424" s="27" t="s">
        <v>890</v>
      </c>
      <c r="R424" s="33">
        <v>92024</v>
      </c>
      <c r="S424" s="34">
        <v>42040</v>
      </c>
      <c r="T424" s="34">
        <v>42041</v>
      </c>
      <c r="U424" s="29">
        <v>-46.25</v>
      </c>
      <c r="V424" s="26">
        <v>88</v>
      </c>
      <c r="W424" s="29">
        <v>148.36000000000001</v>
      </c>
      <c r="X424" s="26">
        <v>20007</v>
      </c>
      <c r="Y424" s="35">
        <v>500.91</v>
      </c>
      <c r="Z424" s="1" t="s">
        <v>3013</v>
      </c>
      <c r="AA424" s="36">
        <v>11.827199999999999</v>
      </c>
      <c r="AB424" s="54">
        <v>60.827600000000011</v>
      </c>
      <c r="AC424" s="54">
        <v>0.99468636363636365</v>
      </c>
      <c r="AD424" s="36">
        <v>181.21280000000002</v>
      </c>
    </row>
    <row r="425" spans="1:30" s="37" customFormat="1" ht="15.75" customHeight="1" x14ac:dyDescent="0.2">
      <c r="A425" s="26">
        <v>2282</v>
      </c>
      <c r="B425" s="27" t="s">
        <v>1004</v>
      </c>
      <c r="C425" s="27" t="s">
        <v>116</v>
      </c>
      <c r="D425" s="28">
        <v>0.04</v>
      </c>
      <c r="E425" s="29">
        <v>5.98</v>
      </c>
      <c r="F425" s="29">
        <v>5.79</v>
      </c>
      <c r="G425" s="30" t="s">
        <v>39</v>
      </c>
      <c r="H425" s="27" t="s">
        <v>71</v>
      </c>
      <c r="I425" s="27" t="s">
        <v>49</v>
      </c>
      <c r="J425" s="27" t="s">
        <v>88</v>
      </c>
      <c r="K425" s="27" t="s">
        <v>73</v>
      </c>
      <c r="L425" s="31" t="s">
        <v>471</v>
      </c>
      <c r="M425" s="32">
        <v>0.36</v>
      </c>
      <c r="N425" s="27" t="s">
        <v>33</v>
      </c>
      <c r="O425" s="27" t="s">
        <v>53</v>
      </c>
      <c r="P425" s="27" t="s">
        <v>357</v>
      </c>
      <c r="Q425" s="27" t="s">
        <v>1005</v>
      </c>
      <c r="R425" s="33">
        <v>53713</v>
      </c>
      <c r="S425" s="34">
        <v>42040</v>
      </c>
      <c r="T425" s="34">
        <v>42042</v>
      </c>
      <c r="U425" s="29">
        <v>-36.030799999999999</v>
      </c>
      <c r="V425" s="26">
        <v>14</v>
      </c>
      <c r="W425" s="29">
        <v>86.12</v>
      </c>
      <c r="X425" s="26">
        <v>85950</v>
      </c>
      <c r="Y425" s="35">
        <v>178.37</v>
      </c>
      <c r="Z425" s="1" t="s">
        <v>3012</v>
      </c>
      <c r="AA425" s="36">
        <v>3.3488000000000002</v>
      </c>
      <c r="AB425" s="54">
        <v>55.116800000000005</v>
      </c>
      <c r="AC425" s="54">
        <v>2.2145142857142859</v>
      </c>
      <c r="AD425" s="36">
        <v>113.012</v>
      </c>
    </row>
    <row r="426" spans="1:30" s="37" customFormat="1" ht="15.75" customHeight="1" x14ac:dyDescent="0.2">
      <c r="A426" s="26">
        <v>2359</v>
      </c>
      <c r="B426" s="27" t="s">
        <v>987</v>
      </c>
      <c r="C426" s="27" t="s">
        <v>26</v>
      </c>
      <c r="D426" s="28">
        <v>0</v>
      </c>
      <c r="E426" s="29">
        <v>7.28</v>
      </c>
      <c r="F426" s="29">
        <v>1.77</v>
      </c>
      <c r="G426" s="30" t="s">
        <v>39</v>
      </c>
      <c r="H426" s="27" t="s">
        <v>71</v>
      </c>
      <c r="I426" s="27" t="s">
        <v>49</v>
      </c>
      <c r="J426" s="27" t="s">
        <v>88</v>
      </c>
      <c r="K426" s="27" t="s">
        <v>51</v>
      </c>
      <c r="L426" s="31" t="s">
        <v>988</v>
      </c>
      <c r="M426" s="32">
        <v>0.37</v>
      </c>
      <c r="N426" s="27" t="s">
        <v>33</v>
      </c>
      <c r="O426" s="27" t="s">
        <v>34</v>
      </c>
      <c r="P426" s="27" t="s">
        <v>123</v>
      </c>
      <c r="Q426" s="27" t="s">
        <v>989</v>
      </c>
      <c r="R426" s="33">
        <v>33917</v>
      </c>
      <c r="S426" s="34">
        <v>42040</v>
      </c>
      <c r="T426" s="34">
        <v>42040</v>
      </c>
      <c r="U426" s="29">
        <v>167.16</v>
      </c>
      <c r="V426" s="26">
        <v>7</v>
      </c>
      <c r="W426" s="29">
        <v>53.42</v>
      </c>
      <c r="X426" s="26">
        <v>88265</v>
      </c>
      <c r="Y426" s="35">
        <v>64.59</v>
      </c>
      <c r="Z426" s="1" t="s">
        <v>3011</v>
      </c>
      <c r="AA426" s="36">
        <v>0</v>
      </c>
      <c r="AB426" s="54">
        <v>33.654600000000002</v>
      </c>
      <c r="AC426" s="54">
        <v>2.8236285714285714</v>
      </c>
      <c r="AD426" s="36">
        <v>-115.51</v>
      </c>
    </row>
    <row r="427" spans="1:30" s="37" customFormat="1" ht="15.75" customHeight="1" x14ac:dyDescent="0.2">
      <c r="A427" s="26">
        <v>672</v>
      </c>
      <c r="B427" s="27" t="s">
        <v>990</v>
      </c>
      <c r="C427" s="27" t="s">
        <v>48</v>
      </c>
      <c r="D427" s="28">
        <v>7.0000000000000007E-2</v>
      </c>
      <c r="E427" s="29">
        <v>2.88</v>
      </c>
      <c r="F427" s="29">
        <v>1.01</v>
      </c>
      <c r="G427" s="30" t="s">
        <v>39</v>
      </c>
      <c r="H427" s="27" t="s">
        <v>3095</v>
      </c>
      <c r="I427" s="27" t="s">
        <v>49</v>
      </c>
      <c r="J427" s="27" t="s">
        <v>50</v>
      </c>
      <c r="K427" s="27" t="s">
        <v>51</v>
      </c>
      <c r="L427" s="31" t="s">
        <v>991</v>
      </c>
      <c r="M427" s="32">
        <v>0.55000000000000004</v>
      </c>
      <c r="N427" s="27" t="s">
        <v>33</v>
      </c>
      <c r="O427" s="27" t="s">
        <v>53</v>
      </c>
      <c r="P427" s="27" t="s">
        <v>213</v>
      </c>
      <c r="Q427" s="27" t="s">
        <v>737</v>
      </c>
      <c r="R427" s="33">
        <v>50208</v>
      </c>
      <c r="S427" s="34">
        <v>42040</v>
      </c>
      <c r="T427" s="34">
        <v>42044</v>
      </c>
      <c r="U427" s="29">
        <v>9.59</v>
      </c>
      <c r="V427" s="26">
        <v>12</v>
      </c>
      <c r="W427" s="29">
        <v>34.97</v>
      </c>
      <c r="X427" s="26">
        <v>88173</v>
      </c>
      <c r="Y427" s="35">
        <v>1.5999999999999999</v>
      </c>
      <c r="Z427" s="1" t="s">
        <v>3012</v>
      </c>
      <c r="AA427" s="36">
        <v>2.4192</v>
      </c>
      <c r="AB427" s="54">
        <v>15.736499999999998</v>
      </c>
      <c r="AC427" s="54">
        <v>1.6027916666666668</v>
      </c>
      <c r="AD427" s="36">
        <v>21.950800000000001</v>
      </c>
    </row>
    <row r="428" spans="1:30" s="37" customFormat="1" ht="15.75" customHeight="1" x14ac:dyDescent="0.2">
      <c r="A428" s="26">
        <v>2270</v>
      </c>
      <c r="B428" s="27" t="s">
        <v>1038</v>
      </c>
      <c r="C428" s="27" t="s">
        <v>48</v>
      </c>
      <c r="D428" s="28">
        <v>0.08</v>
      </c>
      <c r="E428" s="29">
        <v>205.99</v>
      </c>
      <c r="F428" s="29">
        <v>2.5</v>
      </c>
      <c r="G428" s="30" t="s">
        <v>39</v>
      </c>
      <c r="H428" s="27" t="s">
        <v>3095</v>
      </c>
      <c r="I428" s="27" t="s">
        <v>41</v>
      </c>
      <c r="J428" s="27" t="s">
        <v>135</v>
      </c>
      <c r="K428" s="27" t="s">
        <v>73</v>
      </c>
      <c r="L428" s="31" t="s">
        <v>838</v>
      </c>
      <c r="M428" s="32">
        <v>0.59</v>
      </c>
      <c r="N428" s="27" t="s">
        <v>33</v>
      </c>
      <c r="O428" s="27" t="s">
        <v>34</v>
      </c>
      <c r="P428" s="27" t="s">
        <v>271</v>
      </c>
      <c r="Q428" s="27" t="s">
        <v>1040</v>
      </c>
      <c r="R428" s="33">
        <v>29662</v>
      </c>
      <c r="S428" s="34">
        <v>42041</v>
      </c>
      <c r="T428" s="34">
        <v>42046</v>
      </c>
      <c r="U428" s="29">
        <v>-156.77199999999999</v>
      </c>
      <c r="V428" s="26">
        <v>17</v>
      </c>
      <c r="W428" s="29">
        <v>2875.35</v>
      </c>
      <c r="X428" s="26">
        <v>89572</v>
      </c>
      <c r="Y428" s="35">
        <v>999.9</v>
      </c>
      <c r="Z428" s="1" t="s">
        <v>3011</v>
      </c>
      <c r="AA428" s="36">
        <v>280.14640000000003</v>
      </c>
      <c r="AB428" s="54">
        <v>1178.8935000000001</v>
      </c>
      <c r="AC428" s="54">
        <v>99.7915588235294</v>
      </c>
      <c r="AD428" s="36">
        <v>2749.4755999999998</v>
      </c>
    </row>
    <row r="429" spans="1:30" s="37" customFormat="1" ht="15.75" customHeight="1" x14ac:dyDescent="0.2">
      <c r="A429" s="26">
        <v>389</v>
      </c>
      <c r="B429" s="27" t="s">
        <v>1033</v>
      </c>
      <c r="C429" s="27" t="s">
        <v>48</v>
      </c>
      <c r="D429" s="28">
        <v>0.03</v>
      </c>
      <c r="E429" s="29">
        <v>160.97999999999999</v>
      </c>
      <c r="F429" s="29">
        <v>30</v>
      </c>
      <c r="G429" s="30" t="s">
        <v>27</v>
      </c>
      <c r="H429" s="27" t="s">
        <v>94</v>
      </c>
      <c r="I429" s="27" t="s">
        <v>29</v>
      </c>
      <c r="J429" s="27" t="s">
        <v>109</v>
      </c>
      <c r="K429" s="27" t="s">
        <v>58</v>
      </c>
      <c r="L429" s="31" t="s">
        <v>892</v>
      </c>
      <c r="M429" s="32">
        <v>0.62</v>
      </c>
      <c r="N429" s="27" t="s">
        <v>33</v>
      </c>
      <c r="O429" s="27" t="s">
        <v>53</v>
      </c>
      <c r="P429" s="27" t="s">
        <v>133</v>
      </c>
      <c r="Q429" s="27" t="s">
        <v>1034</v>
      </c>
      <c r="R429" s="33">
        <v>68502</v>
      </c>
      <c r="S429" s="34">
        <v>42041</v>
      </c>
      <c r="T429" s="34">
        <v>42045</v>
      </c>
      <c r="U429" s="29">
        <v>1273.2086999999999</v>
      </c>
      <c r="V429" s="26">
        <v>11</v>
      </c>
      <c r="W429" s="29">
        <v>1845.23</v>
      </c>
      <c r="X429" s="26">
        <v>90338</v>
      </c>
      <c r="Y429" s="35">
        <v>4.0599999999999996</v>
      </c>
      <c r="Z429" s="1" t="s">
        <v>3012</v>
      </c>
      <c r="AA429" s="36">
        <v>53.123399999999997</v>
      </c>
      <c r="AB429" s="54">
        <v>701.18740000000003</v>
      </c>
      <c r="AC429" s="54">
        <v>104.00387272727272</v>
      </c>
      <c r="AD429" s="36">
        <v>488.89790000000016</v>
      </c>
    </row>
    <row r="430" spans="1:30" s="37" customFormat="1" ht="15.75" customHeight="1" x14ac:dyDescent="0.2">
      <c r="A430" s="26">
        <v>1927</v>
      </c>
      <c r="B430" s="27" t="s">
        <v>1025</v>
      </c>
      <c r="C430" s="27" t="s">
        <v>38</v>
      </c>
      <c r="D430" s="28">
        <v>0.02</v>
      </c>
      <c r="E430" s="29">
        <v>259.70999999999998</v>
      </c>
      <c r="F430" s="29">
        <v>66.67</v>
      </c>
      <c r="G430" s="30" t="s">
        <v>27</v>
      </c>
      <c r="H430" s="27" t="s">
        <v>71</v>
      </c>
      <c r="I430" s="27" t="s">
        <v>29</v>
      </c>
      <c r="J430" s="27" t="s">
        <v>30</v>
      </c>
      <c r="K430" s="27" t="s">
        <v>31</v>
      </c>
      <c r="L430" s="31" t="s">
        <v>1026</v>
      </c>
      <c r="M430" s="32">
        <v>0.65</v>
      </c>
      <c r="N430" s="27" t="s">
        <v>33</v>
      </c>
      <c r="O430" s="27" t="s">
        <v>34</v>
      </c>
      <c r="P430" s="27" t="s">
        <v>271</v>
      </c>
      <c r="Q430" s="27" t="s">
        <v>1027</v>
      </c>
      <c r="R430" s="33">
        <v>29611</v>
      </c>
      <c r="S430" s="34">
        <v>42041</v>
      </c>
      <c r="T430" s="34">
        <v>42041</v>
      </c>
      <c r="U430" s="29">
        <v>-14.448</v>
      </c>
      <c r="V430" s="26">
        <v>8</v>
      </c>
      <c r="W430" s="29">
        <v>1757.15</v>
      </c>
      <c r="X430" s="26">
        <v>88579</v>
      </c>
      <c r="Y430" s="35">
        <v>4.4800000000000004</v>
      </c>
      <c r="Z430" s="1" t="s">
        <v>3011</v>
      </c>
      <c r="AA430" s="36">
        <v>41.553599999999996</v>
      </c>
      <c r="AB430" s="54">
        <v>615.00249999999994</v>
      </c>
      <c r="AC430" s="54">
        <v>142.7684375</v>
      </c>
      <c r="AD430" s="36">
        <v>1663.3744000000002</v>
      </c>
    </row>
    <row r="431" spans="1:30" s="37" customFormat="1" ht="15.75" customHeight="1" x14ac:dyDescent="0.2">
      <c r="A431" s="26">
        <v>421</v>
      </c>
      <c r="B431" s="27" t="s">
        <v>1015</v>
      </c>
      <c r="C431" s="27" t="s">
        <v>26</v>
      </c>
      <c r="D431" s="28">
        <v>0.09</v>
      </c>
      <c r="E431" s="29">
        <v>999.99</v>
      </c>
      <c r="F431" s="29">
        <v>13.99</v>
      </c>
      <c r="G431" s="30" t="s">
        <v>39</v>
      </c>
      <c r="H431" s="27" t="s">
        <v>3095</v>
      </c>
      <c r="I431" s="27" t="s">
        <v>41</v>
      </c>
      <c r="J431" s="27" t="s">
        <v>57</v>
      </c>
      <c r="K431" s="27" t="s">
        <v>144</v>
      </c>
      <c r="L431" s="31" t="s">
        <v>1016</v>
      </c>
      <c r="M431" s="32">
        <v>0.36</v>
      </c>
      <c r="N431" s="27" t="s">
        <v>33</v>
      </c>
      <c r="O431" s="27" t="s">
        <v>111</v>
      </c>
      <c r="P431" s="27" t="s">
        <v>397</v>
      </c>
      <c r="Q431" s="27" t="s">
        <v>1017</v>
      </c>
      <c r="R431" s="33">
        <v>7201</v>
      </c>
      <c r="S431" s="34">
        <v>42041</v>
      </c>
      <c r="T431" s="34">
        <v>42043</v>
      </c>
      <c r="U431" s="29">
        <v>-2531.4825000000001</v>
      </c>
      <c r="V431" s="26">
        <v>1</v>
      </c>
      <c r="W431" s="29">
        <v>919.09</v>
      </c>
      <c r="X431" s="26">
        <v>87700</v>
      </c>
      <c r="Y431" s="35">
        <v>4.87</v>
      </c>
      <c r="Z431" s="1" t="s">
        <v>3014</v>
      </c>
      <c r="AA431" s="36">
        <v>89.999099999999999</v>
      </c>
      <c r="AB431" s="54">
        <v>588.21760000000006</v>
      </c>
      <c r="AC431" s="54">
        <v>330.87240000000003</v>
      </c>
      <c r="AD431" s="36">
        <v>3346.5834000000004</v>
      </c>
    </row>
    <row r="432" spans="1:30" s="37" customFormat="1" ht="15.75" customHeight="1" x14ac:dyDescent="0.2">
      <c r="A432" s="26">
        <v>2135</v>
      </c>
      <c r="B432" s="27" t="s">
        <v>1028</v>
      </c>
      <c r="C432" s="27" t="s">
        <v>38</v>
      </c>
      <c r="D432" s="28">
        <v>0.01</v>
      </c>
      <c r="E432" s="29">
        <v>28.99</v>
      </c>
      <c r="F432" s="29">
        <v>8.59</v>
      </c>
      <c r="G432" s="30" t="s">
        <v>39</v>
      </c>
      <c r="H432" s="27" t="s">
        <v>71</v>
      </c>
      <c r="I432" s="27" t="s">
        <v>41</v>
      </c>
      <c r="J432" s="27" t="s">
        <v>135</v>
      </c>
      <c r="K432" s="27" t="s">
        <v>144</v>
      </c>
      <c r="L432" s="31" t="s">
        <v>1029</v>
      </c>
      <c r="M432" s="32">
        <v>0.56000000000000005</v>
      </c>
      <c r="N432" s="27" t="s">
        <v>33</v>
      </c>
      <c r="O432" s="27" t="s">
        <v>60</v>
      </c>
      <c r="P432" s="27" t="s">
        <v>640</v>
      </c>
      <c r="Q432" s="27" t="s">
        <v>1030</v>
      </c>
      <c r="R432" s="33">
        <v>88101</v>
      </c>
      <c r="S432" s="34">
        <v>42041</v>
      </c>
      <c r="T432" s="34">
        <v>42042</v>
      </c>
      <c r="U432" s="29">
        <v>196.52328</v>
      </c>
      <c r="V432" s="26">
        <v>21</v>
      </c>
      <c r="W432" s="29">
        <v>556.61</v>
      </c>
      <c r="X432" s="26">
        <v>91583</v>
      </c>
      <c r="Y432" s="35">
        <v>9.99</v>
      </c>
      <c r="Z432" s="1" t="s">
        <v>3013</v>
      </c>
      <c r="AA432" s="36">
        <v>6.0878999999999994</v>
      </c>
      <c r="AB432" s="54">
        <v>244.90839999999997</v>
      </c>
      <c r="AC432" s="54">
        <v>14.842933333333335</v>
      </c>
      <c r="AD432" s="36">
        <v>345.40881999999999</v>
      </c>
    </row>
    <row r="433" spans="1:30" s="37" customFormat="1" ht="15.75" customHeight="1" x14ac:dyDescent="0.2">
      <c r="A433" s="26">
        <v>2270</v>
      </c>
      <c r="B433" s="27" t="s">
        <v>1038</v>
      </c>
      <c r="C433" s="27" t="s">
        <v>48</v>
      </c>
      <c r="D433" s="28">
        <v>0.01</v>
      </c>
      <c r="E433" s="29">
        <v>20.48</v>
      </c>
      <c r="F433" s="29">
        <v>6.32</v>
      </c>
      <c r="G433" s="30" t="s">
        <v>39</v>
      </c>
      <c r="H433" s="27" t="s">
        <v>3095</v>
      </c>
      <c r="I433" s="27" t="s">
        <v>49</v>
      </c>
      <c r="J433" s="27" t="s">
        <v>95</v>
      </c>
      <c r="K433" s="27" t="s">
        <v>73</v>
      </c>
      <c r="L433" s="31" t="s">
        <v>1039</v>
      </c>
      <c r="M433" s="32">
        <v>0.57999999999999996</v>
      </c>
      <c r="N433" s="27" t="s">
        <v>33</v>
      </c>
      <c r="O433" s="27" t="s">
        <v>34</v>
      </c>
      <c r="P433" s="27" t="s">
        <v>271</v>
      </c>
      <c r="Q433" s="27" t="s">
        <v>1040</v>
      </c>
      <c r="R433" s="33">
        <v>29662</v>
      </c>
      <c r="S433" s="34">
        <v>42041</v>
      </c>
      <c r="T433" s="34">
        <v>42043</v>
      </c>
      <c r="U433" s="29">
        <v>711.24480000000005</v>
      </c>
      <c r="V433" s="26">
        <v>18</v>
      </c>
      <c r="W433" s="29">
        <v>375.03</v>
      </c>
      <c r="X433" s="26">
        <v>89572</v>
      </c>
      <c r="Y433" s="35">
        <v>259.69</v>
      </c>
      <c r="Z433" s="1" t="s">
        <v>3011</v>
      </c>
      <c r="AA433" s="36">
        <v>3.6864000000000003</v>
      </c>
      <c r="AB433" s="54">
        <v>157.51259999999999</v>
      </c>
      <c r="AC433" s="54">
        <v>12.084299999999997</v>
      </c>
      <c r="AD433" s="36">
        <v>-346.22120000000018</v>
      </c>
    </row>
    <row r="434" spans="1:30" s="37" customFormat="1" ht="15.75" customHeight="1" x14ac:dyDescent="0.2">
      <c r="A434" s="26">
        <v>2486</v>
      </c>
      <c r="B434" s="27" t="s">
        <v>944</v>
      </c>
      <c r="C434" s="27" t="s">
        <v>38</v>
      </c>
      <c r="D434" s="28">
        <v>0.02</v>
      </c>
      <c r="E434" s="29">
        <v>71.37</v>
      </c>
      <c r="F434" s="29">
        <v>69</v>
      </c>
      <c r="G434" s="30" t="s">
        <v>39</v>
      </c>
      <c r="H434" s="27" t="s">
        <v>3095</v>
      </c>
      <c r="I434" s="27" t="s">
        <v>29</v>
      </c>
      <c r="J434" s="27" t="s">
        <v>30</v>
      </c>
      <c r="K434" s="27" t="s">
        <v>65</v>
      </c>
      <c r="L434" s="31" t="s">
        <v>1031</v>
      </c>
      <c r="M434" s="32">
        <v>0.68</v>
      </c>
      <c r="N434" s="27" t="s">
        <v>33</v>
      </c>
      <c r="O434" s="27" t="s">
        <v>34</v>
      </c>
      <c r="P434" s="27" t="s">
        <v>75</v>
      </c>
      <c r="Q434" s="27" t="s">
        <v>946</v>
      </c>
      <c r="R434" s="33">
        <v>30458</v>
      </c>
      <c r="S434" s="34">
        <v>42041</v>
      </c>
      <c r="T434" s="34">
        <v>42042</v>
      </c>
      <c r="U434" s="29">
        <v>-439.90800000000002</v>
      </c>
      <c r="V434" s="26">
        <v>4</v>
      </c>
      <c r="W434" s="29">
        <v>237.62</v>
      </c>
      <c r="X434" s="26">
        <v>91414</v>
      </c>
      <c r="Y434" s="35">
        <v>28.979999999999997</v>
      </c>
      <c r="Z434" s="1" t="s">
        <v>3011</v>
      </c>
      <c r="AA434" s="36">
        <v>5.7096000000000009</v>
      </c>
      <c r="AB434" s="54">
        <v>76.038399999999996</v>
      </c>
      <c r="AC434" s="54">
        <v>40.395400000000002</v>
      </c>
      <c r="AD434" s="36">
        <v>602.8184</v>
      </c>
    </row>
    <row r="435" spans="1:30" s="37" customFormat="1" ht="15.75" customHeight="1" x14ac:dyDescent="0.2">
      <c r="A435" s="26">
        <v>2486</v>
      </c>
      <c r="B435" s="27" t="s">
        <v>944</v>
      </c>
      <c r="C435" s="27" t="s">
        <v>38</v>
      </c>
      <c r="D435" s="28">
        <v>0.03</v>
      </c>
      <c r="E435" s="29">
        <v>205.99</v>
      </c>
      <c r="F435" s="29">
        <v>8.99</v>
      </c>
      <c r="G435" s="30" t="s">
        <v>87</v>
      </c>
      <c r="H435" s="27" t="s">
        <v>3095</v>
      </c>
      <c r="I435" s="27" t="s">
        <v>41</v>
      </c>
      <c r="J435" s="27" t="s">
        <v>135</v>
      </c>
      <c r="K435" s="27" t="s">
        <v>73</v>
      </c>
      <c r="L435" s="31" t="s">
        <v>1032</v>
      </c>
      <c r="M435" s="32">
        <v>0.6</v>
      </c>
      <c r="N435" s="27" t="s">
        <v>33</v>
      </c>
      <c r="O435" s="27" t="s">
        <v>34</v>
      </c>
      <c r="P435" s="27" t="s">
        <v>75</v>
      </c>
      <c r="Q435" s="27" t="s">
        <v>946</v>
      </c>
      <c r="R435" s="33">
        <v>30458</v>
      </c>
      <c r="S435" s="34">
        <v>42041</v>
      </c>
      <c r="T435" s="34">
        <v>42043</v>
      </c>
      <c r="U435" s="29">
        <v>1087.7159999999999</v>
      </c>
      <c r="V435" s="26">
        <v>1</v>
      </c>
      <c r="W435" s="29">
        <v>176.42</v>
      </c>
      <c r="X435" s="26">
        <v>91414</v>
      </c>
      <c r="Y435" s="35">
        <v>71.350000000000009</v>
      </c>
      <c r="Z435" s="1" t="s">
        <v>3011</v>
      </c>
      <c r="AA435" s="36">
        <v>6.1797000000000004</v>
      </c>
      <c r="AB435" s="54">
        <v>70.567999999999998</v>
      </c>
      <c r="AC435" s="54">
        <v>105.85199999999999</v>
      </c>
      <c r="AD435" s="36">
        <v>-926.46569999999986</v>
      </c>
    </row>
    <row r="436" spans="1:30" s="37" customFormat="1" ht="15.75" customHeight="1" x14ac:dyDescent="0.2">
      <c r="A436" s="26">
        <v>1607</v>
      </c>
      <c r="B436" s="27" t="s">
        <v>1035</v>
      </c>
      <c r="C436" s="27" t="s">
        <v>48</v>
      </c>
      <c r="D436" s="28">
        <v>0.1</v>
      </c>
      <c r="E436" s="29">
        <v>5.68</v>
      </c>
      <c r="F436" s="29">
        <v>3.6</v>
      </c>
      <c r="G436" s="30" t="s">
        <v>87</v>
      </c>
      <c r="H436" s="27" t="s">
        <v>71</v>
      </c>
      <c r="I436" s="27" t="s">
        <v>49</v>
      </c>
      <c r="J436" s="27" t="s">
        <v>568</v>
      </c>
      <c r="K436" s="27" t="s">
        <v>43</v>
      </c>
      <c r="L436" s="31" t="s">
        <v>1036</v>
      </c>
      <c r="M436" s="32">
        <v>0.56000000000000005</v>
      </c>
      <c r="N436" s="27" t="s">
        <v>33</v>
      </c>
      <c r="O436" s="27" t="s">
        <v>111</v>
      </c>
      <c r="P436" s="27" t="s">
        <v>112</v>
      </c>
      <c r="Q436" s="27" t="s">
        <v>1037</v>
      </c>
      <c r="R436" s="33">
        <v>11520</v>
      </c>
      <c r="S436" s="34">
        <v>42041</v>
      </c>
      <c r="T436" s="34">
        <v>42045</v>
      </c>
      <c r="U436" s="29">
        <v>-33.2956</v>
      </c>
      <c r="V436" s="26">
        <v>21</v>
      </c>
      <c r="W436" s="29">
        <v>118.35</v>
      </c>
      <c r="X436" s="26">
        <v>87995</v>
      </c>
      <c r="Y436" s="35">
        <v>205.96</v>
      </c>
      <c r="Z436" s="1" t="s">
        <v>3014</v>
      </c>
      <c r="AA436" s="36">
        <v>11.927999999999999</v>
      </c>
      <c r="AB436" s="54">
        <v>52.073999999999991</v>
      </c>
      <c r="AC436" s="54">
        <v>3.1560000000000001</v>
      </c>
      <c r="AD436" s="36">
        <v>136.11759999999998</v>
      </c>
    </row>
    <row r="437" spans="1:30" s="37" customFormat="1" ht="15.75" customHeight="1" x14ac:dyDescent="0.2">
      <c r="A437" s="26">
        <v>1020</v>
      </c>
      <c r="B437" s="27" t="s">
        <v>1018</v>
      </c>
      <c r="C437" s="27" t="s">
        <v>26</v>
      </c>
      <c r="D437" s="28">
        <v>7.0000000000000007E-2</v>
      </c>
      <c r="E437" s="29">
        <v>4.13</v>
      </c>
      <c r="F437" s="29">
        <v>5.04</v>
      </c>
      <c r="G437" s="30" t="s">
        <v>39</v>
      </c>
      <c r="H437" s="27" t="s">
        <v>3095</v>
      </c>
      <c r="I437" s="27" t="s">
        <v>49</v>
      </c>
      <c r="J437" s="27" t="s">
        <v>72</v>
      </c>
      <c r="K437" s="27" t="s">
        <v>73</v>
      </c>
      <c r="L437" s="31" t="s">
        <v>1019</v>
      </c>
      <c r="M437" s="32">
        <v>0.38</v>
      </c>
      <c r="N437" s="27" t="s">
        <v>33</v>
      </c>
      <c r="O437" s="27" t="s">
        <v>53</v>
      </c>
      <c r="P437" s="27" t="s">
        <v>537</v>
      </c>
      <c r="Q437" s="27" t="s">
        <v>1020</v>
      </c>
      <c r="R437" s="33">
        <v>66762</v>
      </c>
      <c r="S437" s="34">
        <v>42041</v>
      </c>
      <c r="T437" s="34">
        <v>42042</v>
      </c>
      <c r="U437" s="29">
        <v>-76.424400000000006</v>
      </c>
      <c r="V437" s="26">
        <v>20</v>
      </c>
      <c r="W437" s="29">
        <v>79.06</v>
      </c>
      <c r="X437" s="26">
        <v>88634</v>
      </c>
      <c r="Y437" s="35">
        <v>160.94999999999999</v>
      </c>
      <c r="Z437" s="1" t="s">
        <v>3012</v>
      </c>
      <c r="AA437" s="36">
        <v>5.782</v>
      </c>
      <c r="AB437" s="54">
        <v>49.017200000000003</v>
      </c>
      <c r="AC437" s="54">
        <v>1.50214</v>
      </c>
      <c r="AD437" s="36">
        <v>144.66239999999999</v>
      </c>
    </row>
    <row r="438" spans="1:30" s="37" customFormat="1" ht="15.75" customHeight="1" x14ac:dyDescent="0.2">
      <c r="A438" s="26">
        <v>1533</v>
      </c>
      <c r="B438" s="27" t="s">
        <v>1022</v>
      </c>
      <c r="C438" s="27" t="s">
        <v>38</v>
      </c>
      <c r="D438" s="28">
        <v>0.02</v>
      </c>
      <c r="E438" s="29">
        <v>4.8899999999999997</v>
      </c>
      <c r="F438" s="29">
        <v>4.93</v>
      </c>
      <c r="G438" s="30" t="s">
        <v>39</v>
      </c>
      <c r="H438" s="27" t="s">
        <v>94</v>
      </c>
      <c r="I438" s="27" t="s">
        <v>41</v>
      </c>
      <c r="J438" s="27" t="s">
        <v>42</v>
      </c>
      <c r="K438" s="27" t="s">
        <v>43</v>
      </c>
      <c r="L438" s="31" t="s">
        <v>1023</v>
      </c>
      <c r="M438" s="32">
        <v>0.66</v>
      </c>
      <c r="N438" s="27" t="s">
        <v>33</v>
      </c>
      <c r="O438" s="27" t="s">
        <v>53</v>
      </c>
      <c r="P438" s="27" t="s">
        <v>80</v>
      </c>
      <c r="Q438" s="27" t="s">
        <v>1024</v>
      </c>
      <c r="R438" s="33">
        <v>63130</v>
      </c>
      <c r="S438" s="34">
        <v>42041</v>
      </c>
      <c r="T438" s="34">
        <v>42042</v>
      </c>
      <c r="U438" s="29">
        <v>-56.445999999999998</v>
      </c>
      <c r="V438" s="26">
        <v>14</v>
      </c>
      <c r="W438" s="29">
        <v>74.010000000000005</v>
      </c>
      <c r="X438" s="26">
        <v>91328</v>
      </c>
      <c r="Y438" s="35">
        <v>5.58</v>
      </c>
      <c r="Z438" s="1" t="s">
        <v>3012</v>
      </c>
      <c r="AA438" s="36">
        <v>1.3692</v>
      </c>
      <c r="AB438" s="54">
        <v>25.163399999999999</v>
      </c>
      <c r="AC438" s="54">
        <v>3.4890428571428576</v>
      </c>
      <c r="AD438" s="36">
        <v>124.1568</v>
      </c>
    </row>
    <row r="439" spans="1:30" s="37" customFormat="1" ht="15.75" customHeight="1" x14ac:dyDescent="0.2">
      <c r="A439" s="26">
        <v>1020</v>
      </c>
      <c r="B439" s="27" t="s">
        <v>1018</v>
      </c>
      <c r="C439" s="27" t="s">
        <v>26</v>
      </c>
      <c r="D439" s="28">
        <v>0</v>
      </c>
      <c r="E439" s="29">
        <v>4.4800000000000004</v>
      </c>
      <c r="F439" s="29">
        <v>2.5</v>
      </c>
      <c r="G439" s="30" t="s">
        <v>39</v>
      </c>
      <c r="H439" s="27" t="s">
        <v>3095</v>
      </c>
      <c r="I439" s="27" t="s">
        <v>49</v>
      </c>
      <c r="J439" s="27" t="s">
        <v>345</v>
      </c>
      <c r="K439" s="27" t="s">
        <v>73</v>
      </c>
      <c r="L439" s="31" t="s">
        <v>1021</v>
      </c>
      <c r="M439" s="32">
        <v>0.37</v>
      </c>
      <c r="N439" s="27" t="s">
        <v>33</v>
      </c>
      <c r="O439" s="27" t="s">
        <v>53</v>
      </c>
      <c r="P439" s="27" t="s">
        <v>537</v>
      </c>
      <c r="Q439" s="27" t="s">
        <v>1020</v>
      </c>
      <c r="R439" s="33">
        <v>66762</v>
      </c>
      <c r="S439" s="34">
        <v>42041</v>
      </c>
      <c r="T439" s="34">
        <v>42043</v>
      </c>
      <c r="U439" s="29">
        <v>8.7319999999999993</v>
      </c>
      <c r="V439" s="26">
        <v>14</v>
      </c>
      <c r="W439" s="29">
        <v>65.14</v>
      </c>
      <c r="X439" s="26">
        <v>88634</v>
      </c>
      <c r="Y439" s="35">
        <v>20.47</v>
      </c>
      <c r="Z439" s="1" t="s">
        <v>3012</v>
      </c>
      <c r="AA439" s="36">
        <v>0</v>
      </c>
      <c r="AB439" s="54">
        <v>41.038200000000003</v>
      </c>
      <c r="AC439" s="54">
        <v>1.721557142857143</v>
      </c>
      <c r="AD439" s="36">
        <v>53.908000000000001</v>
      </c>
    </row>
    <row r="440" spans="1:30" s="37" customFormat="1" ht="15.75" customHeight="1" x14ac:dyDescent="0.2">
      <c r="A440" s="26">
        <v>1533</v>
      </c>
      <c r="B440" s="27" t="s">
        <v>1022</v>
      </c>
      <c r="C440" s="27" t="s">
        <v>38</v>
      </c>
      <c r="D440" s="28">
        <v>7.0000000000000007E-2</v>
      </c>
      <c r="E440" s="29">
        <v>10.06</v>
      </c>
      <c r="F440" s="29">
        <v>2.06</v>
      </c>
      <c r="G440" s="30" t="s">
        <v>39</v>
      </c>
      <c r="H440" s="27" t="s">
        <v>94</v>
      </c>
      <c r="I440" s="27" t="s">
        <v>49</v>
      </c>
      <c r="J440" s="27" t="s">
        <v>88</v>
      </c>
      <c r="K440" s="27" t="s">
        <v>51</v>
      </c>
      <c r="L440" s="31" t="s">
        <v>173</v>
      </c>
      <c r="M440" s="32">
        <v>0.39</v>
      </c>
      <c r="N440" s="27" t="s">
        <v>33</v>
      </c>
      <c r="O440" s="27" t="s">
        <v>53</v>
      </c>
      <c r="P440" s="27" t="s">
        <v>80</v>
      </c>
      <c r="Q440" s="27" t="s">
        <v>1024</v>
      </c>
      <c r="R440" s="33">
        <v>63130</v>
      </c>
      <c r="S440" s="34">
        <v>42041</v>
      </c>
      <c r="T440" s="34">
        <v>42042</v>
      </c>
      <c r="U440" s="29">
        <v>33.189</v>
      </c>
      <c r="V440" s="26">
        <v>5</v>
      </c>
      <c r="W440" s="29">
        <v>48.1</v>
      </c>
      <c r="X440" s="26">
        <v>91328</v>
      </c>
      <c r="Y440" s="35">
        <v>1.77</v>
      </c>
      <c r="Z440" s="1" t="s">
        <v>3012</v>
      </c>
      <c r="AA440" s="36">
        <v>3.5210000000000004</v>
      </c>
      <c r="AB440" s="54">
        <v>29.341000000000001</v>
      </c>
      <c r="AC440" s="54">
        <v>3.7518000000000007</v>
      </c>
      <c r="AD440" s="36">
        <v>9.3299999999999983</v>
      </c>
    </row>
    <row r="441" spans="1:30" s="37" customFormat="1" ht="15.75" customHeight="1" x14ac:dyDescent="0.2">
      <c r="A441" s="26">
        <v>2270</v>
      </c>
      <c r="B441" s="27" t="s">
        <v>1038</v>
      </c>
      <c r="C441" s="27" t="s">
        <v>48</v>
      </c>
      <c r="D441" s="28">
        <v>0.09</v>
      </c>
      <c r="E441" s="29">
        <v>1.86</v>
      </c>
      <c r="F441" s="29">
        <v>2.58</v>
      </c>
      <c r="G441" s="30" t="s">
        <v>39</v>
      </c>
      <c r="H441" s="27" t="s">
        <v>3095</v>
      </c>
      <c r="I441" s="27" t="s">
        <v>49</v>
      </c>
      <c r="J441" s="27" t="s">
        <v>176</v>
      </c>
      <c r="K441" s="27" t="s">
        <v>51</v>
      </c>
      <c r="L441" s="31" t="s">
        <v>580</v>
      </c>
      <c r="M441" s="32">
        <v>0.82</v>
      </c>
      <c r="N441" s="27" t="s">
        <v>33</v>
      </c>
      <c r="O441" s="27" t="s">
        <v>34</v>
      </c>
      <c r="P441" s="27" t="s">
        <v>271</v>
      </c>
      <c r="Q441" s="27" t="s">
        <v>1040</v>
      </c>
      <c r="R441" s="33">
        <v>29662</v>
      </c>
      <c r="S441" s="34">
        <v>42041</v>
      </c>
      <c r="T441" s="34">
        <v>42046</v>
      </c>
      <c r="U441" s="29">
        <v>-1084.8469631999999</v>
      </c>
      <c r="V441" s="26">
        <v>12</v>
      </c>
      <c r="W441" s="29">
        <v>22.11</v>
      </c>
      <c r="X441" s="26">
        <v>89572</v>
      </c>
      <c r="Y441" s="35">
        <v>205.91</v>
      </c>
      <c r="Z441" s="1" t="s">
        <v>3011</v>
      </c>
      <c r="AA441" s="36">
        <v>2.0087999999999999</v>
      </c>
      <c r="AB441" s="54">
        <v>3.9798000000000009</v>
      </c>
      <c r="AC441" s="54">
        <v>1.51085</v>
      </c>
      <c r="AD441" s="36">
        <v>1102.3681631999998</v>
      </c>
    </row>
    <row r="442" spans="1:30" s="37" customFormat="1" ht="15.75" customHeight="1" x14ac:dyDescent="0.2">
      <c r="A442" s="26">
        <v>698</v>
      </c>
      <c r="B442" s="27" t="s">
        <v>1043</v>
      </c>
      <c r="C442" s="27" t="s">
        <v>26</v>
      </c>
      <c r="D442" s="28">
        <v>0.08</v>
      </c>
      <c r="E442" s="29">
        <v>14.81</v>
      </c>
      <c r="F442" s="29">
        <v>13.32</v>
      </c>
      <c r="G442" s="30" t="s">
        <v>39</v>
      </c>
      <c r="H442" s="27" t="s">
        <v>94</v>
      </c>
      <c r="I442" s="27" t="s">
        <v>49</v>
      </c>
      <c r="J442" s="27" t="s">
        <v>95</v>
      </c>
      <c r="K442" s="27" t="s">
        <v>73</v>
      </c>
      <c r="L442" s="31" t="s">
        <v>594</v>
      </c>
      <c r="M442" s="32">
        <v>0.43</v>
      </c>
      <c r="N442" s="27" t="s">
        <v>33</v>
      </c>
      <c r="O442" s="27" t="s">
        <v>60</v>
      </c>
      <c r="P442" s="27" t="s">
        <v>67</v>
      </c>
      <c r="Q442" s="27" t="s">
        <v>142</v>
      </c>
      <c r="R442" s="33">
        <v>98105</v>
      </c>
      <c r="S442" s="34">
        <v>42042</v>
      </c>
      <c r="T442" s="34">
        <v>42044</v>
      </c>
      <c r="U442" s="29">
        <v>-253.11</v>
      </c>
      <c r="V442" s="26">
        <v>79</v>
      </c>
      <c r="W442" s="29">
        <v>1154.1199999999999</v>
      </c>
      <c r="X442" s="26">
        <v>53410</v>
      </c>
      <c r="Y442" s="35">
        <v>14.73</v>
      </c>
      <c r="Z442" s="1" t="s">
        <v>3013</v>
      </c>
      <c r="AA442" s="36">
        <v>93.59920000000001</v>
      </c>
      <c r="AB442" s="54">
        <v>657.84839999999997</v>
      </c>
      <c r="AC442" s="54">
        <v>6.281918987341772</v>
      </c>
      <c r="AD442" s="36">
        <v>1300.3108</v>
      </c>
    </row>
    <row r="443" spans="1:30" s="37" customFormat="1" ht="15.75" customHeight="1" x14ac:dyDescent="0.2">
      <c r="A443" s="26">
        <v>1026</v>
      </c>
      <c r="B443" s="27" t="s">
        <v>1055</v>
      </c>
      <c r="C443" s="27" t="s">
        <v>3094</v>
      </c>
      <c r="D443" s="28">
        <v>0.08</v>
      </c>
      <c r="E443" s="29">
        <v>65.989999999999995</v>
      </c>
      <c r="F443" s="29">
        <v>5.92</v>
      </c>
      <c r="G443" s="30" t="s">
        <v>39</v>
      </c>
      <c r="H443" s="27" t="s">
        <v>3095</v>
      </c>
      <c r="I443" s="27" t="s">
        <v>41</v>
      </c>
      <c r="J443" s="27" t="s">
        <v>135</v>
      </c>
      <c r="K443" s="27" t="s">
        <v>73</v>
      </c>
      <c r="L443" s="31" t="s">
        <v>1056</v>
      </c>
      <c r="M443" s="32">
        <v>0.57999999999999996</v>
      </c>
      <c r="N443" s="27" t="s">
        <v>33</v>
      </c>
      <c r="O443" s="27" t="s">
        <v>111</v>
      </c>
      <c r="P443" s="27" t="s">
        <v>112</v>
      </c>
      <c r="Q443" s="27" t="s">
        <v>1057</v>
      </c>
      <c r="R443" s="33">
        <v>11722</v>
      </c>
      <c r="S443" s="34">
        <v>42042</v>
      </c>
      <c r="T443" s="34">
        <v>42042</v>
      </c>
      <c r="U443" s="29">
        <v>624.40164000000004</v>
      </c>
      <c r="V443" s="26">
        <v>22</v>
      </c>
      <c r="W443" s="29">
        <v>1137.5999999999999</v>
      </c>
      <c r="X443" s="26">
        <v>89005</v>
      </c>
      <c r="Y443" s="35">
        <v>14.73</v>
      </c>
      <c r="Z443" s="1" t="s">
        <v>3014</v>
      </c>
      <c r="AA443" s="36">
        <v>116.14239999999998</v>
      </c>
      <c r="AB443" s="54">
        <v>477.79200000000003</v>
      </c>
      <c r="AC443" s="54">
        <v>29.991272727272722</v>
      </c>
      <c r="AD443" s="36">
        <v>391.13595999999995</v>
      </c>
    </row>
    <row r="444" spans="1:30" s="37" customFormat="1" ht="15.75" customHeight="1" x14ac:dyDescent="0.2">
      <c r="A444" s="26">
        <v>1121</v>
      </c>
      <c r="B444" s="27" t="s">
        <v>1047</v>
      </c>
      <c r="C444" s="27" t="s">
        <v>48</v>
      </c>
      <c r="D444" s="28">
        <v>0.08</v>
      </c>
      <c r="E444" s="29">
        <v>125.99</v>
      </c>
      <c r="F444" s="29">
        <v>7.69</v>
      </c>
      <c r="G444" s="30" t="s">
        <v>39</v>
      </c>
      <c r="H444" s="27" t="s">
        <v>40</v>
      </c>
      <c r="I444" s="27" t="s">
        <v>41</v>
      </c>
      <c r="J444" s="27" t="s">
        <v>135</v>
      </c>
      <c r="K444" s="27" t="s">
        <v>73</v>
      </c>
      <c r="L444" s="31" t="s">
        <v>1049</v>
      </c>
      <c r="M444" s="32">
        <v>0.57999999999999996</v>
      </c>
      <c r="N444" s="27" t="s">
        <v>33</v>
      </c>
      <c r="O444" s="27" t="s">
        <v>60</v>
      </c>
      <c r="P444" s="27" t="s">
        <v>90</v>
      </c>
      <c r="Q444" s="27" t="s">
        <v>1048</v>
      </c>
      <c r="R444" s="33">
        <v>92592</v>
      </c>
      <c r="S444" s="34">
        <v>42042</v>
      </c>
      <c r="T444" s="34">
        <v>42044</v>
      </c>
      <c r="U444" s="29">
        <v>377.154</v>
      </c>
      <c r="V444" s="26">
        <v>7</v>
      </c>
      <c r="W444" s="29">
        <v>703.46</v>
      </c>
      <c r="X444" s="26">
        <v>86767</v>
      </c>
      <c r="Y444" s="35">
        <v>41.839999999999996</v>
      </c>
      <c r="Z444" s="1" t="s">
        <v>3013</v>
      </c>
      <c r="AA444" s="36">
        <v>70.554400000000001</v>
      </c>
      <c r="AB444" s="54">
        <v>295.45320000000004</v>
      </c>
      <c r="AC444" s="54">
        <v>58.286685714285717</v>
      </c>
      <c r="AD444" s="36">
        <v>248.06160000000006</v>
      </c>
    </row>
    <row r="445" spans="1:30" s="37" customFormat="1" ht="15.75" customHeight="1" x14ac:dyDescent="0.2">
      <c r="A445" s="26">
        <v>2813</v>
      </c>
      <c r="B445" s="27" t="s">
        <v>1052</v>
      </c>
      <c r="C445" s="27" t="s">
        <v>116</v>
      </c>
      <c r="D445" s="28">
        <v>7.0000000000000007E-2</v>
      </c>
      <c r="E445" s="29">
        <v>30.56</v>
      </c>
      <c r="F445" s="29">
        <v>2.99</v>
      </c>
      <c r="G445" s="30" t="s">
        <v>39</v>
      </c>
      <c r="H445" s="27" t="s">
        <v>94</v>
      </c>
      <c r="I445" s="27" t="s">
        <v>49</v>
      </c>
      <c r="J445" s="27" t="s">
        <v>72</v>
      </c>
      <c r="K445" s="27" t="s">
        <v>73</v>
      </c>
      <c r="L445" s="31" t="s">
        <v>1053</v>
      </c>
      <c r="M445" s="32">
        <v>0.35</v>
      </c>
      <c r="N445" s="27" t="s">
        <v>33</v>
      </c>
      <c r="O445" s="27" t="s">
        <v>34</v>
      </c>
      <c r="P445" s="27" t="s">
        <v>400</v>
      </c>
      <c r="Q445" s="27" t="s">
        <v>1054</v>
      </c>
      <c r="R445" s="33">
        <v>37311</v>
      </c>
      <c r="S445" s="34">
        <v>42042</v>
      </c>
      <c r="T445" s="34">
        <v>42042</v>
      </c>
      <c r="U445" s="29">
        <v>-95.618600000000001</v>
      </c>
      <c r="V445" s="26">
        <v>12</v>
      </c>
      <c r="W445" s="29">
        <v>364.92</v>
      </c>
      <c r="X445" s="26">
        <v>88819</v>
      </c>
      <c r="Y445" s="35">
        <v>6.6400000000000006</v>
      </c>
      <c r="Z445" s="1" t="s">
        <v>3011</v>
      </c>
      <c r="AA445" s="36">
        <v>25.670400000000001</v>
      </c>
      <c r="AB445" s="54">
        <v>237.19800000000001</v>
      </c>
      <c r="AC445" s="54">
        <v>10.6435</v>
      </c>
      <c r="AD445" s="36">
        <v>431.87819999999999</v>
      </c>
    </row>
    <row r="446" spans="1:30" s="37" customFormat="1" ht="15.75" customHeight="1" x14ac:dyDescent="0.2">
      <c r="A446" s="26">
        <v>1723</v>
      </c>
      <c r="B446" s="27" t="s">
        <v>888</v>
      </c>
      <c r="C446" s="27" t="s">
        <v>116</v>
      </c>
      <c r="D446" s="28">
        <v>0.05</v>
      </c>
      <c r="E446" s="29">
        <v>6.68</v>
      </c>
      <c r="F446" s="29">
        <v>5.66</v>
      </c>
      <c r="G446" s="30" t="s">
        <v>39</v>
      </c>
      <c r="H446" s="27" t="s">
        <v>94</v>
      </c>
      <c r="I446" s="27" t="s">
        <v>49</v>
      </c>
      <c r="J446" s="27" t="s">
        <v>88</v>
      </c>
      <c r="K446" s="27" t="s">
        <v>73</v>
      </c>
      <c r="L446" s="31" t="s">
        <v>1050</v>
      </c>
      <c r="M446" s="32">
        <v>0.37</v>
      </c>
      <c r="N446" s="27" t="s">
        <v>33</v>
      </c>
      <c r="O446" s="27" t="s">
        <v>60</v>
      </c>
      <c r="P446" s="27" t="s">
        <v>90</v>
      </c>
      <c r="Q446" s="27" t="s">
        <v>890</v>
      </c>
      <c r="R446" s="33">
        <v>92037</v>
      </c>
      <c r="S446" s="34">
        <v>42042</v>
      </c>
      <c r="T446" s="34">
        <v>42044</v>
      </c>
      <c r="U446" s="29">
        <v>-66.48</v>
      </c>
      <c r="V446" s="26">
        <v>46</v>
      </c>
      <c r="W446" s="29">
        <v>320.93</v>
      </c>
      <c r="X446" s="26">
        <v>44002</v>
      </c>
      <c r="Y446" s="35">
        <v>19.940000000000001</v>
      </c>
      <c r="Z446" s="1" t="s">
        <v>3013</v>
      </c>
      <c r="AA446" s="36">
        <v>15.364000000000001</v>
      </c>
      <c r="AB446" s="54">
        <v>202.1859</v>
      </c>
      <c r="AC446" s="54">
        <v>2.5813934782608694</v>
      </c>
      <c r="AD446" s="36">
        <v>366.38600000000002</v>
      </c>
    </row>
    <row r="447" spans="1:30" s="37" customFormat="1" ht="15.75" customHeight="1" x14ac:dyDescent="0.2">
      <c r="A447" s="26">
        <v>697</v>
      </c>
      <c r="B447" s="27" t="s">
        <v>1041</v>
      </c>
      <c r="C447" s="27" t="s">
        <v>26</v>
      </c>
      <c r="D447" s="28">
        <v>0.08</v>
      </c>
      <c r="E447" s="29">
        <v>14.81</v>
      </c>
      <c r="F447" s="29">
        <v>13.32</v>
      </c>
      <c r="G447" s="30" t="s">
        <v>39</v>
      </c>
      <c r="H447" s="27" t="s">
        <v>94</v>
      </c>
      <c r="I447" s="27" t="s">
        <v>49</v>
      </c>
      <c r="J447" s="27" t="s">
        <v>95</v>
      </c>
      <c r="K447" s="27" t="s">
        <v>73</v>
      </c>
      <c r="L447" s="31" t="s">
        <v>594</v>
      </c>
      <c r="M447" s="32">
        <v>0.43</v>
      </c>
      <c r="N447" s="27" t="s">
        <v>33</v>
      </c>
      <c r="O447" s="27" t="s">
        <v>53</v>
      </c>
      <c r="P447" s="27" t="s">
        <v>54</v>
      </c>
      <c r="Q447" s="27" t="s">
        <v>1042</v>
      </c>
      <c r="R447" s="33">
        <v>46312</v>
      </c>
      <c r="S447" s="34">
        <v>42042</v>
      </c>
      <c r="T447" s="34">
        <v>42044</v>
      </c>
      <c r="U447" s="29">
        <v>-131.6172</v>
      </c>
      <c r="V447" s="26">
        <v>20</v>
      </c>
      <c r="W447" s="29">
        <v>292.18</v>
      </c>
      <c r="X447" s="26">
        <v>89849</v>
      </c>
      <c r="Y447" s="35">
        <v>125.91</v>
      </c>
      <c r="Z447" s="1" t="s">
        <v>3012</v>
      </c>
      <c r="AA447" s="36">
        <v>23.696000000000002</v>
      </c>
      <c r="AB447" s="54">
        <v>166.54260000000002</v>
      </c>
      <c r="AC447" s="54">
        <v>6.2818699999999996</v>
      </c>
      <c r="AD447" s="36">
        <v>386.78120000000001</v>
      </c>
    </row>
    <row r="448" spans="1:30" s="37" customFormat="1" ht="15.75" customHeight="1" x14ac:dyDescent="0.2">
      <c r="A448" s="26">
        <v>1723</v>
      </c>
      <c r="B448" s="27" t="s">
        <v>888</v>
      </c>
      <c r="C448" s="27" t="s">
        <v>116</v>
      </c>
      <c r="D448" s="28">
        <v>0.03</v>
      </c>
      <c r="E448" s="29">
        <v>17.7</v>
      </c>
      <c r="F448" s="29">
        <v>9.4700000000000006</v>
      </c>
      <c r="G448" s="30" t="s">
        <v>39</v>
      </c>
      <c r="H448" s="27" t="s">
        <v>94</v>
      </c>
      <c r="I448" s="27" t="s">
        <v>49</v>
      </c>
      <c r="J448" s="27" t="s">
        <v>78</v>
      </c>
      <c r="K448" s="27" t="s">
        <v>73</v>
      </c>
      <c r="L448" s="31" t="s">
        <v>1051</v>
      </c>
      <c r="M448" s="32">
        <v>0.59</v>
      </c>
      <c r="N448" s="27" t="s">
        <v>33</v>
      </c>
      <c r="O448" s="27" t="s">
        <v>60</v>
      </c>
      <c r="P448" s="27" t="s">
        <v>90</v>
      </c>
      <c r="Q448" s="27" t="s">
        <v>890</v>
      </c>
      <c r="R448" s="33">
        <v>92037</v>
      </c>
      <c r="S448" s="34">
        <v>42042</v>
      </c>
      <c r="T448" s="34">
        <v>42042</v>
      </c>
      <c r="U448" s="29">
        <v>-52.33</v>
      </c>
      <c r="V448" s="26">
        <v>14</v>
      </c>
      <c r="W448" s="29">
        <v>261.85000000000002</v>
      </c>
      <c r="X448" s="26">
        <v>44002</v>
      </c>
      <c r="Y448" s="35">
        <v>6.63</v>
      </c>
      <c r="Z448" s="1" t="s">
        <v>3013</v>
      </c>
      <c r="AA448" s="36">
        <v>7.4339999999999993</v>
      </c>
      <c r="AB448" s="54">
        <v>107.35850000000002</v>
      </c>
      <c r="AC448" s="54">
        <v>11.035107142857143</v>
      </c>
      <c r="AD448" s="36">
        <v>297.27600000000001</v>
      </c>
    </row>
    <row r="449" spans="1:30" s="37" customFormat="1" ht="15.75" customHeight="1" x14ac:dyDescent="0.2">
      <c r="A449" s="26">
        <v>2626</v>
      </c>
      <c r="B449" s="27" t="s">
        <v>1044</v>
      </c>
      <c r="C449" s="27" t="s">
        <v>38</v>
      </c>
      <c r="D449" s="28">
        <v>0.1</v>
      </c>
      <c r="E449" s="29">
        <v>41.94</v>
      </c>
      <c r="F449" s="29">
        <v>2.99</v>
      </c>
      <c r="G449" s="30" t="s">
        <v>39</v>
      </c>
      <c r="H449" s="27" t="s">
        <v>40</v>
      </c>
      <c r="I449" s="27" t="s">
        <v>49</v>
      </c>
      <c r="J449" s="27" t="s">
        <v>72</v>
      </c>
      <c r="K449" s="27" t="s">
        <v>73</v>
      </c>
      <c r="L449" s="31" t="s">
        <v>1045</v>
      </c>
      <c r="M449" s="32">
        <v>0.35</v>
      </c>
      <c r="N449" s="27" t="s">
        <v>33</v>
      </c>
      <c r="O449" s="27" t="s">
        <v>60</v>
      </c>
      <c r="P449" s="27" t="s">
        <v>90</v>
      </c>
      <c r="Q449" s="27" t="s">
        <v>771</v>
      </c>
      <c r="R449" s="33">
        <v>94025</v>
      </c>
      <c r="S449" s="34">
        <v>42042</v>
      </c>
      <c r="T449" s="34">
        <v>42043</v>
      </c>
      <c r="U449" s="29">
        <v>164.08199999999999</v>
      </c>
      <c r="V449" s="26">
        <v>6</v>
      </c>
      <c r="W449" s="29">
        <v>237.8</v>
      </c>
      <c r="X449" s="26">
        <v>90927</v>
      </c>
      <c r="Y449" s="35">
        <v>17.669999999999998</v>
      </c>
      <c r="Z449" s="1" t="s">
        <v>3013</v>
      </c>
      <c r="AA449" s="36">
        <v>25.164000000000001</v>
      </c>
      <c r="AB449" s="54">
        <v>154.57000000000002</v>
      </c>
      <c r="AC449" s="54">
        <v>13.871666666666666</v>
      </c>
      <c r="AD449" s="36">
        <v>45.564000000000021</v>
      </c>
    </row>
    <row r="450" spans="1:30" s="37" customFormat="1" ht="15.75" customHeight="1" x14ac:dyDescent="0.2">
      <c r="A450" s="26">
        <v>1121</v>
      </c>
      <c r="B450" s="27" t="s">
        <v>1047</v>
      </c>
      <c r="C450" s="27" t="s">
        <v>48</v>
      </c>
      <c r="D450" s="28">
        <v>0.04</v>
      </c>
      <c r="E450" s="29">
        <v>19.98</v>
      </c>
      <c r="F450" s="29">
        <v>8.68</v>
      </c>
      <c r="G450" s="30" t="s">
        <v>39</v>
      </c>
      <c r="H450" s="27" t="s">
        <v>40</v>
      </c>
      <c r="I450" s="27" t="s">
        <v>49</v>
      </c>
      <c r="J450" s="27" t="s">
        <v>88</v>
      </c>
      <c r="K450" s="27" t="s">
        <v>73</v>
      </c>
      <c r="L450" s="31" t="s">
        <v>696</v>
      </c>
      <c r="M450" s="32">
        <v>0.37</v>
      </c>
      <c r="N450" s="27" t="s">
        <v>33</v>
      </c>
      <c r="O450" s="27" t="s">
        <v>60</v>
      </c>
      <c r="P450" s="27" t="s">
        <v>90</v>
      </c>
      <c r="Q450" s="27" t="s">
        <v>1048</v>
      </c>
      <c r="R450" s="33">
        <v>92592</v>
      </c>
      <c r="S450" s="34">
        <v>42042</v>
      </c>
      <c r="T450" s="34">
        <v>42049</v>
      </c>
      <c r="U450" s="29">
        <v>108</v>
      </c>
      <c r="V450" s="26">
        <v>8</v>
      </c>
      <c r="W450" s="29">
        <v>168.04</v>
      </c>
      <c r="X450" s="26">
        <v>86767</v>
      </c>
      <c r="Y450" s="35">
        <v>30.49</v>
      </c>
      <c r="Z450" s="1" t="s">
        <v>3013</v>
      </c>
      <c r="AA450" s="36">
        <v>6.3936000000000002</v>
      </c>
      <c r="AB450" s="54">
        <v>105.8652</v>
      </c>
      <c r="AC450" s="54">
        <v>7.7718499999999997</v>
      </c>
      <c r="AD450" s="36">
        <v>44.966399999999979</v>
      </c>
    </row>
    <row r="451" spans="1:30" s="37" customFormat="1" ht="15.75" customHeight="1" x14ac:dyDescent="0.2">
      <c r="A451" s="26">
        <v>3351</v>
      </c>
      <c r="B451" s="27" t="s">
        <v>956</v>
      </c>
      <c r="C451" s="27" t="s">
        <v>38</v>
      </c>
      <c r="D451" s="28">
        <v>0.06</v>
      </c>
      <c r="E451" s="29">
        <v>6.7</v>
      </c>
      <c r="F451" s="29">
        <v>1.56</v>
      </c>
      <c r="G451" s="30" t="s">
        <v>87</v>
      </c>
      <c r="H451" s="27" t="s">
        <v>3095</v>
      </c>
      <c r="I451" s="27" t="s">
        <v>49</v>
      </c>
      <c r="J451" s="27" t="s">
        <v>50</v>
      </c>
      <c r="K451" s="27" t="s">
        <v>51</v>
      </c>
      <c r="L451" s="31" t="s">
        <v>1046</v>
      </c>
      <c r="M451" s="32">
        <v>0.52</v>
      </c>
      <c r="N451" s="27" t="s">
        <v>33</v>
      </c>
      <c r="O451" s="27" t="s">
        <v>60</v>
      </c>
      <c r="P451" s="27" t="s">
        <v>67</v>
      </c>
      <c r="Q451" s="27" t="s">
        <v>957</v>
      </c>
      <c r="R451" s="33">
        <v>99301</v>
      </c>
      <c r="S451" s="34">
        <v>42042</v>
      </c>
      <c r="T451" s="34">
        <v>42044</v>
      </c>
      <c r="U451" s="29">
        <v>40.6556</v>
      </c>
      <c r="V451" s="26">
        <v>12</v>
      </c>
      <c r="W451" s="29">
        <v>79.39</v>
      </c>
      <c r="X451" s="26">
        <v>91298</v>
      </c>
      <c r="Y451" s="35">
        <v>65.91</v>
      </c>
      <c r="Z451" s="1" t="s">
        <v>3013</v>
      </c>
      <c r="AA451" s="36">
        <v>4.8239999999999998</v>
      </c>
      <c r="AB451" s="54">
        <v>38.107199999999999</v>
      </c>
      <c r="AC451" s="54">
        <v>3.4402333333333335</v>
      </c>
      <c r="AD451" s="36">
        <v>32.3504</v>
      </c>
    </row>
    <row r="452" spans="1:30" s="37" customFormat="1" ht="15.75" customHeight="1" x14ac:dyDescent="0.2">
      <c r="A452" s="26">
        <v>471</v>
      </c>
      <c r="B452" s="27" t="s">
        <v>1062</v>
      </c>
      <c r="C452" s="27" t="s">
        <v>3094</v>
      </c>
      <c r="D452" s="28">
        <v>7.0000000000000007E-2</v>
      </c>
      <c r="E452" s="29">
        <v>179.99</v>
      </c>
      <c r="F452" s="29">
        <v>19.989999999999998</v>
      </c>
      <c r="G452" s="30" t="s">
        <v>87</v>
      </c>
      <c r="H452" s="27" t="s">
        <v>40</v>
      </c>
      <c r="I452" s="27" t="s">
        <v>41</v>
      </c>
      <c r="J452" s="27" t="s">
        <v>42</v>
      </c>
      <c r="K452" s="27" t="s">
        <v>73</v>
      </c>
      <c r="L452" s="31" t="s">
        <v>715</v>
      </c>
      <c r="M452" s="32">
        <v>0.48</v>
      </c>
      <c r="N452" s="27" t="s">
        <v>33</v>
      </c>
      <c r="O452" s="27" t="s">
        <v>34</v>
      </c>
      <c r="P452" s="27" t="s">
        <v>75</v>
      </c>
      <c r="Q452" s="27" t="s">
        <v>361</v>
      </c>
      <c r="R452" s="33">
        <v>30318</v>
      </c>
      <c r="S452" s="34">
        <v>42043</v>
      </c>
      <c r="T452" s="34">
        <v>42043</v>
      </c>
      <c r="U452" s="29">
        <v>-568.53510000000006</v>
      </c>
      <c r="V452" s="26">
        <v>4</v>
      </c>
      <c r="W452" s="29">
        <v>718.03</v>
      </c>
      <c r="X452" s="26">
        <v>3138</v>
      </c>
      <c r="Y452" s="35">
        <v>105.88000000000001</v>
      </c>
      <c r="Z452" s="1" t="s">
        <v>3011</v>
      </c>
      <c r="AA452" s="36">
        <v>50.397200000000005</v>
      </c>
      <c r="AB452" s="54">
        <v>373.37560000000002</v>
      </c>
      <c r="AC452" s="54">
        <v>86.163599999999988</v>
      </c>
      <c r="AD452" s="36">
        <v>1216.1779000000001</v>
      </c>
    </row>
    <row r="453" spans="1:30" s="37" customFormat="1" ht="15.75" customHeight="1" x14ac:dyDescent="0.2">
      <c r="A453" s="26">
        <v>3403</v>
      </c>
      <c r="B453" s="27" t="s">
        <v>1058</v>
      </c>
      <c r="C453" s="27" t="s">
        <v>38</v>
      </c>
      <c r="D453" s="28">
        <v>0.1</v>
      </c>
      <c r="E453" s="29">
        <v>105.98</v>
      </c>
      <c r="F453" s="29">
        <v>13.99</v>
      </c>
      <c r="G453" s="30" t="s">
        <v>87</v>
      </c>
      <c r="H453" s="27" t="s">
        <v>40</v>
      </c>
      <c r="I453" s="27" t="s">
        <v>29</v>
      </c>
      <c r="J453" s="27" t="s">
        <v>126</v>
      </c>
      <c r="K453" s="27" t="s">
        <v>144</v>
      </c>
      <c r="L453" s="31" t="s">
        <v>1059</v>
      </c>
      <c r="M453" s="32">
        <v>0.65</v>
      </c>
      <c r="N453" s="27" t="s">
        <v>33</v>
      </c>
      <c r="O453" s="27" t="s">
        <v>60</v>
      </c>
      <c r="P453" s="27" t="s">
        <v>1060</v>
      </c>
      <c r="Q453" s="27" t="s">
        <v>1061</v>
      </c>
      <c r="R453" s="33">
        <v>82001</v>
      </c>
      <c r="S453" s="34">
        <v>42043</v>
      </c>
      <c r="T453" s="34">
        <v>42046</v>
      </c>
      <c r="U453" s="29">
        <v>349.48500000000001</v>
      </c>
      <c r="V453" s="26">
        <v>5</v>
      </c>
      <c r="W453" s="29">
        <v>506.5</v>
      </c>
      <c r="X453" s="26">
        <v>87530</v>
      </c>
      <c r="Y453" s="35">
        <v>179.92000000000002</v>
      </c>
      <c r="Z453" s="1" t="s">
        <v>3013</v>
      </c>
      <c r="AA453" s="36">
        <v>52.99</v>
      </c>
      <c r="AB453" s="54">
        <v>177.27499999999998</v>
      </c>
      <c r="AC453" s="54">
        <v>65.844999999999999</v>
      </c>
      <c r="AD453" s="36">
        <v>90.034999999999968</v>
      </c>
    </row>
    <row r="454" spans="1:30" s="37" customFormat="1" ht="15.75" customHeight="1" x14ac:dyDescent="0.2">
      <c r="A454" s="26">
        <v>472</v>
      </c>
      <c r="B454" s="27" t="s">
        <v>1063</v>
      </c>
      <c r="C454" s="27" t="s">
        <v>3094</v>
      </c>
      <c r="D454" s="28">
        <v>7.0000000000000007E-2</v>
      </c>
      <c r="E454" s="29">
        <v>179.99</v>
      </c>
      <c r="F454" s="29">
        <v>19.989999999999998</v>
      </c>
      <c r="G454" s="30" t="s">
        <v>87</v>
      </c>
      <c r="H454" s="27" t="s">
        <v>40</v>
      </c>
      <c r="I454" s="27" t="s">
        <v>41</v>
      </c>
      <c r="J454" s="27" t="s">
        <v>42</v>
      </c>
      <c r="K454" s="27" t="s">
        <v>73</v>
      </c>
      <c r="L454" s="31" t="s">
        <v>715</v>
      </c>
      <c r="M454" s="32">
        <v>0.48</v>
      </c>
      <c r="N454" s="27" t="s">
        <v>33</v>
      </c>
      <c r="O454" s="27" t="s">
        <v>111</v>
      </c>
      <c r="P454" s="27" t="s">
        <v>418</v>
      </c>
      <c r="Q454" s="27" t="s">
        <v>1064</v>
      </c>
      <c r="R454" s="33">
        <v>21133</v>
      </c>
      <c r="S454" s="34">
        <v>42043</v>
      </c>
      <c r="T454" s="34">
        <v>42043</v>
      </c>
      <c r="U454" s="29">
        <v>-427.47</v>
      </c>
      <c r="V454" s="26">
        <v>1</v>
      </c>
      <c r="W454" s="29">
        <v>179.51</v>
      </c>
      <c r="X454" s="26">
        <v>88023</v>
      </c>
      <c r="Y454" s="35">
        <v>179.92000000000002</v>
      </c>
      <c r="Z454" s="1" t="s">
        <v>3014</v>
      </c>
      <c r="AA454" s="36">
        <v>12.599300000000001</v>
      </c>
      <c r="AB454" s="54">
        <v>93.345200000000006</v>
      </c>
      <c r="AC454" s="54">
        <v>86.164799999999985</v>
      </c>
      <c r="AD454" s="36">
        <v>574.39069999999992</v>
      </c>
    </row>
    <row r="455" spans="1:30" s="37" customFormat="1" ht="15.75" customHeight="1" x14ac:dyDescent="0.2">
      <c r="A455" s="26">
        <v>1574</v>
      </c>
      <c r="B455" s="27" t="s">
        <v>1068</v>
      </c>
      <c r="C455" s="27" t="s">
        <v>116</v>
      </c>
      <c r="D455" s="28">
        <v>7.0000000000000007E-2</v>
      </c>
      <c r="E455" s="29">
        <v>20.95</v>
      </c>
      <c r="F455" s="29">
        <v>5.99</v>
      </c>
      <c r="G455" s="30" t="s">
        <v>39</v>
      </c>
      <c r="H455" s="27" t="s">
        <v>40</v>
      </c>
      <c r="I455" s="27" t="s">
        <v>41</v>
      </c>
      <c r="J455" s="27" t="s">
        <v>42</v>
      </c>
      <c r="K455" s="27" t="s">
        <v>73</v>
      </c>
      <c r="L455" s="31" t="s">
        <v>253</v>
      </c>
      <c r="M455" s="32">
        <v>0.65</v>
      </c>
      <c r="N455" s="27" t="s">
        <v>33</v>
      </c>
      <c r="O455" s="27" t="s">
        <v>34</v>
      </c>
      <c r="P455" s="27" t="s">
        <v>97</v>
      </c>
      <c r="Q455" s="27" t="s">
        <v>1069</v>
      </c>
      <c r="R455" s="33">
        <v>28314</v>
      </c>
      <c r="S455" s="34">
        <v>42044</v>
      </c>
      <c r="T455" s="34">
        <v>42045</v>
      </c>
      <c r="U455" s="29">
        <v>27.234000000000002</v>
      </c>
      <c r="V455" s="26">
        <v>19</v>
      </c>
      <c r="W455" s="29">
        <v>391.4</v>
      </c>
      <c r="X455" s="26">
        <v>86966</v>
      </c>
      <c r="Y455" s="35">
        <v>5.66</v>
      </c>
      <c r="Z455" s="1" t="s">
        <v>3011</v>
      </c>
      <c r="AA455" s="36">
        <v>27.863500000000002</v>
      </c>
      <c r="AB455" s="54">
        <v>136.98999999999998</v>
      </c>
      <c r="AC455" s="54">
        <v>13.389999999999999</v>
      </c>
      <c r="AD455" s="36">
        <v>330.3125</v>
      </c>
    </row>
    <row r="456" spans="1:30" s="37" customFormat="1" ht="15.75" customHeight="1" x14ac:dyDescent="0.2">
      <c r="A456" s="26">
        <v>2619</v>
      </c>
      <c r="B456" s="27" t="s">
        <v>1070</v>
      </c>
      <c r="C456" s="27" t="s">
        <v>3094</v>
      </c>
      <c r="D456" s="28">
        <v>0.1</v>
      </c>
      <c r="E456" s="29">
        <v>30.98</v>
      </c>
      <c r="F456" s="29">
        <v>8.99</v>
      </c>
      <c r="G456" s="30" t="s">
        <v>39</v>
      </c>
      <c r="H456" s="27" t="s">
        <v>94</v>
      </c>
      <c r="I456" s="27" t="s">
        <v>49</v>
      </c>
      <c r="J456" s="27" t="s">
        <v>50</v>
      </c>
      <c r="K456" s="27" t="s">
        <v>43</v>
      </c>
      <c r="L456" s="31" t="s">
        <v>339</v>
      </c>
      <c r="M456" s="32">
        <v>0.57999999999999996</v>
      </c>
      <c r="N456" s="27" t="s">
        <v>33</v>
      </c>
      <c r="O456" s="27" t="s">
        <v>53</v>
      </c>
      <c r="P456" s="27" t="s">
        <v>1071</v>
      </c>
      <c r="Q456" s="27" t="s">
        <v>1072</v>
      </c>
      <c r="R456" s="33">
        <v>57103</v>
      </c>
      <c r="S456" s="34">
        <v>42044</v>
      </c>
      <c r="T456" s="34">
        <v>42046</v>
      </c>
      <c r="U456" s="29">
        <v>-20.222799999999999</v>
      </c>
      <c r="V456" s="26">
        <v>4</v>
      </c>
      <c r="W456" s="29">
        <v>119.37</v>
      </c>
      <c r="X456" s="26">
        <v>88015</v>
      </c>
      <c r="Y456" s="35">
        <v>4.03</v>
      </c>
      <c r="Z456" s="1" t="s">
        <v>3012</v>
      </c>
      <c r="AA456" s="36">
        <v>12.392000000000001</v>
      </c>
      <c r="AB456" s="54">
        <v>50.135400000000004</v>
      </c>
      <c r="AC456" s="54">
        <v>17.30865</v>
      </c>
      <c r="AD456" s="36">
        <v>118.21080000000001</v>
      </c>
    </row>
    <row r="457" spans="1:30" s="37" customFormat="1" ht="15.75" customHeight="1" x14ac:dyDescent="0.2">
      <c r="A457" s="26">
        <v>1671</v>
      </c>
      <c r="B457" s="27" t="s">
        <v>1066</v>
      </c>
      <c r="C457" s="27" t="s">
        <v>48</v>
      </c>
      <c r="D457" s="28">
        <v>0.1</v>
      </c>
      <c r="E457" s="29">
        <v>4.13</v>
      </c>
      <c r="F457" s="29">
        <v>0.99</v>
      </c>
      <c r="G457" s="30" t="s">
        <v>39</v>
      </c>
      <c r="H457" s="27" t="s">
        <v>3095</v>
      </c>
      <c r="I457" s="27" t="s">
        <v>49</v>
      </c>
      <c r="J457" s="27" t="s">
        <v>152</v>
      </c>
      <c r="K457" s="27" t="s">
        <v>73</v>
      </c>
      <c r="L457" s="31" t="s">
        <v>326</v>
      </c>
      <c r="M457" s="32">
        <v>0.39</v>
      </c>
      <c r="N457" s="27" t="s">
        <v>33</v>
      </c>
      <c r="O457" s="27" t="s">
        <v>34</v>
      </c>
      <c r="P457" s="27" t="s">
        <v>242</v>
      </c>
      <c r="Q457" s="27" t="s">
        <v>1067</v>
      </c>
      <c r="R457" s="33">
        <v>22015</v>
      </c>
      <c r="S457" s="34">
        <v>42044</v>
      </c>
      <c r="T457" s="34">
        <v>42048</v>
      </c>
      <c r="U457" s="29">
        <v>-40.53</v>
      </c>
      <c r="V457" s="26">
        <v>13</v>
      </c>
      <c r="W457" s="29">
        <v>52.16</v>
      </c>
      <c r="X457" s="26">
        <v>86724</v>
      </c>
      <c r="Y457" s="35">
        <v>20.88</v>
      </c>
      <c r="Z457" s="1" t="s">
        <v>3011</v>
      </c>
      <c r="AA457" s="36">
        <v>5.3690000000000007</v>
      </c>
      <c r="AB457" s="54">
        <v>31.817599999999999</v>
      </c>
      <c r="AC457" s="54">
        <v>1.5648</v>
      </c>
      <c r="AD457" s="36">
        <v>86.330999999999989</v>
      </c>
    </row>
    <row r="458" spans="1:30" s="37" customFormat="1" ht="15.75" customHeight="1" x14ac:dyDescent="0.2">
      <c r="A458" s="26">
        <v>2151</v>
      </c>
      <c r="B458" s="27" t="s">
        <v>234</v>
      </c>
      <c r="C458" s="27" t="s">
        <v>38</v>
      </c>
      <c r="D458" s="28">
        <v>0.08</v>
      </c>
      <c r="E458" s="29">
        <v>5.74</v>
      </c>
      <c r="F458" s="29">
        <v>5.01</v>
      </c>
      <c r="G458" s="30" t="s">
        <v>39</v>
      </c>
      <c r="H458" s="27" t="s">
        <v>94</v>
      </c>
      <c r="I458" s="27" t="s">
        <v>49</v>
      </c>
      <c r="J458" s="27" t="s">
        <v>72</v>
      </c>
      <c r="K458" s="27" t="s">
        <v>73</v>
      </c>
      <c r="L458" s="31" t="s">
        <v>1065</v>
      </c>
      <c r="M458" s="32">
        <v>0.39</v>
      </c>
      <c r="N458" s="27" t="s">
        <v>33</v>
      </c>
      <c r="O458" s="27" t="s">
        <v>53</v>
      </c>
      <c r="P458" s="27" t="s">
        <v>213</v>
      </c>
      <c r="Q458" s="27" t="s">
        <v>236</v>
      </c>
      <c r="R458" s="33">
        <v>52001</v>
      </c>
      <c r="S458" s="34">
        <v>42044</v>
      </c>
      <c r="T458" s="34">
        <v>42046</v>
      </c>
      <c r="U458" s="29">
        <v>-6.9308199999999998</v>
      </c>
      <c r="V458" s="26">
        <v>1</v>
      </c>
      <c r="W458" s="29">
        <v>7.21</v>
      </c>
      <c r="X458" s="26">
        <v>90405</v>
      </c>
      <c r="Y458" s="35">
        <v>30.88</v>
      </c>
      <c r="Z458" s="1" t="s">
        <v>3012</v>
      </c>
      <c r="AA458" s="36">
        <v>0.45920000000000005</v>
      </c>
      <c r="AB458" s="54">
        <v>4.3980999999999995</v>
      </c>
      <c r="AC458" s="54">
        <v>2.8119000000000001</v>
      </c>
      <c r="AD458" s="36">
        <v>8.6716200000000008</v>
      </c>
    </row>
    <row r="459" spans="1:30" s="37" customFormat="1" ht="15.75" customHeight="1" x14ac:dyDescent="0.2">
      <c r="A459" s="26">
        <v>2204</v>
      </c>
      <c r="B459" s="27" t="s">
        <v>962</v>
      </c>
      <c r="C459" s="27" t="s">
        <v>26</v>
      </c>
      <c r="D459" s="28">
        <v>0.04</v>
      </c>
      <c r="E459" s="29">
        <v>296.18</v>
      </c>
      <c r="F459" s="29">
        <v>154.12</v>
      </c>
      <c r="G459" s="30" t="s">
        <v>27</v>
      </c>
      <c r="H459" s="27" t="s">
        <v>40</v>
      </c>
      <c r="I459" s="27" t="s">
        <v>29</v>
      </c>
      <c r="J459" s="27" t="s">
        <v>30</v>
      </c>
      <c r="K459" s="27" t="s">
        <v>31</v>
      </c>
      <c r="L459" s="31" t="s">
        <v>1079</v>
      </c>
      <c r="M459" s="32">
        <v>0.76</v>
      </c>
      <c r="N459" s="27" t="s">
        <v>33</v>
      </c>
      <c r="O459" s="27" t="s">
        <v>53</v>
      </c>
      <c r="P459" s="27" t="s">
        <v>84</v>
      </c>
      <c r="Q459" s="27" t="s">
        <v>963</v>
      </c>
      <c r="R459" s="33">
        <v>55337</v>
      </c>
      <c r="S459" s="34">
        <v>42045</v>
      </c>
      <c r="T459" s="34">
        <v>42046</v>
      </c>
      <c r="U459" s="29">
        <v>-87.998040000000003</v>
      </c>
      <c r="V459" s="26">
        <v>20</v>
      </c>
      <c r="W459" s="29">
        <v>5768.12</v>
      </c>
      <c r="X459" s="26">
        <v>86053</v>
      </c>
      <c r="Y459" s="35">
        <v>4.9700000000000006</v>
      </c>
      <c r="Z459" s="1" t="s">
        <v>3012</v>
      </c>
      <c r="AA459" s="36">
        <v>236.94400000000002</v>
      </c>
      <c r="AB459" s="54">
        <v>1384.3488</v>
      </c>
      <c r="AC459" s="54">
        <v>219.18856</v>
      </c>
      <c r="AD459" s="36">
        <v>5465.05404</v>
      </c>
    </row>
    <row r="460" spans="1:30" s="37" customFormat="1" ht="15.75" customHeight="1" x14ac:dyDescent="0.2">
      <c r="A460" s="26">
        <v>1340</v>
      </c>
      <c r="B460" s="27" t="s">
        <v>1084</v>
      </c>
      <c r="C460" s="27" t="s">
        <v>48</v>
      </c>
      <c r="D460" s="28">
        <v>0.02</v>
      </c>
      <c r="E460" s="29">
        <v>55.99</v>
      </c>
      <c r="F460" s="29">
        <v>3.3</v>
      </c>
      <c r="G460" s="30" t="s">
        <v>39</v>
      </c>
      <c r="H460" s="27" t="s">
        <v>71</v>
      </c>
      <c r="I460" s="27" t="s">
        <v>41</v>
      </c>
      <c r="J460" s="27" t="s">
        <v>135</v>
      </c>
      <c r="K460" s="27" t="s">
        <v>43</v>
      </c>
      <c r="L460" s="31" t="s">
        <v>1083</v>
      </c>
      <c r="M460" s="32">
        <v>0.59</v>
      </c>
      <c r="N460" s="27" t="s">
        <v>33</v>
      </c>
      <c r="O460" s="27" t="s">
        <v>111</v>
      </c>
      <c r="P460" s="27" t="s">
        <v>112</v>
      </c>
      <c r="Q460" s="27" t="s">
        <v>113</v>
      </c>
      <c r="R460" s="33">
        <v>10170</v>
      </c>
      <c r="S460" s="34">
        <v>42045</v>
      </c>
      <c r="T460" s="34">
        <v>42045</v>
      </c>
      <c r="U460" s="29">
        <v>366.50700000000001</v>
      </c>
      <c r="V460" s="26">
        <v>63</v>
      </c>
      <c r="W460" s="29">
        <v>2997.07</v>
      </c>
      <c r="X460" s="26">
        <v>21636</v>
      </c>
      <c r="Y460" s="35">
        <v>4.9700000000000006</v>
      </c>
      <c r="Z460" s="1" t="s">
        <v>3014</v>
      </c>
      <c r="AA460" s="36">
        <v>70.54740000000001</v>
      </c>
      <c r="AB460" s="54">
        <v>1228.7987000000001</v>
      </c>
      <c r="AC460" s="54">
        <v>28.067798412698412</v>
      </c>
      <c r="AD460" s="36">
        <v>2556.7156</v>
      </c>
    </row>
    <row r="461" spans="1:30" s="37" customFormat="1" ht="15.75" customHeight="1" x14ac:dyDescent="0.2">
      <c r="A461" s="26">
        <v>1361</v>
      </c>
      <c r="B461" s="27" t="s">
        <v>779</v>
      </c>
      <c r="C461" s="27" t="s">
        <v>26</v>
      </c>
      <c r="D461" s="28">
        <v>0.03</v>
      </c>
      <c r="E461" s="29">
        <v>85.99</v>
      </c>
      <c r="F461" s="29">
        <v>3.3</v>
      </c>
      <c r="G461" s="30" t="s">
        <v>39</v>
      </c>
      <c r="H461" s="27" t="s">
        <v>40</v>
      </c>
      <c r="I461" s="27" t="s">
        <v>41</v>
      </c>
      <c r="J461" s="27" t="s">
        <v>135</v>
      </c>
      <c r="K461" s="27" t="s">
        <v>43</v>
      </c>
      <c r="L461" s="31" t="s">
        <v>514</v>
      </c>
      <c r="M461" s="32">
        <v>0.37</v>
      </c>
      <c r="N461" s="27" t="s">
        <v>33</v>
      </c>
      <c r="O461" s="27" t="s">
        <v>53</v>
      </c>
      <c r="P461" s="27" t="s">
        <v>289</v>
      </c>
      <c r="Q461" s="27" t="s">
        <v>780</v>
      </c>
      <c r="R461" s="33">
        <v>48101</v>
      </c>
      <c r="S461" s="34">
        <v>42045</v>
      </c>
      <c r="T461" s="34">
        <v>42047</v>
      </c>
      <c r="U461" s="29">
        <v>790.54679999999996</v>
      </c>
      <c r="V461" s="26">
        <v>16</v>
      </c>
      <c r="W461" s="29">
        <v>1145.72</v>
      </c>
      <c r="X461" s="26">
        <v>89596</v>
      </c>
      <c r="Y461" s="35">
        <v>13.98</v>
      </c>
      <c r="Z461" s="1" t="s">
        <v>3012</v>
      </c>
      <c r="AA461" s="36">
        <v>41.275199999999998</v>
      </c>
      <c r="AB461" s="54">
        <v>721.80360000000007</v>
      </c>
      <c r="AC461" s="54">
        <v>26.494775000000001</v>
      </c>
      <c r="AD461" s="36">
        <v>310.59800000000007</v>
      </c>
    </row>
    <row r="462" spans="1:30" s="37" customFormat="1" ht="15.75" customHeight="1" x14ac:dyDescent="0.2">
      <c r="A462" s="26">
        <v>1338</v>
      </c>
      <c r="B462" s="27" t="s">
        <v>1082</v>
      </c>
      <c r="C462" s="27" t="s">
        <v>48</v>
      </c>
      <c r="D462" s="28">
        <v>0.02</v>
      </c>
      <c r="E462" s="29">
        <v>55.99</v>
      </c>
      <c r="F462" s="29">
        <v>3.3</v>
      </c>
      <c r="G462" s="30" t="s">
        <v>39</v>
      </c>
      <c r="H462" s="27" t="s">
        <v>71</v>
      </c>
      <c r="I462" s="27" t="s">
        <v>41</v>
      </c>
      <c r="J462" s="27" t="s">
        <v>135</v>
      </c>
      <c r="K462" s="27" t="s">
        <v>43</v>
      </c>
      <c r="L462" s="31" t="s">
        <v>1083</v>
      </c>
      <c r="M462" s="32">
        <v>0.59</v>
      </c>
      <c r="N462" s="27" t="s">
        <v>33</v>
      </c>
      <c r="O462" s="27" t="s">
        <v>53</v>
      </c>
      <c r="P462" s="27" t="s">
        <v>103</v>
      </c>
      <c r="Q462" s="27" t="s">
        <v>533</v>
      </c>
      <c r="R462" s="33">
        <v>60623</v>
      </c>
      <c r="S462" s="34">
        <v>42045</v>
      </c>
      <c r="T462" s="34">
        <v>42045</v>
      </c>
      <c r="U462" s="29">
        <v>525.20039999999995</v>
      </c>
      <c r="V462" s="26">
        <v>16</v>
      </c>
      <c r="W462" s="29">
        <v>761.16</v>
      </c>
      <c r="X462" s="26">
        <v>91244</v>
      </c>
      <c r="Y462" s="35">
        <v>6.4700000000000006</v>
      </c>
      <c r="Z462" s="1" t="s">
        <v>3012</v>
      </c>
      <c r="AA462" s="36">
        <v>17.916800000000002</v>
      </c>
      <c r="AB462" s="54">
        <v>312.07560000000001</v>
      </c>
      <c r="AC462" s="54">
        <v>28.067774999999997</v>
      </c>
      <c r="AD462" s="36">
        <v>214.7428000000001</v>
      </c>
    </row>
    <row r="463" spans="1:30" s="37" customFormat="1" ht="15.75" customHeight="1" x14ac:dyDescent="0.2">
      <c r="A463" s="26">
        <v>1340</v>
      </c>
      <c r="B463" s="27" t="s">
        <v>1084</v>
      </c>
      <c r="C463" s="27" t="s">
        <v>48</v>
      </c>
      <c r="D463" s="28">
        <v>0</v>
      </c>
      <c r="E463" s="29">
        <v>22.38</v>
      </c>
      <c r="F463" s="29">
        <v>15.1</v>
      </c>
      <c r="G463" s="30" t="s">
        <v>87</v>
      </c>
      <c r="H463" s="27" t="s">
        <v>71</v>
      </c>
      <c r="I463" s="27" t="s">
        <v>49</v>
      </c>
      <c r="J463" s="27" t="s">
        <v>72</v>
      </c>
      <c r="K463" s="27" t="s">
        <v>73</v>
      </c>
      <c r="L463" s="31" t="s">
        <v>1085</v>
      </c>
      <c r="M463" s="32">
        <v>0.38</v>
      </c>
      <c r="N463" s="27" t="s">
        <v>33</v>
      </c>
      <c r="O463" s="27" t="s">
        <v>111</v>
      </c>
      <c r="P463" s="27" t="s">
        <v>112</v>
      </c>
      <c r="Q463" s="27" t="s">
        <v>113</v>
      </c>
      <c r="R463" s="33">
        <v>10170</v>
      </c>
      <c r="S463" s="34">
        <v>42045</v>
      </c>
      <c r="T463" s="34">
        <v>42052</v>
      </c>
      <c r="U463" s="29">
        <v>-52.646999999999998</v>
      </c>
      <c r="V463" s="26">
        <v>29</v>
      </c>
      <c r="W463" s="29">
        <v>682.68</v>
      </c>
      <c r="X463" s="26">
        <v>21636</v>
      </c>
      <c r="Y463" s="35">
        <v>85.96</v>
      </c>
      <c r="Z463" s="1" t="s">
        <v>3014</v>
      </c>
      <c r="AA463" s="36">
        <v>0</v>
      </c>
      <c r="AB463" s="54">
        <v>423.26159999999999</v>
      </c>
      <c r="AC463" s="54">
        <v>8.9454620689655169</v>
      </c>
      <c r="AD463" s="36">
        <v>720.22699999999998</v>
      </c>
    </row>
    <row r="464" spans="1:30" s="37" customFormat="1" ht="15.75" customHeight="1" x14ac:dyDescent="0.2">
      <c r="A464" s="26">
        <v>3004</v>
      </c>
      <c r="B464" s="27" t="s">
        <v>1088</v>
      </c>
      <c r="C464" s="27" t="s">
        <v>48</v>
      </c>
      <c r="D464" s="28">
        <v>0.08</v>
      </c>
      <c r="E464" s="29">
        <v>6.48</v>
      </c>
      <c r="F464" s="29">
        <v>6.81</v>
      </c>
      <c r="G464" s="30" t="s">
        <v>39</v>
      </c>
      <c r="H464" s="27" t="s">
        <v>94</v>
      </c>
      <c r="I464" s="27" t="s">
        <v>49</v>
      </c>
      <c r="J464" s="27" t="s">
        <v>88</v>
      </c>
      <c r="K464" s="27" t="s">
        <v>73</v>
      </c>
      <c r="L464" s="31" t="s">
        <v>1089</v>
      </c>
      <c r="M464" s="32">
        <v>0.36</v>
      </c>
      <c r="N464" s="27" t="s">
        <v>33</v>
      </c>
      <c r="O464" s="27" t="s">
        <v>60</v>
      </c>
      <c r="P464" s="27" t="s">
        <v>90</v>
      </c>
      <c r="Q464" s="27" t="s">
        <v>100</v>
      </c>
      <c r="R464" s="33">
        <v>90049</v>
      </c>
      <c r="S464" s="34">
        <v>42045</v>
      </c>
      <c r="T464" s="34">
        <v>42050</v>
      </c>
      <c r="U464" s="29">
        <v>-94.59</v>
      </c>
      <c r="V464" s="26">
        <v>58</v>
      </c>
      <c r="W464" s="29">
        <v>382.33</v>
      </c>
      <c r="X464" s="26">
        <v>54949</v>
      </c>
      <c r="Y464" s="35">
        <v>296.14</v>
      </c>
      <c r="Z464" s="1" t="s">
        <v>3013</v>
      </c>
      <c r="AA464" s="36">
        <v>30.067200000000003</v>
      </c>
      <c r="AB464" s="54">
        <v>244.69119999999998</v>
      </c>
      <c r="AC464" s="54">
        <v>2.3730827586206895</v>
      </c>
      <c r="AD464" s="36">
        <v>440.0428</v>
      </c>
    </row>
    <row r="465" spans="1:30" s="37" customFormat="1" ht="15.75" customHeight="1" x14ac:dyDescent="0.2">
      <c r="A465" s="26">
        <v>3004</v>
      </c>
      <c r="B465" s="27" t="s">
        <v>1088</v>
      </c>
      <c r="C465" s="27" t="s">
        <v>48</v>
      </c>
      <c r="D465" s="28">
        <v>0.09</v>
      </c>
      <c r="E465" s="29">
        <v>20.98</v>
      </c>
      <c r="F465" s="29">
        <v>53.03</v>
      </c>
      <c r="G465" s="30" t="s">
        <v>27</v>
      </c>
      <c r="H465" s="27" t="s">
        <v>94</v>
      </c>
      <c r="I465" s="27" t="s">
        <v>49</v>
      </c>
      <c r="J465" s="27" t="s">
        <v>78</v>
      </c>
      <c r="K465" s="27" t="s">
        <v>58</v>
      </c>
      <c r="L465" s="31" t="s">
        <v>1090</v>
      </c>
      <c r="M465" s="32">
        <v>0.78</v>
      </c>
      <c r="N465" s="27" t="s">
        <v>33</v>
      </c>
      <c r="O465" s="27" t="s">
        <v>60</v>
      </c>
      <c r="P465" s="27" t="s">
        <v>90</v>
      </c>
      <c r="Q465" s="27" t="s">
        <v>100</v>
      </c>
      <c r="R465" s="33">
        <v>90049</v>
      </c>
      <c r="S465" s="34">
        <v>42045</v>
      </c>
      <c r="T465" s="34">
        <v>42052</v>
      </c>
      <c r="U465" s="29">
        <v>-293.74</v>
      </c>
      <c r="V465" s="26">
        <v>13</v>
      </c>
      <c r="W465" s="29">
        <v>356.61</v>
      </c>
      <c r="X465" s="26">
        <v>54949</v>
      </c>
      <c r="Y465" s="35">
        <v>11.3</v>
      </c>
      <c r="Z465" s="1" t="s">
        <v>3013</v>
      </c>
      <c r="AA465" s="36">
        <v>24.546599999999998</v>
      </c>
      <c r="AB465" s="54">
        <v>78.4542</v>
      </c>
      <c r="AC465" s="54">
        <v>21.396600000000003</v>
      </c>
      <c r="AD465" s="36">
        <v>572.77340000000004</v>
      </c>
    </row>
    <row r="466" spans="1:30" s="37" customFormat="1" ht="15.75" customHeight="1" x14ac:dyDescent="0.2">
      <c r="A466" s="26">
        <v>2145</v>
      </c>
      <c r="B466" s="27" t="s">
        <v>1095</v>
      </c>
      <c r="C466" s="27" t="s">
        <v>116</v>
      </c>
      <c r="D466" s="28">
        <v>0</v>
      </c>
      <c r="E466" s="29">
        <v>20.28</v>
      </c>
      <c r="F466" s="29">
        <v>14.39</v>
      </c>
      <c r="G466" s="30" t="s">
        <v>39</v>
      </c>
      <c r="H466" s="27" t="s">
        <v>94</v>
      </c>
      <c r="I466" s="27" t="s">
        <v>29</v>
      </c>
      <c r="J466" s="27" t="s">
        <v>126</v>
      </c>
      <c r="K466" s="27" t="s">
        <v>73</v>
      </c>
      <c r="L466" s="31" t="s">
        <v>710</v>
      </c>
      <c r="M466" s="32">
        <v>0.47</v>
      </c>
      <c r="N466" s="27" t="s">
        <v>33</v>
      </c>
      <c r="O466" s="27" t="s">
        <v>34</v>
      </c>
      <c r="P466" s="27" t="s">
        <v>123</v>
      </c>
      <c r="Q466" s="27" t="s">
        <v>1096</v>
      </c>
      <c r="R466" s="33">
        <v>33311</v>
      </c>
      <c r="S466" s="34">
        <v>42045</v>
      </c>
      <c r="T466" s="34">
        <v>42047</v>
      </c>
      <c r="U466" s="29">
        <v>15.678000000000001</v>
      </c>
      <c r="V466" s="26">
        <v>11</v>
      </c>
      <c r="W466" s="29">
        <v>237.83</v>
      </c>
      <c r="X466" s="26">
        <v>87072</v>
      </c>
      <c r="Y466" s="35">
        <v>55.97</v>
      </c>
      <c r="Z466" s="1" t="s">
        <v>3011</v>
      </c>
      <c r="AA466" s="36">
        <v>0</v>
      </c>
      <c r="AB466" s="54">
        <v>126.04990000000001</v>
      </c>
      <c r="AC466" s="54">
        <v>10.161827272727272</v>
      </c>
      <c r="AD466" s="36">
        <v>207.762</v>
      </c>
    </row>
    <row r="467" spans="1:30" s="37" customFormat="1" ht="15.75" customHeight="1" x14ac:dyDescent="0.2">
      <c r="A467" s="26">
        <v>491</v>
      </c>
      <c r="B467" s="27" t="s">
        <v>1073</v>
      </c>
      <c r="C467" s="27" t="s">
        <v>26</v>
      </c>
      <c r="D467" s="28">
        <v>0.01</v>
      </c>
      <c r="E467" s="29">
        <v>4.9800000000000004</v>
      </c>
      <c r="F467" s="29">
        <v>6.07</v>
      </c>
      <c r="G467" s="30" t="s">
        <v>39</v>
      </c>
      <c r="H467" s="27" t="s">
        <v>40</v>
      </c>
      <c r="I467" s="27" t="s">
        <v>49</v>
      </c>
      <c r="J467" s="27" t="s">
        <v>88</v>
      </c>
      <c r="K467" s="27" t="s">
        <v>73</v>
      </c>
      <c r="L467" s="31" t="s">
        <v>787</v>
      </c>
      <c r="M467" s="32">
        <v>0.36</v>
      </c>
      <c r="N467" s="27" t="s">
        <v>33</v>
      </c>
      <c r="O467" s="27" t="s">
        <v>111</v>
      </c>
      <c r="P467" s="27" t="s">
        <v>112</v>
      </c>
      <c r="Q467" s="27" t="s">
        <v>113</v>
      </c>
      <c r="R467" s="33">
        <v>10154</v>
      </c>
      <c r="S467" s="34">
        <v>42045</v>
      </c>
      <c r="T467" s="34">
        <v>42046</v>
      </c>
      <c r="U467" s="29">
        <v>-69.069999999999993</v>
      </c>
      <c r="V467" s="26">
        <v>41</v>
      </c>
      <c r="W467" s="29">
        <v>217</v>
      </c>
      <c r="X467" s="26">
        <v>10464</v>
      </c>
      <c r="Y467" s="35">
        <v>22.38</v>
      </c>
      <c r="Z467" s="1" t="s">
        <v>3014</v>
      </c>
      <c r="AA467" s="36">
        <v>2.0418000000000003</v>
      </c>
      <c r="AB467" s="54">
        <v>138.88</v>
      </c>
      <c r="AC467" s="54">
        <v>1.9053658536585365</v>
      </c>
      <c r="AD467" s="36">
        <v>277.95819999999998</v>
      </c>
    </row>
    <row r="468" spans="1:30" s="37" customFormat="1" ht="15.75" customHeight="1" x14ac:dyDescent="0.2">
      <c r="A468" s="26">
        <v>1526</v>
      </c>
      <c r="B468" s="27" t="s">
        <v>1080</v>
      </c>
      <c r="C468" s="27" t="s">
        <v>38</v>
      </c>
      <c r="D468" s="28">
        <v>0.04</v>
      </c>
      <c r="E468" s="29">
        <v>11.34</v>
      </c>
      <c r="F468" s="29">
        <v>5.01</v>
      </c>
      <c r="G468" s="30" t="s">
        <v>39</v>
      </c>
      <c r="H468" s="27" t="s">
        <v>71</v>
      </c>
      <c r="I468" s="27" t="s">
        <v>49</v>
      </c>
      <c r="J468" s="27" t="s">
        <v>88</v>
      </c>
      <c r="K468" s="27" t="s">
        <v>73</v>
      </c>
      <c r="L468" s="31" t="s">
        <v>415</v>
      </c>
      <c r="M468" s="32">
        <v>0.36</v>
      </c>
      <c r="N468" s="27" t="s">
        <v>33</v>
      </c>
      <c r="O468" s="27" t="s">
        <v>34</v>
      </c>
      <c r="P468" s="27" t="s">
        <v>164</v>
      </c>
      <c r="Q468" s="27" t="s">
        <v>1081</v>
      </c>
      <c r="R468" s="33">
        <v>35211</v>
      </c>
      <c r="S468" s="34">
        <v>42045</v>
      </c>
      <c r="T468" s="34">
        <v>42046</v>
      </c>
      <c r="U468" s="29">
        <v>-189.22399999999999</v>
      </c>
      <c r="V468" s="26">
        <v>10</v>
      </c>
      <c r="W468" s="29">
        <v>115.53</v>
      </c>
      <c r="X468" s="26">
        <v>86812</v>
      </c>
      <c r="Y468" s="35">
        <v>5.91</v>
      </c>
      <c r="Z468" s="1" t="s">
        <v>3011</v>
      </c>
      <c r="AA468" s="36">
        <v>4.5359999999999996</v>
      </c>
      <c r="AB468" s="54">
        <v>73.9392</v>
      </c>
      <c r="AC468" s="54">
        <v>4.1590800000000003</v>
      </c>
      <c r="AD468" s="36">
        <v>295.20799999999997</v>
      </c>
    </row>
    <row r="469" spans="1:30" s="37" customFormat="1" ht="15.75" customHeight="1" x14ac:dyDescent="0.2">
      <c r="A469" s="26">
        <v>3006</v>
      </c>
      <c r="B469" s="27" t="s">
        <v>1091</v>
      </c>
      <c r="C469" s="27" t="s">
        <v>48</v>
      </c>
      <c r="D469" s="28">
        <v>0.08</v>
      </c>
      <c r="E469" s="29">
        <v>6.48</v>
      </c>
      <c r="F469" s="29">
        <v>6.81</v>
      </c>
      <c r="G469" s="30" t="s">
        <v>39</v>
      </c>
      <c r="H469" s="27" t="s">
        <v>94</v>
      </c>
      <c r="I469" s="27" t="s">
        <v>49</v>
      </c>
      <c r="J469" s="27" t="s">
        <v>88</v>
      </c>
      <c r="K469" s="27" t="s">
        <v>73</v>
      </c>
      <c r="L469" s="31" t="s">
        <v>1089</v>
      </c>
      <c r="M469" s="32">
        <v>0.36</v>
      </c>
      <c r="N469" s="27" t="s">
        <v>33</v>
      </c>
      <c r="O469" s="27" t="s">
        <v>60</v>
      </c>
      <c r="P469" s="27" t="s">
        <v>490</v>
      </c>
      <c r="Q469" s="27" t="s">
        <v>1092</v>
      </c>
      <c r="R469" s="33">
        <v>83402</v>
      </c>
      <c r="S469" s="34">
        <v>42045</v>
      </c>
      <c r="T469" s="34">
        <v>42050</v>
      </c>
      <c r="U469" s="29">
        <v>-49.186799999999998</v>
      </c>
      <c r="V469" s="26">
        <v>14</v>
      </c>
      <c r="W469" s="29">
        <v>92.29</v>
      </c>
      <c r="X469" s="26">
        <v>91388</v>
      </c>
      <c r="Y469" s="35">
        <v>55.97</v>
      </c>
      <c r="Z469" s="1" t="s">
        <v>3013</v>
      </c>
      <c r="AA469" s="36">
        <v>7.2576000000000009</v>
      </c>
      <c r="AB469" s="54">
        <v>59.065600000000003</v>
      </c>
      <c r="AC469" s="54">
        <v>2.3731714285714287</v>
      </c>
      <c r="AD469" s="36">
        <v>127.4092</v>
      </c>
    </row>
    <row r="470" spans="1:30" s="37" customFormat="1" ht="15.75" customHeight="1" x14ac:dyDescent="0.2">
      <c r="A470" s="26">
        <v>3006</v>
      </c>
      <c r="B470" s="27" t="s">
        <v>1091</v>
      </c>
      <c r="C470" s="27" t="s">
        <v>48</v>
      </c>
      <c r="D470" s="28">
        <v>0.09</v>
      </c>
      <c r="E470" s="29">
        <v>20.98</v>
      </c>
      <c r="F470" s="29">
        <v>53.03</v>
      </c>
      <c r="G470" s="30" t="s">
        <v>27</v>
      </c>
      <c r="H470" s="27" t="s">
        <v>94</v>
      </c>
      <c r="I470" s="27" t="s">
        <v>49</v>
      </c>
      <c r="J470" s="27" t="s">
        <v>78</v>
      </c>
      <c r="K470" s="27" t="s">
        <v>58</v>
      </c>
      <c r="L470" s="31" t="s">
        <v>1090</v>
      </c>
      <c r="M470" s="32">
        <v>0.78</v>
      </c>
      <c r="N470" s="27" t="s">
        <v>33</v>
      </c>
      <c r="O470" s="27" t="s">
        <v>60</v>
      </c>
      <c r="P470" s="27" t="s">
        <v>490</v>
      </c>
      <c r="Q470" s="27" t="s">
        <v>1092</v>
      </c>
      <c r="R470" s="33">
        <v>83402</v>
      </c>
      <c r="S470" s="34">
        <v>42045</v>
      </c>
      <c r="T470" s="34">
        <v>42052</v>
      </c>
      <c r="U470" s="29">
        <v>-152.7448</v>
      </c>
      <c r="V470" s="26">
        <v>3</v>
      </c>
      <c r="W470" s="29">
        <v>82.29</v>
      </c>
      <c r="X470" s="26">
        <v>91388</v>
      </c>
      <c r="Y470" s="35">
        <v>5.91</v>
      </c>
      <c r="Z470" s="1" t="s">
        <v>3013</v>
      </c>
      <c r="AA470" s="36">
        <v>5.6646000000000001</v>
      </c>
      <c r="AB470" s="54">
        <v>18.1038</v>
      </c>
      <c r="AC470" s="54">
        <v>21.395400000000002</v>
      </c>
      <c r="AD470" s="36">
        <v>176.34019999999998</v>
      </c>
    </row>
    <row r="471" spans="1:30" s="37" customFormat="1" ht="15.75" customHeight="1" x14ac:dyDescent="0.2">
      <c r="A471" s="26">
        <v>1340</v>
      </c>
      <c r="B471" s="27" t="s">
        <v>1084</v>
      </c>
      <c r="C471" s="27" t="s">
        <v>48</v>
      </c>
      <c r="D471" s="28">
        <v>7.0000000000000007E-2</v>
      </c>
      <c r="E471" s="29">
        <v>5.98</v>
      </c>
      <c r="F471" s="29">
        <v>4.6900000000000004</v>
      </c>
      <c r="G471" s="30" t="s">
        <v>39</v>
      </c>
      <c r="H471" s="27" t="s">
        <v>71</v>
      </c>
      <c r="I471" s="27" t="s">
        <v>49</v>
      </c>
      <c r="J471" s="27" t="s">
        <v>78</v>
      </c>
      <c r="K471" s="27" t="s">
        <v>73</v>
      </c>
      <c r="L471" s="31" t="s">
        <v>229</v>
      </c>
      <c r="M471" s="32">
        <v>0.68</v>
      </c>
      <c r="N471" s="27" t="s">
        <v>33</v>
      </c>
      <c r="O471" s="27" t="s">
        <v>111</v>
      </c>
      <c r="P471" s="27" t="s">
        <v>112</v>
      </c>
      <c r="Q471" s="27" t="s">
        <v>113</v>
      </c>
      <c r="R471" s="33">
        <v>10170</v>
      </c>
      <c r="S471" s="34">
        <v>42045</v>
      </c>
      <c r="T471" s="34">
        <v>42050</v>
      </c>
      <c r="U471" s="29">
        <v>-24.44</v>
      </c>
      <c r="V471" s="26">
        <v>11</v>
      </c>
      <c r="W471" s="29">
        <v>73.44</v>
      </c>
      <c r="X471" s="26">
        <v>21636</v>
      </c>
      <c r="Y471" s="35">
        <v>6.4</v>
      </c>
      <c r="Z471" s="1" t="s">
        <v>3014</v>
      </c>
      <c r="AA471" s="36">
        <v>4.6046000000000014</v>
      </c>
      <c r="AB471" s="54">
        <v>23.500799999999995</v>
      </c>
      <c r="AC471" s="54">
        <v>4.5399272727272724</v>
      </c>
      <c r="AD471" s="36">
        <v>88.585399999999993</v>
      </c>
    </row>
    <row r="472" spans="1:30" s="37" customFormat="1" ht="15.75" customHeight="1" x14ac:dyDescent="0.2">
      <c r="A472" s="26">
        <v>1361</v>
      </c>
      <c r="B472" s="27" t="s">
        <v>779</v>
      </c>
      <c r="C472" s="27" t="s">
        <v>26</v>
      </c>
      <c r="D472" s="28">
        <v>0.01</v>
      </c>
      <c r="E472" s="29">
        <v>6.48</v>
      </c>
      <c r="F472" s="29">
        <v>6.22</v>
      </c>
      <c r="G472" s="30" t="s">
        <v>87</v>
      </c>
      <c r="H472" s="27" t="s">
        <v>40</v>
      </c>
      <c r="I472" s="27" t="s">
        <v>49</v>
      </c>
      <c r="J472" s="27" t="s">
        <v>88</v>
      </c>
      <c r="K472" s="27" t="s">
        <v>73</v>
      </c>
      <c r="L472" s="31" t="s">
        <v>1078</v>
      </c>
      <c r="M472" s="32">
        <v>0.37</v>
      </c>
      <c r="N472" s="27" t="s">
        <v>33</v>
      </c>
      <c r="O472" s="27" t="s">
        <v>53</v>
      </c>
      <c r="P472" s="27" t="s">
        <v>289</v>
      </c>
      <c r="Q472" s="27" t="s">
        <v>780</v>
      </c>
      <c r="R472" s="33">
        <v>48101</v>
      </c>
      <c r="S472" s="34">
        <v>42045</v>
      </c>
      <c r="T472" s="34">
        <v>42046</v>
      </c>
      <c r="U472" s="29">
        <v>-15.6312</v>
      </c>
      <c r="V472" s="26">
        <v>9</v>
      </c>
      <c r="W472" s="29">
        <v>69.459999999999994</v>
      </c>
      <c r="X472" s="26">
        <v>89596</v>
      </c>
      <c r="Y472" s="35">
        <v>20.89</v>
      </c>
      <c r="Z472" s="1" t="s">
        <v>3012</v>
      </c>
      <c r="AA472" s="36">
        <v>0.58320000000000005</v>
      </c>
      <c r="AB472" s="54">
        <v>43.759799999999998</v>
      </c>
      <c r="AC472" s="54">
        <v>2.8555777777777775</v>
      </c>
      <c r="AD472" s="36">
        <v>78.287999999999997</v>
      </c>
    </row>
    <row r="473" spans="1:30" s="37" customFormat="1" ht="15.75" customHeight="1" x14ac:dyDescent="0.2">
      <c r="A473" s="26">
        <v>494</v>
      </c>
      <c r="B473" s="27" t="s">
        <v>1074</v>
      </c>
      <c r="C473" s="27" t="s">
        <v>26</v>
      </c>
      <c r="D473" s="28">
        <v>0.01</v>
      </c>
      <c r="E473" s="29">
        <v>4.9800000000000004</v>
      </c>
      <c r="F473" s="29">
        <v>6.07</v>
      </c>
      <c r="G473" s="30" t="s">
        <v>39</v>
      </c>
      <c r="H473" s="27" t="s">
        <v>40</v>
      </c>
      <c r="I473" s="27" t="s">
        <v>49</v>
      </c>
      <c r="J473" s="27" t="s">
        <v>88</v>
      </c>
      <c r="K473" s="27" t="s">
        <v>73</v>
      </c>
      <c r="L473" s="31" t="s">
        <v>787</v>
      </c>
      <c r="M473" s="32">
        <v>0.36</v>
      </c>
      <c r="N473" s="27" t="s">
        <v>33</v>
      </c>
      <c r="O473" s="27" t="s">
        <v>60</v>
      </c>
      <c r="P473" s="27" t="s">
        <v>67</v>
      </c>
      <c r="Q473" s="27" t="s">
        <v>142</v>
      </c>
      <c r="R473" s="33">
        <v>98115</v>
      </c>
      <c r="S473" s="34">
        <v>42045</v>
      </c>
      <c r="T473" s="34">
        <v>42046</v>
      </c>
      <c r="U473" s="29">
        <v>-35.916400000000003</v>
      </c>
      <c r="V473" s="26">
        <v>10</v>
      </c>
      <c r="W473" s="29">
        <v>52.93</v>
      </c>
      <c r="X473" s="26">
        <v>88907</v>
      </c>
      <c r="Y473" s="35">
        <v>6.4</v>
      </c>
      <c r="Z473" s="1" t="s">
        <v>3013</v>
      </c>
      <c r="AA473" s="36">
        <v>0.49800000000000005</v>
      </c>
      <c r="AB473" s="54">
        <v>33.8752</v>
      </c>
      <c r="AC473" s="54">
        <v>1.9054800000000001</v>
      </c>
      <c r="AD473" s="36">
        <v>82.278400000000005</v>
      </c>
    </row>
    <row r="474" spans="1:30" s="37" customFormat="1" ht="15.75" customHeight="1" x14ac:dyDescent="0.2">
      <c r="A474" s="26">
        <v>1633</v>
      </c>
      <c r="B474" s="27" t="s">
        <v>1097</v>
      </c>
      <c r="C474" s="27" t="s">
        <v>3094</v>
      </c>
      <c r="D474" s="28">
        <v>0.03</v>
      </c>
      <c r="E474" s="29">
        <v>5.98</v>
      </c>
      <c r="F474" s="29">
        <v>3.85</v>
      </c>
      <c r="G474" s="30" t="s">
        <v>39</v>
      </c>
      <c r="H474" s="27" t="s">
        <v>71</v>
      </c>
      <c r="I474" s="27" t="s">
        <v>41</v>
      </c>
      <c r="J474" s="27" t="s">
        <v>42</v>
      </c>
      <c r="K474" s="27" t="s">
        <v>43</v>
      </c>
      <c r="L474" s="31" t="s">
        <v>1098</v>
      </c>
      <c r="M474" s="32">
        <v>0.68</v>
      </c>
      <c r="N474" s="27" t="s">
        <v>33</v>
      </c>
      <c r="O474" s="27" t="s">
        <v>34</v>
      </c>
      <c r="P474" s="27" t="s">
        <v>35</v>
      </c>
      <c r="Q474" s="27" t="s">
        <v>1099</v>
      </c>
      <c r="R474" s="33">
        <v>38637</v>
      </c>
      <c r="S474" s="34">
        <v>42045</v>
      </c>
      <c r="T474" s="34">
        <v>42047</v>
      </c>
      <c r="U474" s="29">
        <v>-76.106800000000007</v>
      </c>
      <c r="V474" s="26">
        <v>6</v>
      </c>
      <c r="W474" s="29">
        <v>38.54</v>
      </c>
      <c r="X474" s="26">
        <v>90531</v>
      </c>
      <c r="Y474" s="35">
        <v>20.89</v>
      </c>
      <c r="Z474" s="1" t="s">
        <v>3011</v>
      </c>
      <c r="AA474" s="36">
        <v>1.0764</v>
      </c>
      <c r="AB474" s="54">
        <v>12.332799999999997</v>
      </c>
      <c r="AC474" s="54">
        <v>4.367866666666667</v>
      </c>
      <c r="AD474" s="36">
        <v>109.72040000000001</v>
      </c>
    </row>
    <row r="475" spans="1:30" s="37" customFormat="1" ht="15.75" customHeight="1" x14ac:dyDescent="0.2">
      <c r="A475" s="26">
        <v>1132</v>
      </c>
      <c r="B475" s="27" t="s">
        <v>1093</v>
      </c>
      <c r="C475" s="27" t="s">
        <v>116</v>
      </c>
      <c r="D475" s="28">
        <v>0.06</v>
      </c>
      <c r="E475" s="29">
        <v>6.37</v>
      </c>
      <c r="F475" s="29">
        <v>5.19</v>
      </c>
      <c r="G475" s="30" t="s">
        <v>39</v>
      </c>
      <c r="H475" s="27" t="s">
        <v>94</v>
      </c>
      <c r="I475" s="27" t="s">
        <v>49</v>
      </c>
      <c r="J475" s="27" t="s">
        <v>72</v>
      </c>
      <c r="K475" s="27" t="s">
        <v>73</v>
      </c>
      <c r="L475" s="31" t="s">
        <v>907</v>
      </c>
      <c r="M475" s="32">
        <v>0.38</v>
      </c>
      <c r="N475" s="27" t="s">
        <v>33</v>
      </c>
      <c r="O475" s="27" t="s">
        <v>53</v>
      </c>
      <c r="P475" s="27" t="s">
        <v>187</v>
      </c>
      <c r="Q475" s="27" t="s">
        <v>1094</v>
      </c>
      <c r="R475" s="33">
        <v>76039</v>
      </c>
      <c r="S475" s="34">
        <v>42045</v>
      </c>
      <c r="T475" s="34">
        <v>42046</v>
      </c>
      <c r="U475" s="29">
        <v>-48.219499999999996</v>
      </c>
      <c r="V475" s="26">
        <v>6</v>
      </c>
      <c r="W475" s="29">
        <v>37.700000000000003</v>
      </c>
      <c r="X475" s="26">
        <v>88101</v>
      </c>
      <c r="Y475" s="35">
        <v>6.3100000000000005</v>
      </c>
      <c r="Z475" s="1" t="s">
        <v>3012</v>
      </c>
      <c r="AA475" s="36">
        <v>2.2931999999999997</v>
      </c>
      <c r="AB475" s="54">
        <v>23.374000000000002</v>
      </c>
      <c r="AC475" s="54">
        <v>2.387666666666667</v>
      </c>
      <c r="AD475" s="36">
        <v>78.436300000000003</v>
      </c>
    </row>
    <row r="476" spans="1:30" s="37" customFormat="1" ht="15.75" customHeight="1" x14ac:dyDescent="0.2">
      <c r="A476" s="26">
        <v>1267</v>
      </c>
      <c r="B476" s="27" t="s">
        <v>1075</v>
      </c>
      <c r="C476" s="27" t="s">
        <v>26</v>
      </c>
      <c r="D476" s="28">
        <v>0.01</v>
      </c>
      <c r="E476" s="29">
        <v>13.99</v>
      </c>
      <c r="F476" s="29">
        <v>7.51</v>
      </c>
      <c r="G476" s="30" t="s">
        <v>39</v>
      </c>
      <c r="H476" s="27" t="s">
        <v>94</v>
      </c>
      <c r="I476" s="27" t="s">
        <v>41</v>
      </c>
      <c r="J476" s="27" t="s">
        <v>57</v>
      </c>
      <c r="K476" s="27" t="s">
        <v>144</v>
      </c>
      <c r="L476" s="31" t="s">
        <v>1076</v>
      </c>
      <c r="M476" s="32">
        <v>0.39</v>
      </c>
      <c r="N476" s="27" t="s">
        <v>33</v>
      </c>
      <c r="O476" s="27" t="s">
        <v>34</v>
      </c>
      <c r="P476" s="27" t="s">
        <v>123</v>
      </c>
      <c r="Q476" s="27" t="s">
        <v>1077</v>
      </c>
      <c r="R476" s="33">
        <v>33433</v>
      </c>
      <c r="S476" s="34">
        <v>42045</v>
      </c>
      <c r="T476" s="34">
        <v>42046</v>
      </c>
      <c r="U476" s="29">
        <v>533.74199999999996</v>
      </c>
      <c r="V476" s="26">
        <v>2</v>
      </c>
      <c r="W476" s="29">
        <v>29.85</v>
      </c>
      <c r="X476" s="26">
        <v>89514</v>
      </c>
      <c r="Y476" s="35">
        <v>20.28</v>
      </c>
      <c r="Z476" s="1" t="s">
        <v>3011</v>
      </c>
      <c r="AA476" s="36">
        <v>0.27979999999999999</v>
      </c>
      <c r="AB476" s="54">
        <v>18.208500000000001</v>
      </c>
      <c r="AC476" s="54">
        <v>5.8207500000000003</v>
      </c>
      <c r="AD476" s="36">
        <v>-511.68179999999995</v>
      </c>
    </row>
    <row r="477" spans="1:30" s="37" customFormat="1" ht="15.75" customHeight="1" x14ac:dyDescent="0.2">
      <c r="A477" s="26">
        <v>1341</v>
      </c>
      <c r="B477" s="27" t="s">
        <v>1086</v>
      </c>
      <c r="C477" s="27" t="s">
        <v>48</v>
      </c>
      <c r="D477" s="28">
        <v>7.0000000000000007E-2</v>
      </c>
      <c r="E477" s="29">
        <v>5.98</v>
      </c>
      <c r="F477" s="29">
        <v>4.6900000000000004</v>
      </c>
      <c r="G477" s="30" t="s">
        <v>39</v>
      </c>
      <c r="H477" s="27" t="s">
        <v>71</v>
      </c>
      <c r="I477" s="27" t="s">
        <v>49</v>
      </c>
      <c r="J477" s="27" t="s">
        <v>78</v>
      </c>
      <c r="K477" s="27" t="s">
        <v>73</v>
      </c>
      <c r="L477" s="31" t="s">
        <v>229</v>
      </c>
      <c r="M477" s="32">
        <v>0.68</v>
      </c>
      <c r="N477" s="27" t="s">
        <v>33</v>
      </c>
      <c r="O477" s="27" t="s">
        <v>111</v>
      </c>
      <c r="P477" s="27" t="s">
        <v>320</v>
      </c>
      <c r="Q477" s="27" t="s">
        <v>1087</v>
      </c>
      <c r="R477" s="33">
        <v>17201</v>
      </c>
      <c r="S477" s="34">
        <v>42045</v>
      </c>
      <c r="T477" s="34">
        <v>42050</v>
      </c>
      <c r="U477" s="29">
        <v>-12.7088</v>
      </c>
      <c r="V477" s="26">
        <v>3</v>
      </c>
      <c r="W477" s="29">
        <v>20.03</v>
      </c>
      <c r="X477" s="26">
        <v>91244</v>
      </c>
      <c r="Y477" s="35">
        <v>5.95</v>
      </c>
      <c r="Z477" s="1" t="s">
        <v>3014</v>
      </c>
      <c r="AA477" s="36">
        <v>1.2558000000000002</v>
      </c>
      <c r="AB477" s="54">
        <v>6.4095999999999993</v>
      </c>
      <c r="AC477" s="54">
        <v>4.5401333333333334</v>
      </c>
      <c r="AD477" s="36">
        <v>26.792999999999999</v>
      </c>
    </row>
    <row r="478" spans="1:30" s="37" customFormat="1" ht="15.75" customHeight="1" x14ac:dyDescent="0.2">
      <c r="A478" s="26">
        <v>2303</v>
      </c>
      <c r="B478" s="27" t="s">
        <v>156</v>
      </c>
      <c r="C478" s="27" t="s">
        <v>26</v>
      </c>
      <c r="D478" s="28">
        <v>7.0000000000000007E-2</v>
      </c>
      <c r="E478" s="29">
        <v>270.98</v>
      </c>
      <c r="F478" s="29">
        <v>50</v>
      </c>
      <c r="G478" s="30" t="s">
        <v>27</v>
      </c>
      <c r="H478" s="27" t="s">
        <v>94</v>
      </c>
      <c r="I478" s="27" t="s">
        <v>29</v>
      </c>
      <c r="J478" s="27" t="s">
        <v>109</v>
      </c>
      <c r="K478" s="27" t="s">
        <v>58</v>
      </c>
      <c r="L478" s="31" t="s">
        <v>1100</v>
      </c>
      <c r="M478" s="32">
        <v>0.77</v>
      </c>
      <c r="N478" s="27" t="s">
        <v>33</v>
      </c>
      <c r="O478" s="27" t="s">
        <v>111</v>
      </c>
      <c r="P478" s="27" t="s">
        <v>112</v>
      </c>
      <c r="Q478" s="27" t="s">
        <v>113</v>
      </c>
      <c r="R478" s="33">
        <v>10011</v>
      </c>
      <c r="S478" s="34">
        <v>42046</v>
      </c>
      <c r="T478" s="34">
        <v>42048</v>
      </c>
      <c r="U478" s="29">
        <v>-96.05</v>
      </c>
      <c r="V478" s="26">
        <v>36</v>
      </c>
      <c r="W478" s="29">
        <v>9757.48</v>
      </c>
      <c r="X478" s="26">
        <v>47493</v>
      </c>
      <c r="Y478" s="35">
        <v>270.91000000000003</v>
      </c>
      <c r="Z478" s="1" t="s">
        <v>3014</v>
      </c>
      <c r="AA478" s="36">
        <v>682.8696000000001</v>
      </c>
      <c r="AB478" s="54">
        <v>2244.2203999999997</v>
      </c>
      <c r="AC478" s="54">
        <v>208.70165555555553</v>
      </c>
      <c r="AD478" s="36">
        <v>9120.6603999999988</v>
      </c>
    </row>
    <row r="479" spans="1:30" s="37" customFormat="1" ht="15.75" customHeight="1" x14ac:dyDescent="0.2">
      <c r="A479" s="26">
        <v>2489</v>
      </c>
      <c r="B479" s="27" t="s">
        <v>451</v>
      </c>
      <c r="C479" s="27" t="s">
        <v>38</v>
      </c>
      <c r="D479" s="28">
        <v>0.01</v>
      </c>
      <c r="E479" s="29">
        <v>2036.48</v>
      </c>
      <c r="F479" s="29">
        <v>14.7</v>
      </c>
      <c r="G479" s="30" t="s">
        <v>27</v>
      </c>
      <c r="H479" s="27" t="s">
        <v>40</v>
      </c>
      <c r="I479" s="27" t="s">
        <v>41</v>
      </c>
      <c r="J479" s="27" t="s">
        <v>57</v>
      </c>
      <c r="K479" s="27" t="s">
        <v>58</v>
      </c>
      <c r="L479" s="31" t="s">
        <v>59</v>
      </c>
      <c r="M479" s="32">
        <v>0.55000000000000004</v>
      </c>
      <c r="N479" s="27" t="s">
        <v>33</v>
      </c>
      <c r="O479" s="27" t="s">
        <v>60</v>
      </c>
      <c r="P479" s="27" t="s">
        <v>90</v>
      </c>
      <c r="Q479" s="27" t="s">
        <v>453</v>
      </c>
      <c r="R479" s="33">
        <v>94521</v>
      </c>
      <c r="S479" s="34">
        <v>42046</v>
      </c>
      <c r="T479" s="34">
        <v>42048</v>
      </c>
      <c r="U479" s="29">
        <v>-1596.7457999999999</v>
      </c>
      <c r="V479" s="26">
        <v>2</v>
      </c>
      <c r="W479" s="29">
        <v>3786.84</v>
      </c>
      <c r="X479" s="26">
        <v>86883</v>
      </c>
      <c r="Y479" s="35">
        <v>270.91000000000003</v>
      </c>
      <c r="Z479" s="1" t="s">
        <v>3013</v>
      </c>
      <c r="AA479" s="36">
        <v>40.729599999999998</v>
      </c>
      <c r="AB479" s="54">
        <v>1704.078</v>
      </c>
      <c r="AC479" s="54">
        <v>1041.3810000000001</v>
      </c>
      <c r="AD479" s="36">
        <v>5328.1562000000004</v>
      </c>
    </row>
    <row r="480" spans="1:30" s="37" customFormat="1" ht="15.75" customHeight="1" x14ac:dyDescent="0.2">
      <c r="A480" s="26">
        <v>2072</v>
      </c>
      <c r="B480" s="27" t="s">
        <v>920</v>
      </c>
      <c r="C480" s="27" t="s">
        <v>38</v>
      </c>
      <c r="D480" s="28">
        <v>0.09</v>
      </c>
      <c r="E480" s="29">
        <v>260.98</v>
      </c>
      <c r="F480" s="29">
        <v>41.91</v>
      </c>
      <c r="G480" s="30" t="s">
        <v>27</v>
      </c>
      <c r="H480" s="27" t="s">
        <v>94</v>
      </c>
      <c r="I480" s="27" t="s">
        <v>29</v>
      </c>
      <c r="J480" s="27" t="s">
        <v>117</v>
      </c>
      <c r="K480" s="27" t="s">
        <v>31</v>
      </c>
      <c r="L480" s="31" t="s">
        <v>435</v>
      </c>
      <c r="M480" s="32">
        <v>0.59</v>
      </c>
      <c r="N480" s="27" t="s">
        <v>33</v>
      </c>
      <c r="O480" s="27" t="s">
        <v>53</v>
      </c>
      <c r="P480" s="27" t="s">
        <v>289</v>
      </c>
      <c r="Q480" s="27" t="s">
        <v>922</v>
      </c>
      <c r="R480" s="33">
        <v>48505</v>
      </c>
      <c r="S480" s="34">
        <v>42046</v>
      </c>
      <c r="T480" s="34">
        <v>42048</v>
      </c>
      <c r="U480" s="29">
        <v>1307.2692</v>
      </c>
      <c r="V480" s="26">
        <v>14</v>
      </c>
      <c r="W480" s="29">
        <v>3377.06</v>
      </c>
      <c r="X480" s="26">
        <v>88556</v>
      </c>
      <c r="Y480" s="35">
        <v>4.03</v>
      </c>
      <c r="Z480" s="1" t="s">
        <v>3012</v>
      </c>
      <c r="AA480" s="36">
        <v>328.83479999999997</v>
      </c>
      <c r="AB480" s="54">
        <v>1384.5946000000001</v>
      </c>
      <c r="AC480" s="54">
        <v>142.31895714285713</v>
      </c>
      <c r="AD480" s="36">
        <v>1699.0459999999998</v>
      </c>
    </row>
    <row r="481" spans="1:30" s="37" customFormat="1" ht="15.75" customHeight="1" x14ac:dyDescent="0.2">
      <c r="A481" s="26">
        <v>2302</v>
      </c>
      <c r="B481" s="27" t="s">
        <v>151</v>
      </c>
      <c r="C481" s="27" t="s">
        <v>26</v>
      </c>
      <c r="D481" s="28">
        <v>7.0000000000000007E-2</v>
      </c>
      <c r="E481" s="29">
        <v>270.98</v>
      </c>
      <c r="F481" s="29">
        <v>50</v>
      </c>
      <c r="G481" s="30" t="s">
        <v>27</v>
      </c>
      <c r="H481" s="27" t="s">
        <v>94</v>
      </c>
      <c r="I481" s="27" t="s">
        <v>29</v>
      </c>
      <c r="J481" s="27" t="s">
        <v>109</v>
      </c>
      <c r="K481" s="27" t="s">
        <v>58</v>
      </c>
      <c r="L481" s="31" t="s">
        <v>1100</v>
      </c>
      <c r="M481" s="32">
        <v>0.77</v>
      </c>
      <c r="N481" s="27" t="s">
        <v>33</v>
      </c>
      <c r="O481" s="27" t="s">
        <v>34</v>
      </c>
      <c r="P481" s="27" t="s">
        <v>123</v>
      </c>
      <c r="Q481" s="27" t="s">
        <v>154</v>
      </c>
      <c r="R481" s="33">
        <v>32404</v>
      </c>
      <c r="S481" s="34">
        <v>42046</v>
      </c>
      <c r="T481" s="34">
        <v>42048</v>
      </c>
      <c r="U481" s="29">
        <v>27.725999999999999</v>
      </c>
      <c r="V481" s="26">
        <v>9</v>
      </c>
      <c r="W481" s="29">
        <v>2439.37</v>
      </c>
      <c r="X481" s="26">
        <v>87695</v>
      </c>
      <c r="Y481" s="35">
        <v>4.9400000000000004</v>
      </c>
      <c r="Z481" s="1" t="s">
        <v>3011</v>
      </c>
      <c r="AA481" s="36">
        <v>170.71740000000003</v>
      </c>
      <c r="AB481" s="54">
        <v>561.05509999999992</v>
      </c>
      <c r="AC481" s="54">
        <v>208.70165555555553</v>
      </c>
      <c r="AD481" s="36">
        <v>2190.9265999999998</v>
      </c>
    </row>
    <row r="482" spans="1:30" s="37" customFormat="1" ht="15.75" customHeight="1" x14ac:dyDescent="0.2">
      <c r="A482" s="26">
        <v>2778</v>
      </c>
      <c r="B482" s="27" t="s">
        <v>1106</v>
      </c>
      <c r="C482" s="27" t="s">
        <v>38</v>
      </c>
      <c r="D482" s="28">
        <v>0.05</v>
      </c>
      <c r="E482" s="29">
        <v>205.99</v>
      </c>
      <c r="F482" s="29">
        <v>8.99</v>
      </c>
      <c r="G482" s="30" t="s">
        <v>87</v>
      </c>
      <c r="H482" s="27" t="s">
        <v>40</v>
      </c>
      <c r="I482" s="27" t="s">
        <v>41</v>
      </c>
      <c r="J482" s="27" t="s">
        <v>135</v>
      </c>
      <c r="K482" s="27" t="s">
        <v>73</v>
      </c>
      <c r="L482" s="31" t="s">
        <v>1107</v>
      </c>
      <c r="M482" s="32">
        <v>0.57999999999999996</v>
      </c>
      <c r="N482" s="27" t="s">
        <v>33</v>
      </c>
      <c r="O482" s="27" t="s">
        <v>34</v>
      </c>
      <c r="P482" s="27" t="s">
        <v>97</v>
      </c>
      <c r="Q482" s="27" t="s">
        <v>1108</v>
      </c>
      <c r="R482" s="33">
        <v>28403</v>
      </c>
      <c r="S482" s="34">
        <v>42046</v>
      </c>
      <c r="T482" s="34">
        <v>42047</v>
      </c>
      <c r="U482" s="29">
        <v>111.05249999999999</v>
      </c>
      <c r="V482" s="26">
        <v>12</v>
      </c>
      <c r="W482" s="29">
        <v>2118.9899999999998</v>
      </c>
      <c r="X482" s="26">
        <v>87160</v>
      </c>
      <c r="Y482" s="35">
        <v>260.89000000000004</v>
      </c>
      <c r="Z482" s="1" t="s">
        <v>3011</v>
      </c>
      <c r="AA482" s="36">
        <v>123.59400000000002</v>
      </c>
      <c r="AB482" s="54">
        <v>889.97580000000005</v>
      </c>
      <c r="AC482" s="54">
        <v>102.41784999999999</v>
      </c>
      <c r="AD482" s="36">
        <v>1875.3534999999997</v>
      </c>
    </row>
    <row r="483" spans="1:30" s="37" customFormat="1" ht="15.75" customHeight="1" x14ac:dyDescent="0.2">
      <c r="A483" s="26">
        <v>1815</v>
      </c>
      <c r="B483" s="27" t="s">
        <v>1109</v>
      </c>
      <c r="C483" s="27" t="s">
        <v>116</v>
      </c>
      <c r="D483" s="28">
        <v>0.06</v>
      </c>
      <c r="E483" s="29">
        <v>90.97</v>
      </c>
      <c r="F483" s="29">
        <v>14</v>
      </c>
      <c r="G483" s="30" t="s">
        <v>27</v>
      </c>
      <c r="H483" s="27" t="s">
        <v>71</v>
      </c>
      <c r="I483" s="27" t="s">
        <v>41</v>
      </c>
      <c r="J483" s="27" t="s">
        <v>57</v>
      </c>
      <c r="K483" s="27" t="s">
        <v>58</v>
      </c>
      <c r="L483" s="31" t="s">
        <v>1110</v>
      </c>
      <c r="M483" s="32">
        <v>0.36</v>
      </c>
      <c r="N483" s="27" t="s">
        <v>33</v>
      </c>
      <c r="O483" s="27" t="s">
        <v>34</v>
      </c>
      <c r="P483" s="27" t="s">
        <v>35</v>
      </c>
      <c r="Q483" s="27" t="s">
        <v>1111</v>
      </c>
      <c r="R483" s="33">
        <v>39208</v>
      </c>
      <c r="S483" s="34">
        <v>42046</v>
      </c>
      <c r="T483" s="34">
        <v>42047</v>
      </c>
      <c r="U483" s="29">
        <v>47.334000000000003</v>
      </c>
      <c r="V483" s="26">
        <v>14</v>
      </c>
      <c r="W483" s="29">
        <v>1263.3499999999999</v>
      </c>
      <c r="X483" s="26">
        <v>90525</v>
      </c>
      <c r="Y483" s="35">
        <v>10.51</v>
      </c>
      <c r="Z483" s="1" t="s">
        <v>3011</v>
      </c>
      <c r="AA483" s="36">
        <v>76.4148</v>
      </c>
      <c r="AB483" s="54">
        <v>808.54399999999998</v>
      </c>
      <c r="AC483" s="54">
        <v>32.486142857142859</v>
      </c>
      <c r="AD483" s="36">
        <v>1125.6011999999998</v>
      </c>
    </row>
    <row r="484" spans="1:30" s="37" customFormat="1" ht="15.75" customHeight="1" x14ac:dyDescent="0.2">
      <c r="A484" s="26">
        <v>2778</v>
      </c>
      <c r="B484" s="27" t="s">
        <v>1106</v>
      </c>
      <c r="C484" s="27" t="s">
        <v>38</v>
      </c>
      <c r="D484" s="28">
        <v>0.08</v>
      </c>
      <c r="E484" s="29">
        <v>205.99</v>
      </c>
      <c r="F484" s="29">
        <v>8.99</v>
      </c>
      <c r="G484" s="30" t="s">
        <v>39</v>
      </c>
      <c r="H484" s="27" t="s">
        <v>40</v>
      </c>
      <c r="I484" s="27" t="s">
        <v>41</v>
      </c>
      <c r="J484" s="27" t="s">
        <v>135</v>
      </c>
      <c r="K484" s="27" t="s">
        <v>73</v>
      </c>
      <c r="L484" s="31" t="s">
        <v>663</v>
      </c>
      <c r="M484" s="32">
        <v>0.56000000000000005</v>
      </c>
      <c r="N484" s="27" t="s">
        <v>33</v>
      </c>
      <c r="O484" s="27" t="s">
        <v>34</v>
      </c>
      <c r="P484" s="27" t="s">
        <v>97</v>
      </c>
      <c r="Q484" s="27" t="s">
        <v>1108</v>
      </c>
      <c r="R484" s="33">
        <v>28403</v>
      </c>
      <c r="S484" s="34">
        <v>42046</v>
      </c>
      <c r="T484" s="34">
        <v>42047</v>
      </c>
      <c r="U484" s="29">
        <v>-1963.752</v>
      </c>
      <c r="V484" s="26">
        <v>5</v>
      </c>
      <c r="W484" s="29">
        <v>837.64</v>
      </c>
      <c r="X484" s="26">
        <v>87160</v>
      </c>
      <c r="Y484" s="35">
        <v>5.9600000000000009</v>
      </c>
      <c r="Z484" s="1" t="s">
        <v>3011</v>
      </c>
      <c r="AA484" s="36">
        <v>82.396000000000015</v>
      </c>
      <c r="AB484" s="54">
        <v>368.56159999999994</v>
      </c>
      <c r="AC484" s="54">
        <v>93.81568</v>
      </c>
      <c r="AD484" s="36">
        <v>2710.0059999999999</v>
      </c>
    </row>
    <row r="485" spans="1:30" s="37" customFormat="1" ht="15.75" customHeight="1" x14ac:dyDescent="0.2">
      <c r="A485" s="26">
        <v>2072</v>
      </c>
      <c r="B485" s="27" t="s">
        <v>920</v>
      </c>
      <c r="C485" s="27" t="s">
        <v>38</v>
      </c>
      <c r="D485" s="28">
        <v>0.01</v>
      </c>
      <c r="E485" s="29">
        <v>10.52</v>
      </c>
      <c r="F485" s="29">
        <v>7.94</v>
      </c>
      <c r="G485" s="30" t="s">
        <v>39</v>
      </c>
      <c r="H485" s="27" t="s">
        <v>94</v>
      </c>
      <c r="I485" s="27" t="s">
        <v>29</v>
      </c>
      <c r="J485" s="27" t="s">
        <v>126</v>
      </c>
      <c r="K485" s="27" t="s">
        <v>43</v>
      </c>
      <c r="L485" s="31" t="s">
        <v>1104</v>
      </c>
      <c r="M485" s="32">
        <v>0.52</v>
      </c>
      <c r="N485" s="27" t="s">
        <v>33</v>
      </c>
      <c r="O485" s="27" t="s">
        <v>53</v>
      </c>
      <c r="P485" s="27" t="s">
        <v>289</v>
      </c>
      <c r="Q485" s="27" t="s">
        <v>922</v>
      </c>
      <c r="R485" s="33">
        <v>48505</v>
      </c>
      <c r="S485" s="34">
        <v>42046</v>
      </c>
      <c r="T485" s="34">
        <v>42048</v>
      </c>
      <c r="U485" s="29">
        <v>-15.8184</v>
      </c>
      <c r="V485" s="26">
        <v>11</v>
      </c>
      <c r="W485" s="29">
        <v>123.93</v>
      </c>
      <c r="X485" s="26">
        <v>88556</v>
      </c>
      <c r="Y485" s="35">
        <v>2036.47</v>
      </c>
      <c r="Z485" s="1" t="s">
        <v>3012</v>
      </c>
      <c r="AA485" s="36">
        <v>1.1572</v>
      </c>
      <c r="AB485" s="54">
        <v>59.486400000000003</v>
      </c>
      <c r="AC485" s="54">
        <v>5.8585090909090916</v>
      </c>
      <c r="AD485" s="36">
        <v>130.65120000000002</v>
      </c>
    </row>
    <row r="486" spans="1:30" s="37" customFormat="1" ht="15.75" customHeight="1" x14ac:dyDescent="0.2">
      <c r="A486" s="26">
        <v>2072</v>
      </c>
      <c r="B486" s="27" t="s">
        <v>920</v>
      </c>
      <c r="C486" s="27" t="s">
        <v>38</v>
      </c>
      <c r="D486" s="28">
        <v>0.02</v>
      </c>
      <c r="E486" s="29">
        <v>5.98</v>
      </c>
      <c r="F486" s="29">
        <v>7.5</v>
      </c>
      <c r="G486" s="30" t="s">
        <v>87</v>
      </c>
      <c r="H486" s="27" t="s">
        <v>94</v>
      </c>
      <c r="I486" s="27" t="s">
        <v>49</v>
      </c>
      <c r="J486" s="27" t="s">
        <v>88</v>
      </c>
      <c r="K486" s="27" t="s">
        <v>73</v>
      </c>
      <c r="L486" s="31" t="s">
        <v>1105</v>
      </c>
      <c r="M486" s="32">
        <v>0.4</v>
      </c>
      <c r="N486" s="27" t="s">
        <v>33</v>
      </c>
      <c r="O486" s="27" t="s">
        <v>53</v>
      </c>
      <c r="P486" s="27" t="s">
        <v>289</v>
      </c>
      <c r="Q486" s="27" t="s">
        <v>922</v>
      </c>
      <c r="R486" s="33">
        <v>48505</v>
      </c>
      <c r="S486" s="34">
        <v>42046</v>
      </c>
      <c r="T486" s="34">
        <v>42048</v>
      </c>
      <c r="U486" s="29">
        <v>-55.8324</v>
      </c>
      <c r="V486" s="26">
        <v>14</v>
      </c>
      <c r="W486" s="29">
        <v>93.96</v>
      </c>
      <c r="X486" s="26">
        <v>88556</v>
      </c>
      <c r="Y486" s="35">
        <v>205.94</v>
      </c>
      <c r="Z486" s="1" t="s">
        <v>3012</v>
      </c>
      <c r="AA486" s="36">
        <v>1.6744000000000001</v>
      </c>
      <c r="AB486" s="54">
        <v>56.375999999999998</v>
      </c>
      <c r="AC486" s="54">
        <v>2.6845714285714286</v>
      </c>
      <c r="AD486" s="36">
        <v>140.61799999999999</v>
      </c>
    </row>
    <row r="487" spans="1:30" s="37" customFormat="1" ht="15.75" customHeight="1" x14ac:dyDescent="0.2">
      <c r="A487" s="26">
        <v>757</v>
      </c>
      <c r="B487" s="27" t="s">
        <v>1112</v>
      </c>
      <c r="C487" s="27" t="s">
        <v>3094</v>
      </c>
      <c r="D487" s="28">
        <v>0.03</v>
      </c>
      <c r="E487" s="29">
        <v>37.94</v>
      </c>
      <c r="F487" s="29">
        <v>5.08</v>
      </c>
      <c r="G487" s="30" t="s">
        <v>39</v>
      </c>
      <c r="H487" s="27" t="s">
        <v>71</v>
      </c>
      <c r="I487" s="27" t="s">
        <v>49</v>
      </c>
      <c r="J487" s="27" t="s">
        <v>88</v>
      </c>
      <c r="K487" s="27" t="s">
        <v>51</v>
      </c>
      <c r="L487" s="31" t="s">
        <v>1113</v>
      </c>
      <c r="M487" s="32">
        <v>0.38</v>
      </c>
      <c r="N487" s="27" t="s">
        <v>33</v>
      </c>
      <c r="O487" s="27" t="s">
        <v>60</v>
      </c>
      <c r="P487" s="27" t="s">
        <v>139</v>
      </c>
      <c r="Q487" s="27" t="s">
        <v>1114</v>
      </c>
      <c r="R487" s="33">
        <v>97062</v>
      </c>
      <c r="S487" s="34">
        <v>42046</v>
      </c>
      <c r="T487" s="34">
        <v>42048</v>
      </c>
      <c r="U487" s="29">
        <v>-7.5244</v>
      </c>
      <c r="V487" s="26">
        <v>1</v>
      </c>
      <c r="W487" s="29">
        <v>39.97</v>
      </c>
      <c r="X487" s="26">
        <v>90258</v>
      </c>
      <c r="Y487" s="35">
        <v>205.91</v>
      </c>
      <c r="Z487" s="1" t="s">
        <v>3013</v>
      </c>
      <c r="AA487" s="36">
        <v>1.1381999999999999</v>
      </c>
      <c r="AB487" s="54">
        <v>24.781399999999998</v>
      </c>
      <c r="AC487" s="54">
        <v>15.188599999999999</v>
      </c>
      <c r="AD487" s="36">
        <v>41.276199999999996</v>
      </c>
    </row>
    <row r="488" spans="1:30" s="37" customFormat="1" ht="15.75" customHeight="1" x14ac:dyDescent="0.2">
      <c r="A488" s="26">
        <v>1354</v>
      </c>
      <c r="B488" s="27" t="s">
        <v>1101</v>
      </c>
      <c r="C488" s="27" t="s">
        <v>38</v>
      </c>
      <c r="D488" s="28">
        <v>0.04</v>
      </c>
      <c r="E488" s="29">
        <v>4.9800000000000004</v>
      </c>
      <c r="F488" s="29">
        <v>0.49</v>
      </c>
      <c r="G488" s="30" t="s">
        <v>39</v>
      </c>
      <c r="H488" s="27" t="s">
        <v>40</v>
      </c>
      <c r="I488" s="27" t="s">
        <v>49</v>
      </c>
      <c r="J488" s="27" t="s">
        <v>152</v>
      </c>
      <c r="K488" s="27" t="s">
        <v>73</v>
      </c>
      <c r="L488" s="31" t="s">
        <v>1103</v>
      </c>
      <c r="M488" s="32">
        <v>0.39</v>
      </c>
      <c r="N488" s="27" t="s">
        <v>33</v>
      </c>
      <c r="O488" s="27" t="s">
        <v>53</v>
      </c>
      <c r="P488" s="27" t="s">
        <v>187</v>
      </c>
      <c r="Q488" s="27" t="s">
        <v>1102</v>
      </c>
      <c r="R488" s="33">
        <v>76086</v>
      </c>
      <c r="S488" s="34">
        <v>42046</v>
      </c>
      <c r="T488" s="34">
        <v>42048</v>
      </c>
      <c r="U488" s="29">
        <v>4.4104000000000001</v>
      </c>
      <c r="V488" s="26">
        <v>2</v>
      </c>
      <c r="W488" s="29">
        <v>10.039999999999999</v>
      </c>
      <c r="X488" s="26">
        <v>91209</v>
      </c>
      <c r="Y488" s="35">
        <v>90.91</v>
      </c>
      <c r="Z488" s="1" t="s">
        <v>3012</v>
      </c>
      <c r="AA488" s="36">
        <v>0.39840000000000003</v>
      </c>
      <c r="AB488" s="54">
        <v>6.1243999999999996</v>
      </c>
      <c r="AC488" s="54">
        <v>1.9578</v>
      </c>
      <c r="AD488" s="36">
        <v>4.7411999999999992</v>
      </c>
    </row>
    <row r="489" spans="1:30" s="37" customFormat="1" ht="15.75" customHeight="1" x14ac:dyDescent="0.2">
      <c r="A489" s="26">
        <v>1354</v>
      </c>
      <c r="B489" s="27" t="s">
        <v>1101</v>
      </c>
      <c r="C489" s="27" t="s">
        <v>38</v>
      </c>
      <c r="D489" s="28">
        <v>0.1</v>
      </c>
      <c r="E489" s="29">
        <v>4.13</v>
      </c>
      <c r="F489" s="29">
        <v>0.99</v>
      </c>
      <c r="G489" s="30" t="s">
        <v>39</v>
      </c>
      <c r="H489" s="27" t="s">
        <v>40</v>
      </c>
      <c r="I489" s="27" t="s">
        <v>49</v>
      </c>
      <c r="J489" s="27" t="s">
        <v>152</v>
      </c>
      <c r="K489" s="27" t="s">
        <v>73</v>
      </c>
      <c r="L489" s="31" t="s">
        <v>326</v>
      </c>
      <c r="M489" s="32">
        <v>0.39</v>
      </c>
      <c r="N489" s="27" t="s">
        <v>33</v>
      </c>
      <c r="O489" s="27" t="s">
        <v>53</v>
      </c>
      <c r="P489" s="27" t="s">
        <v>187</v>
      </c>
      <c r="Q489" s="27" t="s">
        <v>1102</v>
      </c>
      <c r="R489" s="33">
        <v>76086</v>
      </c>
      <c r="S489" s="34">
        <v>42046</v>
      </c>
      <c r="T489" s="34">
        <v>42046</v>
      </c>
      <c r="U489" s="29">
        <v>-1.0711999999999999</v>
      </c>
      <c r="V489" s="26">
        <v>2</v>
      </c>
      <c r="W489" s="29">
        <v>8.3000000000000007</v>
      </c>
      <c r="X489" s="26">
        <v>91209</v>
      </c>
      <c r="Y489" s="35">
        <v>37.909999999999997</v>
      </c>
      <c r="Z489" s="1" t="s">
        <v>3012</v>
      </c>
      <c r="AA489" s="36">
        <v>0.82600000000000007</v>
      </c>
      <c r="AB489" s="54">
        <v>5.0630000000000006</v>
      </c>
      <c r="AC489" s="54">
        <v>1.6185000000000003</v>
      </c>
      <c r="AD489" s="36">
        <v>7.555200000000001</v>
      </c>
    </row>
    <row r="490" spans="1:30" s="37" customFormat="1" ht="15.75" customHeight="1" x14ac:dyDescent="0.2">
      <c r="A490" s="26">
        <v>16</v>
      </c>
      <c r="B490" s="27" t="s">
        <v>1115</v>
      </c>
      <c r="C490" s="27" t="s">
        <v>38</v>
      </c>
      <c r="D490" s="28">
        <v>0.05</v>
      </c>
      <c r="E490" s="29">
        <v>115.99</v>
      </c>
      <c r="F490" s="29">
        <v>2.5</v>
      </c>
      <c r="G490" s="30" t="s">
        <v>39</v>
      </c>
      <c r="H490" s="27" t="s">
        <v>3095</v>
      </c>
      <c r="I490" s="27" t="s">
        <v>41</v>
      </c>
      <c r="J490" s="27" t="s">
        <v>135</v>
      </c>
      <c r="K490" s="27" t="s">
        <v>73</v>
      </c>
      <c r="L490" s="31" t="s">
        <v>1118</v>
      </c>
      <c r="M490" s="32">
        <v>0.55000000000000004</v>
      </c>
      <c r="N490" s="27" t="s">
        <v>33</v>
      </c>
      <c r="O490" s="27" t="s">
        <v>111</v>
      </c>
      <c r="P490" s="27" t="s">
        <v>112</v>
      </c>
      <c r="Q490" s="27" t="s">
        <v>1117</v>
      </c>
      <c r="R490" s="33">
        <v>13210</v>
      </c>
      <c r="S490" s="34">
        <v>42047</v>
      </c>
      <c r="T490" s="34">
        <v>42049</v>
      </c>
      <c r="U490" s="29">
        <v>652.73310000000004</v>
      </c>
      <c r="V490" s="26">
        <v>10</v>
      </c>
      <c r="W490" s="29">
        <v>945.99</v>
      </c>
      <c r="X490" s="26">
        <v>86836</v>
      </c>
      <c r="Y490" s="35">
        <v>2.94</v>
      </c>
      <c r="Z490" s="1" t="s">
        <v>3014</v>
      </c>
      <c r="AA490" s="36">
        <v>57.995000000000005</v>
      </c>
      <c r="AB490" s="54">
        <v>425.69549999999998</v>
      </c>
      <c r="AC490" s="54">
        <v>52.029450000000004</v>
      </c>
      <c r="AD490" s="36">
        <v>232.76189999999997</v>
      </c>
    </row>
    <row r="491" spans="1:30" s="37" customFormat="1" ht="15.75" customHeight="1" x14ac:dyDescent="0.2">
      <c r="A491" s="26">
        <v>1298</v>
      </c>
      <c r="B491" s="27" t="s">
        <v>1139</v>
      </c>
      <c r="C491" s="27" t="s">
        <v>3094</v>
      </c>
      <c r="D491" s="28">
        <v>0.04</v>
      </c>
      <c r="E491" s="29">
        <v>150.97999999999999</v>
      </c>
      <c r="F491" s="29">
        <v>13.99</v>
      </c>
      <c r="G491" s="30" t="s">
        <v>39</v>
      </c>
      <c r="H491" s="27" t="s">
        <v>71</v>
      </c>
      <c r="I491" s="27" t="s">
        <v>41</v>
      </c>
      <c r="J491" s="27" t="s">
        <v>57</v>
      </c>
      <c r="K491" s="27" t="s">
        <v>144</v>
      </c>
      <c r="L491" s="31" t="s">
        <v>782</v>
      </c>
      <c r="M491" s="32">
        <v>0.38</v>
      </c>
      <c r="N491" s="27" t="s">
        <v>33</v>
      </c>
      <c r="O491" s="27" t="s">
        <v>53</v>
      </c>
      <c r="P491" s="27" t="s">
        <v>187</v>
      </c>
      <c r="Q491" s="27" t="s">
        <v>1140</v>
      </c>
      <c r="R491" s="33">
        <v>75482</v>
      </c>
      <c r="S491" s="34">
        <v>42047</v>
      </c>
      <c r="T491" s="34">
        <v>42050</v>
      </c>
      <c r="U491" s="29">
        <v>606.05460000000005</v>
      </c>
      <c r="V491" s="26">
        <v>6</v>
      </c>
      <c r="W491" s="29">
        <v>878.34</v>
      </c>
      <c r="X491" s="26">
        <v>90662</v>
      </c>
      <c r="Y491" s="35">
        <v>115.94</v>
      </c>
      <c r="Z491" s="1" t="s">
        <v>3012</v>
      </c>
      <c r="AA491" s="36">
        <v>36.235199999999999</v>
      </c>
      <c r="AB491" s="54">
        <v>544.57079999999996</v>
      </c>
      <c r="AC491" s="54">
        <v>55.628200000000007</v>
      </c>
      <c r="AD491" s="36">
        <v>222.06020000000001</v>
      </c>
    </row>
    <row r="492" spans="1:30" s="37" customFormat="1" ht="15.75" customHeight="1" x14ac:dyDescent="0.2">
      <c r="A492" s="26">
        <v>1298</v>
      </c>
      <c r="B492" s="27" t="s">
        <v>1139</v>
      </c>
      <c r="C492" s="27" t="s">
        <v>3094</v>
      </c>
      <c r="D492" s="28">
        <v>0.04</v>
      </c>
      <c r="E492" s="29">
        <v>176.19</v>
      </c>
      <c r="F492" s="29">
        <v>11.87</v>
      </c>
      <c r="G492" s="30" t="s">
        <v>39</v>
      </c>
      <c r="H492" s="27" t="s">
        <v>71</v>
      </c>
      <c r="I492" s="27" t="s">
        <v>49</v>
      </c>
      <c r="J492" s="27" t="s">
        <v>78</v>
      </c>
      <c r="K492" s="27" t="s">
        <v>73</v>
      </c>
      <c r="L492" s="31" t="s">
        <v>1141</v>
      </c>
      <c r="M492" s="32">
        <v>0.62</v>
      </c>
      <c r="N492" s="27" t="s">
        <v>33</v>
      </c>
      <c r="O492" s="27" t="s">
        <v>53</v>
      </c>
      <c r="P492" s="27" t="s">
        <v>187</v>
      </c>
      <c r="Q492" s="27" t="s">
        <v>1140</v>
      </c>
      <c r="R492" s="33">
        <v>75482</v>
      </c>
      <c r="S492" s="34">
        <v>42047</v>
      </c>
      <c r="T492" s="34">
        <v>42049</v>
      </c>
      <c r="U492" s="29">
        <v>320.10000000000002</v>
      </c>
      <c r="V492" s="26">
        <v>4</v>
      </c>
      <c r="W492" s="29">
        <v>676.57</v>
      </c>
      <c r="X492" s="26">
        <v>90662</v>
      </c>
      <c r="Y492" s="35">
        <v>58</v>
      </c>
      <c r="Z492" s="1" t="s">
        <v>3012</v>
      </c>
      <c r="AA492" s="36">
        <v>28.1904</v>
      </c>
      <c r="AB492" s="54">
        <v>257.09660000000002</v>
      </c>
      <c r="AC492" s="54">
        <v>104.86835000000001</v>
      </c>
      <c r="AD492" s="36">
        <v>316.40960000000001</v>
      </c>
    </row>
    <row r="493" spans="1:30" s="37" customFormat="1" ht="15.75" customHeight="1" x14ac:dyDescent="0.2">
      <c r="A493" s="26">
        <v>3046</v>
      </c>
      <c r="B493" s="27" t="s">
        <v>1124</v>
      </c>
      <c r="C493" s="27" t="s">
        <v>38</v>
      </c>
      <c r="D493" s="28">
        <v>0.05</v>
      </c>
      <c r="E493" s="29">
        <v>120.98</v>
      </c>
      <c r="F493" s="29">
        <v>30</v>
      </c>
      <c r="G493" s="30" t="s">
        <v>27</v>
      </c>
      <c r="H493" s="27" t="s">
        <v>3095</v>
      </c>
      <c r="I493" s="27" t="s">
        <v>29</v>
      </c>
      <c r="J493" s="27" t="s">
        <v>109</v>
      </c>
      <c r="K493" s="27" t="s">
        <v>58</v>
      </c>
      <c r="L493" s="31" t="s">
        <v>1125</v>
      </c>
      <c r="M493" s="32">
        <v>0.64</v>
      </c>
      <c r="N493" s="27" t="s">
        <v>33</v>
      </c>
      <c r="O493" s="27" t="s">
        <v>53</v>
      </c>
      <c r="P493" s="27" t="s">
        <v>537</v>
      </c>
      <c r="Q493" s="27" t="s">
        <v>758</v>
      </c>
      <c r="R493" s="33">
        <v>66209</v>
      </c>
      <c r="S493" s="34">
        <v>42047</v>
      </c>
      <c r="T493" s="34">
        <v>42049</v>
      </c>
      <c r="U493" s="29">
        <v>-78.759200000000007</v>
      </c>
      <c r="V493" s="26">
        <v>2</v>
      </c>
      <c r="W493" s="29">
        <v>251.06</v>
      </c>
      <c r="X493" s="26">
        <v>86103</v>
      </c>
      <c r="Y493" s="35">
        <v>80.47</v>
      </c>
      <c r="Z493" s="1" t="s">
        <v>3012</v>
      </c>
      <c r="AA493" s="36">
        <v>12.098000000000001</v>
      </c>
      <c r="AB493" s="54">
        <v>90.381599999999992</v>
      </c>
      <c r="AC493" s="54">
        <v>80.339200000000005</v>
      </c>
      <c r="AD493" s="36">
        <v>287.72120000000001</v>
      </c>
    </row>
    <row r="494" spans="1:30" s="37" customFormat="1" ht="15.75" customHeight="1" x14ac:dyDescent="0.2">
      <c r="A494" s="26">
        <v>190</v>
      </c>
      <c r="B494" s="27" t="s">
        <v>1119</v>
      </c>
      <c r="C494" s="27" t="s">
        <v>38</v>
      </c>
      <c r="D494" s="28">
        <v>0.1</v>
      </c>
      <c r="E494" s="29">
        <v>58.1</v>
      </c>
      <c r="F494" s="29">
        <v>1.49</v>
      </c>
      <c r="G494" s="30" t="s">
        <v>39</v>
      </c>
      <c r="H494" s="27" t="s">
        <v>94</v>
      </c>
      <c r="I494" s="27" t="s">
        <v>49</v>
      </c>
      <c r="J494" s="27" t="s">
        <v>72</v>
      </c>
      <c r="K494" s="27" t="s">
        <v>73</v>
      </c>
      <c r="L494" s="31" t="s">
        <v>622</v>
      </c>
      <c r="M494" s="32">
        <v>0.38</v>
      </c>
      <c r="N494" s="27" t="s">
        <v>33</v>
      </c>
      <c r="O494" s="27" t="s">
        <v>53</v>
      </c>
      <c r="P494" s="27" t="s">
        <v>103</v>
      </c>
      <c r="Q494" s="27" t="s">
        <v>1120</v>
      </c>
      <c r="R494" s="33">
        <v>60004</v>
      </c>
      <c r="S494" s="34">
        <v>42047</v>
      </c>
      <c r="T494" s="34">
        <v>42048</v>
      </c>
      <c r="U494" s="29">
        <v>113.6499</v>
      </c>
      <c r="V494" s="26">
        <v>3</v>
      </c>
      <c r="W494" s="29">
        <v>164.71</v>
      </c>
      <c r="X494" s="26">
        <v>89092</v>
      </c>
      <c r="Y494" s="35">
        <v>120.93</v>
      </c>
      <c r="Z494" s="1" t="s">
        <v>3012</v>
      </c>
      <c r="AA494" s="36">
        <v>17.43</v>
      </c>
      <c r="AB494" s="54">
        <v>102.12020000000001</v>
      </c>
      <c r="AC494" s="54">
        <v>20.863266666666668</v>
      </c>
      <c r="AD494" s="36">
        <v>32.140100000000018</v>
      </c>
    </row>
    <row r="495" spans="1:30" s="37" customFormat="1" ht="15.75" customHeight="1" x14ac:dyDescent="0.2">
      <c r="A495" s="26">
        <v>191</v>
      </c>
      <c r="B495" s="27" t="s">
        <v>1121</v>
      </c>
      <c r="C495" s="27" t="s">
        <v>38</v>
      </c>
      <c r="D495" s="28">
        <v>0.01</v>
      </c>
      <c r="E495" s="29">
        <v>80.48</v>
      </c>
      <c r="F495" s="29">
        <v>4.5</v>
      </c>
      <c r="G495" s="30" t="s">
        <v>39</v>
      </c>
      <c r="H495" s="27" t="s">
        <v>94</v>
      </c>
      <c r="I495" s="27" t="s">
        <v>49</v>
      </c>
      <c r="J495" s="27" t="s">
        <v>95</v>
      </c>
      <c r="K495" s="27" t="s">
        <v>73</v>
      </c>
      <c r="L495" s="31" t="s">
        <v>1122</v>
      </c>
      <c r="M495" s="32">
        <v>0.55000000000000004</v>
      </c>
      <c r="N495" s="27" t="s">
        <v>33</v>
      </c>
      <c r="O495" s="27" t="s">
        <v>53</v>
      </c>
      <c r="P495" s="27" t="s">
        <v>103</v>
      </c>
      <c r="Q495" s="27" t="s">
        <v>1123</v>
      </c>
      <c r="R495" s="33">
        <v>60505</v>
      </c>
      <c r="S495" s="34">
        <v>42047</v>
      </c>
      <c r="T495" s="34">
        <v>42050</v>
      </c>
      <c r="U495" s="29">
        <v>-35.474400000000003</v>
      </c>
      <c r="V495" s="26">
        <v>1</v>
      </c>
      <c r="W495" s="29">
        <v>79.680000000000007</v>
      </c>
      <c r="X495" s="26">
        <v>89092</v>
      </c>
      <c r="Y495" s="35">
        <v>7.21</v>
      </c>
      <c r="Z495" s="1" t="s">
        <v>3012</v>
      </c>
      <c r="AA495" s="36">
        <v>0.80480000000000007</v>
      </c>
      <c r="AB495" s="54">
        <v>35.856000000000002</v>
      </c>
      <c r="AC495" s="54">
        <v>43.824000000000005</v>
      </c>
      <c r="AD495" s="36">
        <v>109.84960000000001</v>
      </c>
    </row>
    <row r="496" spans="1:30" s="37" customFormat="1" ht="15.75" customHeight="1" x14ac:dyDescent="0.2">
      <c r="A496" s="26">
        <v>3324</v>
      </c>
      <c r="B496" s="27" t="s">
        <v>1135</v>
      </c>
      <c r="C496" s="27" t="s">
        <v>116</v>
      </c>
      <c r="D496" s="28">
        <v>0.05</v>
      </c>
      <c r="E496" s="29">
        <v>6.48</v>
      </c>
      <c r="F496" s="29">
        <v>8.19</v>
      </c>
      <c r="G496" s="30" t="s">
        <v>39</v>
      </c>
      <c r="H496" s="27" t="s">
        <v>40</v>
      </c>
      <c r="I496" s="27" t="s">
        <v>49</v>
      </c>
      <c r="J496" s="27" t="s">
        <v>88</v>
      </c>
      <c r="K496" s="27" t="s">
        <v>73</v>
      </c>
      <c r="L496" s="31" t="s">
        <v>899</v>
      </c>
      <c r="M496" s="32">
        <v>0.37</v>
      </c>
      <c r="N496" s="27" t="s">
        <v>33</v>
      </c>
      <c r="O496" s="27" t="s">
        <v>60</v>
      </c>
      <c r="P496" s="27" t="s">
        <v>588</v>
      </c>
      <c r="Q496" s="27" t="s">
        <v>1136</v>
      </c>
      <c r="R496" s="33">
        <v>85335</v>
      </c>
      <c r="S496" s="34">
        <v>42047</v>
      </c>
      <c r="T496" s="34">
        <v>42050</v>
      </c>
      <c r="U496" s="29">
        <v>-164.18</v>
      </c>
      <c r="V496" s="26">
        <v>9</v>
      </c>
      <c r="W496" s="29">
        <v>58.5</v>
      </c>
      <c r="X496" s="26">
        <v>90985</v>
      </c>
      <c r="Y496" s="35">
        <v>6.62</v>
      </c>
      <c r="Z496" s="1" t="s">
        <v>3013</v>
      </c>
      <c r="AA496" s="36">
        <v>2.9160000000000004</v>
      </c>
      <c r="AB496" s="54">
        <v>36.854999999999997</v>
      </c>
      <c r="AC496" s="54">
        <v>2.4049999999999998</v>
      </c>
      <c r="AD496" s="36">
        <v>211.57400000000001</v>
      </c>
    </row>
    <row r="497" spans="1:30" s="37" customFormat="1" ht="15.75" customHeight="1" x14ac:dyDescent="0.2">
      <c r="A497" s="26">
        <v>1743</v>
      </c>
      <c r="B497" s="27" t="s">
        <v>1129</v>
      </c>
      <c r="C497" s="27" t="s">
        <v>116</v>
      </c>
      <c r="D497" s="28">
        <v>0</v>
      </c>
      <c r="E497" s="29">
        <v>55.99</v>
      </c>
      <c r="F497" s="29">
        <v>2.5</v>
      </c>
      <c r="G497" s="30" t="s">
        <v>39</v>
      </c>
      <c r="H497" s="27" t="s">
        <v>40</v>
      </c>
      <c r="I497" s="27" t="s">
        <v>41</v>
      </c>
      <c r="J497" s="27" t="s">
        <v>135</v>
      </c>
      <c r="K497" s="27" t="s">
        <v>43</v>
      </c>
      <c r="L497" s="31" t="s">
        <v>1130</v>
      </c>
      <c r="M497" s="32">
        <v>0.83</v>
      </c>
      <c r="N497" s="27" t="s">
        <v>33</v>
      </c>
      <c r="O497" s="27" t="s">
        <v>53</v>
      </c>
      <c r="P497" s="27" t="s">
        <v>187</v>
      </c>
      <c r="Q497" s="27" t="s">
        <v>1131</v>
      </c>
      <c r="R497" s="33">
        <v>77546</v>
      </c>
      <c r="S497" s="34">
        <v>42047</v>
      </c>
      <c r="T497" s="34">
        <v>42049</v>
      </c>
      <c r="U497" s="29">
        <v>-121.05808</v>
      </c>
      <c r="V497" s="26">
        <v>1</v>
      </c>
      <c r="W497" s="29">
        <v>52.1</v>
      </c>
      <c r="X497" s="26">
        <v>91025</v>
      </c>
      <c r="Y497" s="35">
        <v>55.99</v>
      </c>
      <c r="Z497" s="1" t="s">
        <v>3012</v>
      </c>
      <c r="AA497" s="36">
        <v>0</v>
      </c>
      <c r="AB497" s="54">
        <v>8.8570000000000029</v>
      </c>
      <c r="AC497" s="54">
        <v>43.243000000000002</v>
      </c>
      <c r="AD497" s="36">
        <v>170.65808000000001</v>
      </c>
    </row>
    <row r="498" spans="1:30" s="37" customFormat="1" ht="15.75" customHeight="1" x14ac:dyDescent="0.2">
      <c r="A498" s="26">
        <v>954</v>
      </c>
      <c r="B498" s="27" t="s">
        <v>1126</v>
      </c>
      <c r="C498" s="27" t="s">
        <v>48</v>
      </c>
      <c r="D498" s="28">
        <v>0.08</v>
      </c>
      <c r="E498" s="29">
        <v>6.7</v>
      </c>
      <c r="F498" s="29">
        <v>1.56</v>
      </c>
      <c r="G498" s="30" t="s">
        <v>39</v>
      </c>
      <c r="H498" s="27" t="s">
        <v>3095</v>
      </c>
      <c r="I498" s="27" t="s">
        <v>49</v>
      </c>
      <c r="J498" s="27" t="s">
        <v>50</v>
      </c>
      <c r="K498" s="27" t="s">
        <v>51</v>
      </c>
      <c r="L498" s="31" t="s">
        <v>1046</v>
      </c>
      <c r="M498" s="32">
        <v>0.52</v>
      </c>
      <c r="N498" s="27" t="s">
        <v>33</v>
      </c>
      <c r="O498" s="27" t="s">
        <v>53</v>
      </c>
      <c r="P498" s="27" t="s">
        <v>187</v>
      </c>
      <c r="Q498" s="27" t="s">
        <v>1128</v>
      </c>
      <c r="R498" s="33">
        <v>75067</v>
      </c>
      <c r="S498" s="34">
        <v>42047</v>
      </c>
      <c r="T498" s="34">
        <v>42047</v>
      </c>
      <c r="U498" s="29">
        <v>10.56</v>
      </c>
      <c r="V498" s="26">
        <v>5</v>
      </c>
      <c r="W498" s="29">
        <v>31.21</v>
      </c>
      <c r="X498" s="26">
        <v>90771</v>
      </c>
      <c r="Y498" s="35">
        <v>12.5</v>
      </c>
      <c r="Z498" s="1" t="s">
        <v>3012</v>
      </c>
      <c r="AA498" s="36">
        <v>2.68</v>
      </c>
      <c r="AB498" s="54">
        <v>14.9808</v>
      </c>
      <c r="AC498" s="54">
        <v>3.2458400000000003</v>
      </c>
      <c r="AD498" s="36">
        <v>16.41</v>
      </c>
    </row>
    <row r="499" spans="1:30" s="37" customFormat="1" ht="15.75" customHeight="1" x14ac:dyDescent="0.2">
      <c r="A499" s="26">
        <v>3369</v>
      </c>
      <c r="B499" s="27" t="s">
        <v>1137</v>
      </c>
      <c r="C499" s="27" t="s">
        <v>116</v>
      </c>
      <c r="D499" s="28">
        <v>0.06</v>
      </c>
      <c r="E499" s="29">
        <v>7.1</v>
      </c>
      <c r="F499" s="29">
        <v>6.05</v>
      </c>
      <c r="G499" s="30" t="s">
        <v>39</v>
      </c>
      <c r="H499" s="27" t="s">
        <v>71</v>
      </c>
      <c r="I499" s="27" t="s">
        <v>49</v>
      </c>
      <c r="J499" s="27" t="s">
        <v>72</v>
      </c>
      <c r="K499" s="27" t="s">
        <v>73</v>
      </c>
      <c r="L499" s="31" t="s">
        <v>251</v>
      </c>
      <c r="M499" s="32">
        <v>0.39</v>
      </c>
      <c r="N499" s="27" t="s">
        <v>33</v>
      </c>
      <c r="O499" s="27" t="s">
        <v>111</v>
      </c>
      <c r="P499" s="27" t="s">
        <v>317</v>
      </c>
      <c r="Q499" s="27" t="s">
        <v>1138</v>
      </c>
      <c r="R499" s="33">
        <v>43081</v>
      </c>
      <c r="S499" s="34">
        <v>42047</v>
      </c>
      <c r="T499" s="34">
        <v>42048</v>
      </c>
      <c r="U499" s="29">
        <v>-42.170499999999997</v>
      </c>
      <c r="V499" s="26">
        <v>4</v>
      </c>
      <c r="W499" s="29">
        <v>29.99</v>
      </c>
      <c r="X499" s="26">
        <v>90500</v>
      </c>
      <c r="Y499" s="35">
        <v>6.4300000000000006</v>
      </c>
      <c r="Z499" s="1" t="s">
        <v>3014</v>
      </c>
      <c r="AA499" s="36">
        <v>1.704</v>
      </c>
      <c r="AB499" s="54">
        <v>18.293899999999997</v>
      </c>
      <c r="AC499" s="54">
        <v>2.9240249999999999</v>
      </c>
      <c r="AD499" s="36">
        <v>64.406499999999994</v>
      </c>
    </row>
    <row r="500" spans="1:30" s="37" customFormat="1" ht="15.75" customHeight="1" x14ac:dyDescent="0.2">
      <c r="A500" s="26">
        <v>954</v>
      </c>
      <c r="B500" s="27" t="s">
        <v>1126</v>
      </c>
      <c r="C500" s="27" t="s">
        <v>48</v>
      </c>
      <c r="D500" s="28">
        <v>0.1</v>
      </c>
      <c r="E500" s="29">
        <v>7.31</v>
      </c>
      <c r="F500" s="29">
        <v>0.49</v>
      </c>
      <c r="G500" s="30" t="s">
        <v>39</v>
      </c>
      <c r="H500" s="27" t="s">
        <v>3095</v>
      </c>
      <c r="I500" s="27" t="s">
        <v>49</v>
      </c>
      <c r="J500" s="27" t="s">
        <v>152</v>
      </c>
      <c r="K500" s="27" t="s">
        <v>73</v>
      </c>
      <c r="L500" s="31" t="s">
        <v>1127</v>
      </c>
      <c r="M500" s="32">
        <v>0.38</v>
      </c>
      <c r="N500" s="27" t="s">
        <v>33</v>
      </c>
      <c r="O500" s="27" t="s">
        <v>53</v>
      </c>
      <c r="P500" s="27" t="s">
        <v>187</v>
      </c>
      <c r="Q500" s="27" t="s">
        <v>1128</v>
      </c>
      <c r="R500" s="33">
        <v>75067</v>
      </c>
      <c r="S500" s="34">
        <v>42047</v>
      </c>
      <c r="T500" s="34">
        <v>42056</v>
      </c>
      <c r="U500" s="29">
        <v>19.064699999999998</v>
      </c>
      <c r="V500" s="26">
        <v>4</v>
      </c>
      <c r="W500" s="29">
        <v>27.63</v>
      </c>
      <c r="X500" s="26">
        <v>90771</v>
      </c>
      <c r="Y500" s="35">
        <v>7.04</v>
      </c>
      <c r="Z500" s="1" t="s">
        <v>3012</v>
      </c>
      <c r="AA500" s="36">
        <v>2.9239999999999999</v>
      </c>
      <c r="AB500" s="54">
        <v>17.130599999999998</v>
      </c>
      <c r="AC500" s="54">
        <v>2.6248499999999999</v>
      </c>
      <c r="AD500" s="36">
        <v>5.1513000000000027</v>
      </c>
    </row>
    <row r="501" spans="1:30" s="37" customFormat="1" ht="15.75" customHeight="1" x14ac:dyDescent="0.2">
      <c r="A501" s="26">
        <v>2553</v>
      </c>
      <c r="B501" s="27" t="s">
        <v>1132</v>
      </c>
      <c r="C501" s="27" t="s">
        <v>116</v>
      </c>
      <c r="D501" s="28">
        <v>0.03</v>
      </c>
      <c r="E501" s="29">
        <v>12.53</v>
      </c>
      <c r="F501" s="29">
        <v>7.17</v>
      </c>
      <c r="G501" s="30" t="s">
        <v>39</v>
      </c>
      <c r="H501" s="27" t="s">
        <v>71</v>
      </c>
      <c r="I501" s="27" t="s">
        <v>49</v>
      </c>
      <c r="J501" s="27" t="s">
        <v>72</v>
      </c>
      <c r="K501" s="27" t="s">
        <v>73</v>
      </c>
      <c r="L501" s="31" t="s">
        <v>1133</v>
      </c>
      <c r="M501" s="32">
        <v>0.38</v>
      </c>
      <c r="N501" s="27" t="s">
        <v>33</v>
      </c>
      <c r="O501" s="27" t="s">
        <v>53</v>
      </c>
      <c r="P501" s="27" t="s">
        <v>357</v>
      </c>
      <c r="Q501" s="27" t="s">
        <v>1134</v>
      </c>
      <c r="R501" s="33">
        <v>53142</v>
      </c>
      <c r="S501" s="34">
        <v>42047</v>
      </c>
      <c r="T501" s="34">
        <v>42048</v>
      </c>
      <c r="U501" s="29">
        <v>-20.320499999999999</v>
      </c>
      <c r="V501" s="26">
        <v>1</v>
      </c>
      <c r="W501" s="29">
        <v>19.32</v>
      </c>
      <c r="X501" s="26">
        <v>86528</v>
      </c>
      <c r="Y501" s="35">
        <v>150.94</v>
      </c>
      <c r="Z501" s="1" t="s">
        <v>3012</v>
      </c>
      <c r="AA501" s="36">
        <v>0.37589999999999996</v>
      </c>
      <c r="AB501" s="54">
        <v>11.978400000000001</v>
      </c>
      <c r="AC501" s="54">
        <v>7.3416000000000006</v>
      </c>
      <c r="AD501" s="36">
        <v>32.0946</v>
      </c>
    </row>
    <row r="502" spans="1:30" s="37" customFormat="1" ht="15.75" customHeight="1" x14ac:dyDescent="0.2">
      <c r="A502" s="26">
        <v>16</v>
      </c>
      <c r="B502" s="27" t="s">
        <v>1115</v>
      </c>
      <c r="C502" s="27" t="s">
        <v>38</v>
      </c>
      <c r="D502" s="28">
        <v>0.04</v>
      </c>
      <c r="E502" s="29">
        <v>2.98</v>
      </c>
      <c r="F502" s="29">
        <v>1.58</v>
      </c>
      <c r="G502" s="30" t="s">
        <v>39</v>
      </c>
      <c r="H502" s="27" t="s">
        <v>3095</v>
      </c>
      <c r="I502" s="27" t="s">
        <v>49</v>
      </c>
      <c r="J502" s="27" t="s">
        <v>176</v>
      </c>
      <c r="K502" s="27" t="s">
        <v>51</v>
      </c>
      <c r="L502" s="31" t="s">
        <v>1116</v>
      </c>
      <c r="M502" s="32">
        <v>0.39</v>
      </c>
      <c r="N502" s="27" t="s">
        <v>33</v>
      </c>
      <c r="O502" s="27" t="s">
        <v>111</v>
      </c>
      <c r="P502" s="27" t="s">
        <v>112</v>
      </c>
      <c r="Q502" s="27" t="s">
        <v>1117</v>
      </c>
      <c r="R502" s="33">
        <v>13210</v>
      </c>
      <c r="S502" s="34">
        <v>42047</v>
      </c>
      <c r="T502" s="34">
        <v>42050</v>
      </c>
      <c r="U502" s="29">
        <v>2.63</v>
      </c>
      <c r="V502" s="26">
        <v>6</v>
      </c>
      <c r="W502" s="29">
        <v>18.8</v>
      </c>
      <c r="X502" s="26">
        <v>86836</v>
      </c>
      <c r="Y502" s="35">
        <v>176.15</v>
      </c>
      <c r="Z502" s="1" t="s">
        <v>3014</v>
      </c>
      <c r="AA502" s="36">
        <v>0.71520000000000006</v>
      </c>
      <c r="AB502" s="54">
        <v>11.468</v>
      </c>
      <c r="AC502" s="54">
        <v>1.222</v>
      </c>
      <c r="AD502" s="36">
        <v>13.8748</v>
      </c>
    </row>
    <row r="503" spans="1:30" s="37" customFormat="1" ht="15.75" customHeight="1" x14ac:dyDescent="0.2">
      <c r="A503" s="26">
        <v>3342</v>
      </c>
      <c r="B503" s="27" t="s">
        <v>1145</v>
      </c>
      <c r="C503" s="27" t="s">
        <v>26</v>
      </c>
      <c r="D503" s="28">
        <v>0.03</v>
      </c>
      <c r="E503" s="29">
        <v>194.3</v>
      </c>
      <c r="F503" s="29">
        <v>11.54</v>
      </c>
      <c r="G503" s="30" t="s">
        <v>39</v>
      </c>
      <c r="H503" s="27" t="s">
        <v>71</v>
      </c>
      <c r="I503" s="27" t="s">
        <v>29</v>
      </c>
      <c r="J503" s="27" t="s">
        <v>126</v>
      </c>
      <c r="K503" s="27" t="s">
        <v>65</v>
      </c>
      <c r="L503" s="31" t="s">
        <v>206</v>
      </c>
      <c r="M503" s="32">
        <v>0.59</v>
      </c>
      <c r="N503" s="27" t="s">
        <v>33</v>
      </c>
      <c r="O503" s="27" t="s">
        <v>111</v>
      </c>
      <c r="P503" s="27" t="s">
        <v>374</v>
      </c>
      <c r="Q503" s="27" t="s">
        <v>67</v>
      </c>
      <c r="R503" s="33">
        <v>20006</v>
      </c>
      <c r="S503" s="34">
        <v>42048</v>
      </c>
      <c r="T503" s="34">
        <v>42050</v>
      </c>
      <c r="U503" s="29">
        <v>2861.01</v>
      </c>
      <c r="V503" s="26">
        <v>42</v>
      </c>
      <c r="W503" s="29">
        <v>8549.0400000000009</v>
      </c>
      <c r="X503" s="26">
        <v>21572</v>
      </c>
      <c r="Y503" s="35">
        <v>120.96000000000001</v>
      </c>
      <c r="Z503" s="1" t="s">
        <v>3014</v>
      </c>
      <c r="AA503" s="36">
        <v>244.81799999999998</v>
      </c>
      <c r="AB503" s="54">
        <v>3505.1064000000006</v>
      </c>
      <c r="AC503" s="54">
        <v>120.09365714285715</v>
      </c>
      <c r="AD503" s="36">
        <v>5431.6720000000005</v>
      </c>
    </row>
    <row r="504" spans="1:30" s="37" customFormat="1" ht="15.75" customHeight="1" x14ac:dyDescent="0.2">
      <c r="A504" s="26">
        <v>3344</v>
      </c>
      <c r="B504" s="27" t="s">
        <v>1146</v>
      </c>
      <c r="C504" s="27" t="s">
        <v>26</v>
      </c>
      <c r="D504" s="28">
        <v>0.03</v>
      </c>
      <c r="E504" s="29">
        <v>194.3</v>
      </c>
      <c r="F504" s="29">
        <v>11.54</v>
      </c>
      <c r="G504" s="30" t="s">
        <v>39</v>
      </c>
      <c r="H504" s="27" t="s">
        <v>71</v>
      </c>
      <c r="I504" s="27" t="s">
        <v>29</v>
      </c>
      <c r="J504" s="27" t="s">
        <v>126</v>
      </c>
      <c r="K504" s="27" t="s">
        <v>65</v>
      </c>
      <c r="L504" s="31" t="s">
        <v>206</v>
      </c>
      <c r="M504" s="32">
        <v>0.59</v>
      </c>
      <c r="N504" s="27" t="s">
        <v>33</v>
      </c>
      <c r="O504" s="27" t="s">
        <v>53</v>
      </c>
      <c r="P504" s="27" t="s">
        <v>289</v>
      </c>
      <c r="Q504" s="27" t="s">
        <v>1147</v>
      </c>
      <c r="R504" s="33">
        <v>48307</v>
      </c>
      <c r="S504" s="34">
        <v>42048</v>
      </c>
      <c r="T504" s="34">
        <v>42050</v>
      </c>
      <c r="U504" s="29">
        <v>1544.9306999999999</v>
      </c>
      <c r="V504" s="26">
        <v>11</v>
      </c>
      <c r="W504" s="29">
        <v>2239.0300000000002</v>
      </c>
      <c r="X504" s="26">
        <v>89928</v>
      </c>
      <c r="Y504" s="35">
        <v>194.27</v>
      </c>
      <c r="Z504" s="1" t="s">
        <v>3012</v>
      </c>
      <c r="AA504" s="36">
        <v>64.119</v>
      </c>
      <c r="AB504" s="54">
        <v>918.0023000000001</v>
      </c>
      <c r="AC504" s="54">
        <v>120.09342727272727</v>
      </c>
      <c r="AD504" s="36">
        <v>618.44030000000043</v>
      </c>
    </row>
    <row r="505" spans="1:30" s="37" customFormat="1" ht="15.75" customHeight="1" x14ac:dyDescent="0.2">
      <c r="A505" s="26">
        <v>2020</v>
      </c>
      <c r="B505" s="27" t="s">
        <v>1142</v>
      </c>
      <c r="C505" s="27" t="s">
        <v>26</v>
      </c>
      <c r="D505" s="28">
        <v>0.02</v>
      </c>
      <c r="E505" s="29">
        <v>120.98</v>
      </c>
      <c r="F505" s="29">
        <v>58.64</v>
      </c>
      <c r="G505" s="30" t="s">
        <v>27</v>
      </c>
      <c r="H505" s="27" t="s">
        <v>71</v>
      </c>
      <c r="I505" s="27" t="s">
        <v>29</v>
      </c>
      <c r="J505" s="27" t="s">
        <v>117</v>
      </c>
      <c r="K505" s="27" t="s">
        <v>31</v>
      </c>
      <c r="L505" s="31" t="s">
        <v>1143</v>
      </c>
      <c r="M505" s="32">
        <v>0.75</v>
      </c>
      <c r="N505" s="27" t="s">
        <v>33</v>
      </c>
      <c r="O505" s="27" t="s">
        <v>111</v>
      </c>
      <c r="P505" s="27" t="s">
        <v>320</v>
      </c>
      <c r="Q505" s="27" t="s">
        <v>1144</v>
      </c>
      <c r="R505" s="33">
        <v>15239</v>
      </c>
      <c r="S505" s="34">
        <v>42048</v>
      </c>
      <c r="T505" s="34">
        <v>42050</v>
      </c>
      <c r="U505" s="29">
        <v>-1330.5</v>
      </c>
      <c r="V505" s="26">
        <v>11</v>
      </c>
      <c r="W505" s="29">
        <v>1370.99</v>
      </c>
      <c r="X505" s="26">
        <v>86933</v>
      </c>
      <c r="Y505" s="35">
        <v>194.27</v>
      </c>
      <c r="Z505" s="1" t="s">
        <v>3014</v>
      </c>
      <c r="AA505" s="36">
        <v>26.615600000000001</v>
      </c>
      <c r="AB505" s="54">
        <v>342.7475</v>
      </c>
      <c r="AC505" s="54">
        <v>93.476590909090916</v>
      </c>
      <c r="AD505" s="36">
        <v>2616.2343999999998</v>
      </c>
    </row>
    <row r="506" spans="1:30" s="37" customFormat="1" ht="15.75" customHeight="1" x14ac:dyDescent="0.2">
      <c r="A506" s="26">
        <v>2897</v>
      </c>
      <c r="B506" s="27" t="s">
        <v>1151</v>
      </c>
      <c r="C506" s="27" t="s">
        <v>38</v>
      </c>
      <c r="D506" s="28">
        <v>0.05</v>
      </c>
      <c r="E506" s="29">
        <v>80.97</v>
      </c>
      <c r="F506" s="29">
        <v>30.06</v>
      </c>
      <c r="G506" s="30" t="s">
        <v>27</v>
      </c>
      <c r="H506" s="27" t="s">
        <v>71</v>
      </c>
      <c r="I506" s="27" t="s">
        <v>41</v>
      </c>
      <c r="J506" s="27" t="s">
        <v>57</v>
      </c>
      <c r="K506" s="27" t="s">
        <v>31</v>
      </c>
      <c r="L506" s="31" t="s">
        <v>1152</v>
      </c>
      <c r="M506" s="32">
        <v>0.4</v>
      </c>
      <c r="N506" s="27" t="s">
        <v>33</v>
      </c>
      <c r="O506" s="27" t="s">
        <v>53</v>
      </c>
      <c r="P506" s="27" t="s">
        <v>84</v>
      </c>
      <c r="Q506" s="27" t="s">
        <v>1153</v>
      </c>
      <c r="R506" s="33">
        <v>55369</v>
      </c>
      <c r="S506" s="34">
        <v>42048</v>
      </c>
      <c r="T506" s="34">
        <v>42049</v>
      </c>
      <c r="U506" s="29">
        <v>565.17999999999995</v>
      </c>
      <c r="V506" s="26">
        <v>11</v>
      </c>
      <c r="W506" s="29">
        <v>904.25</v>
      </c>
      <c r="X506" s="26">
        <v>86926</v>
      </c>
      <c r="Y506" s="35">
        <v>124.46</v>
      </c>
      <c r="Z506" s="1" t="s">
        <v>3012</v>
      </c>
      <c r="AA506" s="36">
        <v>44.533499999999997</v>
      </c>
      <c r="AB506" s="54">
        <v>542.54999999999995</v>
      </c>
      <c r="AC506" s="54">
        <v>32.881818181818183</v>
      </c>
      <c r="AD506" s="36">
        <v>264.4765000000001</v>
      </c>
    </row>
    <row r="507" spans="1:30" s="37" customFormat="1" ht="15.75" customHeight="1" x14ac:dyDescent="0.2">
      <c r="A507" s="26">
        <v>1554</v>
      </c>
      <c r="B507" s="27" t="s">
        <v>1148</v>
      </c>
      <c r="C507" s="27" t="s">
        <v>38</v>
      </c>
      <c r="D507" s="28">
        <v>0.03</v>
      </c>
      <c r="E507" s="29">
        <v>124.49</v>
      </c>
      <c r="F507" s="29">
        <v>51.94</v>
      </c>
      <c r="G507" s="30" t="s">
        <v>27</v>
      </c>
      <c r="H507" s="27" t="s">
        <v>40</v>
      </c>
      <c r="I507" s="27" t="s">
        <v>29</v>
      </c>
      <c r="J507" s="27" t="s">
        <v>30</v>
      </c>
      <c r="K507" s="27" t="s">
        <v>31</v>
      </c>
      <c r="L507" s="31" t="s">
        <v>1149</v>
      </c>
      <c r="M507" s="32">
        <v>0.63</v>
      </c>
      <c r="N507" s="27" t="s">
        <v>33</v>
      </c>
      <c r="O507" s="27" t="s">
        <v>34</v>
      </c>
      <c r="P507" s="27" t="s">
        <v>35</v>
      </c>
      <c r="Q507" s="27" t="s">
        <v>1150</v>
      </c>
      <c r="R507" s="33">
        <v>39503</v>
      </c>
      <c r="S507" s="34">
        <v>42048</v>
      </c>
      <c r="T507" s="34">
        <v>42049</v>
      </c>
      <c r="U507" s="29">
        <v>-4.0179999999999998</v>
      </c>
      <c r="V507" s="26">
        <v>7</v>
      </c>
      <c r="W507" s="29">
        <v>894.88</v>
      </c>
      <c r="X507" s="26">
        <v>87487</v>
      </c>
      <c r="Y507" s="35">
        <v>80.92</v>
      </c>
      <c r="Z507" s="1" t="s">
        <v>3011</v>
      </c>
      <c r="AA507" s="36">
        <v>26.142899999999997</v>
      </c>
      <c r="AB507" s="54">
        <v>331.10559999999998</v>
      </c>
      <c r="AC507" s="54">
        <v>80.539200000000008</v>
      </c>
      <c r="AD507" s="36">
        <v>820.81510000000003</v>
      </c>
    </row>
    <row r="508" spans="1:30" s="37" customFormat="1" ht="15.75" customHeight="1" x14ac:dyDescent="0.2">
      <c r="A508" s="26">
        <v>3170</v>
      </c>
      <c r="B508" s="27" t="s">
        <v>1158</v>
      </c>
      <c r="C508" s="27" t="s">
        <v>116</v>
      </c>
      <c r="D508" s="28">
        <v>0.1</v>
      </c>
      <c r="E508" s="29">
        <v>7.28</v>
      </c>
      <c r="F508" s="29">
        <v>5.47</v>
      </c>
      <c r="G508" s="30" t="s">
        <v>39</v>
      </c>
      <c r="H508" s="27" t="s">
        <v>94</v>
      </c>
      <c r="I508" s="27" t="s">
        <v>49</v>
      </c>
      <c r="J508" s="27" t="s">
        <v>88</v>
      </c>
      <c r="K508" s="27" t="s">
        <v>73</v>
      </c>
      <c r="L508" s="31" t="s">
        <v>1159</v>
      </c>
      <c r="M508" s="32">
        <v>0.35</v>
      </c>
      <c r="N508" s="27" t="s">
        <v>33</v>
      </c>
      <c r="O508" s="27" t="s">
        <v>34</v>
      </c>
      <c r="P508" s="27" t="s">
        <v>123</v>
      </c>
      <c r="Q508" s="27" t="s">
        <v>1160</v>
      </c>
      <c r="R508" s="33">
        <v>34952</v>
      </c>
      <c r="S508" s="34">
        <v>42048</v>
      </c>
      <c r="T508" s="34">
        <v>42048</v>
      </c>
      <c r="U508" s="29">
        <v>167.334</v>
      </c>
      <c r="V508" s="26">
        <v>12</v>
      </c>
      <c r="W508" s="29">
        <v>83.14</v>
      </c>
      <c r="X508" s="26">
        <v>86489</v>
      </c>
      <c r="Y508" s="35">
        <v>6.48</v>
      </c>
      <c r="Z508" s="1" t="s">
        <v>3011</v>
      </c>
      <c r="AA508" s="36">
        <v>8.7360000000000007</v>
      </c>
      <c r="AB508" s="54">
        <v>54.041000000000004</v>
      </c>
      <c r="AC508" s="54">
        <v>2.4249166666666668</v>
      </c>
      <c r="AD508" s="36">
        <v>-98.399999999999991</v>
      </c>
    </row>
    <row r="509" spans="1:30" s="37" customFormat="1" ht="15.75" customHeight="1" x14ac:dyDescent="0.2">
      <c r="A509" s="26">
        <v>2058</v>
      </c>
      <c r="B509" s="27" t="s">
        <v>1155</v>
      </c>
      <c r="C509" s="27" t="s">
        <v>116</v>
      </c>
      <c r="D509" s="28">
        <v>7.0000000000000007E-2</v>
      </c>
      <c r="E509" s="29">
        <v>5.98</v>
      </c>
      <c r="F509" s="29">
        <v>5.46</v>
      </c>
      <c r="G509" s="30" t="s">
        <v>39</v>
      </c>
      <c r="H509" s="27" t="s">
        <v>94</v>
      </c>
      <c r="I509" s="27" t="s">
        <v>49</v>
      </c>
      <c r="J509" s="27" t="s">
        <v>88</v>
      </c>
      <c r="K509" s="27" t="s">
        <v>73</v>
      </c>
      <c r="L509" s="31" t="s">
        <v>1156</v>
      </c>
      <c r="M509" s="32">
        <v>0.36</v>
      </c>
      <c r="N509" s="27" t="s">
        <v>33</v>
      </c>
      <c r="O509" s="27" t="s">
        <v>34</v>
      </c>
      <c r="P509" s="27" t="s">
        <v>97</v>
      </c>
      <c r="Q509" s="27" t="s">
        <v>1157</v>
      </c>
      <c r="R509" s="33">
        <v>28601</v>
      </c>
      <c r="S509" s="34">
        <v>42048</v>
      </c>
      <c r="T509" s="34">
        <v>42050</v>
      </c>
      <c r="U509" s="29">
        <v>46.65</v>
      </c>
      <c r="V509" s="26">
        <v>5</v>
      </c>
      <c r="W509" s="29">
        <v>32.76</v>
      </c>
      <c r="X509" s="26">
        <v>88040</v>
      </c>
      <c r="Y509" s="35">
        <v>5.91</v>
      </c>
      <c r="Z509" s="1" t="s">
        <v>3011</v>
      </c>
      <c r="AA509" s="36">
        <v>2.0930000000000004</v>
      </c>
      <c r="AB509" s="54">
        <v>20.9664</v>
      </c>
      <c r="AC509" s="54">
        <v>2.3587199999999999</v>
      </c>
      <c r="AD509" s="36">
        <v>-21.443000000000005</v>
      </c>
    </row>
    <row r="510" spans="1:30" s="37" customFormat="1" ht="15.75" customHeight="1" x14ac:dyDescent="0.2">
      <c r="A510" s="26">
        <v>2897</v>
      </c>
      <c r="B510" s="27" t="s">
        <v>1151</v>
      </c>
      <c r="C510" s="27" t="s">
        <v>38</v>
      </c>
      <c r="D510" s="28">
        <v>0</v>
      </c>
      <c r="E510" s="29">
        <v>6.48</v>
      </c>
      <c r="F510" s="29">
        <v>10.050000000000001</v>
      </c>
      <c r="G510" s="30" t="s">
        <v>39</v>
      </c>
      <c r="H510" s="27" t="s">
        <v>71</v>
      </c>
      <c r="I510" s="27" t="s">
        <v>49</v>
      </c>
      <c r="J510" s="27" t="s">
        <v>88</v>
      </c>
      <c r="K510" s="27" t="s">
        <v>73</v>
      </c>
      <c r="L510" s="31" t="s">
        <v>1154</v>
      </c>
      <c r="M510" s="32">
        <v>0.37</v>
      </c>
      <c r="N510" s="27" t="s">
        <v>33</v>
      </c>
      <c r="O510" s="27" t="s">
        <v>53</v>
      </c>
      <c r="P510" s="27" t="s">
        <v>84</v>
      </c>
      <c r="Q510" s="27" t="s">
        <v>1153</v>
      </c>
      <c r="R510" s="33">
        <v>55369</v>
      </c>
      <c r="S510" s="34">
        <v>42048</v>
      </c>
      <c r="T510" s="34">
        <v>42050</v>
      </c>
      <c r="U510" s="29">
        <v>-38.72</v>
      </c>
      <c r="V510" s="26">
        <v>2</v>
      </c>
      <c r="W510" s="29">
        <v>16.309999999999999</v>
      </c>
      <c r="X510" s="26">
        <v>86926</v>
      </c>
      <c r="Y510" s="35">
        <v>7.1800000000000006</v>
      </c>
      <c r="Z510" s="1" t="s">
        <v>3012</v>
      </c>
      <c r="AA510" s="36">
        <v>0</v>
      </c>
      <c r="AB510" s="54">
        <v>10.2753</v>
      </c>
      <c r="AC510" s="54">
        <v>3.0173499999999995</v>
      </c>
      <c r="AD510" s="36">
        <v>44.98</v>
      </c>
    </row>
    <row r="511" spans="1:30" s="37" customFormat="1" ht="15.75" customHeight="1" x14ac:dyDescent="0.2">
      <c r="A511" s="26">
        <v>640</v>
      </c>
      <c r="B511" s="27" t="s">
        <v>1185</v>
      </c>
      <c r="C511" s="27" t="s">
        <v>3094</v>
      </c>
      <c r="D511" s="28">
        <v>0</v>
      </c>
      <c r="E511" s="29">
        <v>236.97</v>
      </c>
      <c r="F511" s="29">
        <v>59.24</v>
      </c>
      <c r="G511" s="30" t="s">
        <v>27</v>
      </c>
      <c r="H511" s="27" t="s">
        <v>40</v>
      </c>
      <c r="I511" s="27" t="s">
        <v>29</v>
      </c>
      <c r="J511" s="27" t="s">
        <v>30</v>
      </c>
      <c r="K511" s="27" t="s">
        <v>31</v>
      </c>
      <c r="L511" s="31" t="s">
        <v>1183</v>
      </c>
      <c r="M511" s="32">
        <v>0.61</v>
      </c>
      <c r="N511" s="27" t="s">
        <v>33</v>
      </c>
      <c r="O511" s="27" t="s">
        <v>60</v>
      </c>
      <c r="P511" s="27" t="s">
        <v>67</v>
      </c>
      <c r="Q511" s="27" t="s">
        <v>142</v>
      </c>
      <c r="R511" s="33">
        <v>98119</v>
      </c>
      <c r="S511" s="34">
        <v>42049</v>
      </c>
      <c r="T511" s="34">
        <v>42050</v>
      </c>
      <c r="U511" s="29">
        <v>1192.04</v>
      </c>
      <c r="V511" s="26">
        <v>34</v>
      </c>
      <c r="W511" s="29">
        <v>6686.34</v>
      </c>
      <c r="X511" s="26">
        <v>56452</v>
      </c>
      <c r="Y511" s="35">
        <v>16.93</v>
      </c>
      <c r="Z511" s="1" t="s">
        <v>3013</v>
      </c>
      <c r="AA511" s="36">
        <v>0</v>
      </c>
      <c r="AB511" s="54">
        <v>2607.6726000000003</v>
      </c>
      <c r="AC511" s="54">
        <v>119.96080588235294</v>
      </c>
      <c r="AD511" s="36">
        <v>5435.06</v>
      </c>
    </row>
    <row r="512" spans="1:30" s="37" customFormat="1" ht="15.75" customHeight="1" x14ac:dyDescent="0.2">
      <c r="A512" s="26">
        <v>2190</v>
      </c>
      <c r="B512" s="27" t="s">
        <v>1161</v>
      </c>
      <c r="C512" s="27" t="s">
        <v>26</v>
      </c>
      <c r="D512" s="28">
        <v>0.03</v>
      </c>
      <c r="E512" s="29">
        <v>115.99</v>
      </c>
      <c r="F512" s="29">
        <v>4.2300000000000004</v>
      </c>
      <c r="G512" s="30" t="s">
        <v>39</v>
      </c>
      <c r="H512" s="27" t="s">
        <v>71</v>
      </c>
      <c r="I512" s="27" t="s">
        <v>41</v>
      </c>
      <c r="J512" s="27" t="s">
        <v>135</v>
      </c>
      <c r="K512" s="27" t="s">
        <v>73</v>
      </c>
      <c r="L512" s="31" t="s">
        <v>1164</v>
      </c>
      <c r="M512" s="32">
        <v>0.56000000000000005</v>
      </c>
      <c r="N512" s="27" t="s">
        <v>33</v>
      </c>
      <c r="O512" s="27" t="s">
        <v>53</v>
      </c>
      <c r="P512" s="27" t="s">
        <v>289</v>
      </c>
      <c r="Q512" s="27" t="s">
        <v>1163</v>
      </c>
      <c r="R512" s="33">
        <v>48227</v>
      </c>
      <c r="S512" s="34">
        <v>42049</v>
      </c>
      <c r="T512" s="34">
        <v>42051</v>
      </c>
      <c r="U512" s="29">
        <v>722.24099999999999</v>
      </c>
      <c r="V512" s="26">
        <v>49</v>
      </c>
      <c r="W512" s="29">
        <v>5014.07</v>
      </c>
      <c r="X512" s="26">
        <v>41636</v>
      </c>
      <c r="Y512" s="35">
        <v>115.96</v>
      </c>
      <c r="Z512" s="1" t="s">
        <v>3012</v>
      </c>
      <c r="AA512" s="36">
        <v>170.50529999999998</v>
      </c>
      <c r="AB512" s="54">
        <v>2206.1907999999994</v>
      </c>
      <c r="AC512" s="54">
        <v>57.303657142857141</v>
      </c>
      <c r="AD512" s="36">
        <v>4117.0936999999994</v>
      </c>
    </row>
    <row r="513" spans="1:30" s="37" customFormat="1" ht="15.75" customHeight="1" x14ac:dyDescent="0.2">
      <c r="A513" s="26">
        <v>2491</v>
      </c>
      <c r="B513" s="27" t="s">
        <v>457</v>
      </c>
      <c r="C513" s="27" t="s">
        <v>26</v>
      </c>
      <c r="D513" s="28">
        <v>0.09</v>
      </c>
      <c r="E513" s="29">
        <v>348.21</v>
      </c>
      <c r="F513" s="29">
        <v>40.19</v>
      </c>
      <c r="G513" s="30" t="s">
        <v>27</v>
      </c>
      <c r="H513" s="27" t="s">
        <v>71</v>
      </c>
      <c r="I513" s="27" t="s">
        <v>29</v>
      </c>
      <c r="J513" s="27" t="s">
        <v>30</v>
      </c>
      <c r="K513" s="27" t="s">
        <v>31</v>
      </c>
      <c r="L513" s="31" t="s">
        <v>32</v>
      </c>
      <c r="M513" s="32">
        <v>0.62</v>
      </c>
      <c r="N513" s="27" t="s">
        <v>33</v>
      </c>
      <c r="O513" s="27" t="s">
        <v>60</v>
      </c>
      <c r="P513" s="27" t="s">
        <v>90</v>
      </c>
      <c r="Q513" s="27" t="s">
        <v>100</v>
      </c>
      <c r="R513" s="33">
        <v>90045</v>
      </c>
      <c r="S513" s="34">
        <v>42049</v>
      </c>
      <c r="T513" s="34">
        <v>42051</v>
      </c>
      <c r="U513" s="29">
        <v>-93.85</v>
      </c>
      <c r="V513" s="26">
        <v>8</v>
      </c>
      <c r="W513" s="29">
        <v>2651.21</v>
      </c>
      <c r="X513" s="26">
        <v>48836</v>
      </c>
      <c r="Y513" s="35">
        <v>16.93</v>
      </c>
      <c r="Z513" s="1" t="s">
        <v>3013</v>
      </c>
      <c r="AA513" s="36">
        <v>250.71119999999996</v>
      </c>
      <c r="AB513" s="54">
        <v>1007.4598</v>
      </c>
      <c r="AC513" s="54">
        <v>205.46877499999999</v>
      </c>
      <c r="AD513" s="36">
        <v>2454.1588000000002</v>
      </c>
    </row>
    <row r="514" spans="1:30" s="37" customFormat="1" ht="15.75" customHeight="1" x14ac:dyDescent="0.2">
      <c r="A514" s="26">
        <v>639</v>
      </c>
      <c r="B514" s="27" t="s">
        <v>1182</v>
      </c>
      <c r="C514" s="27" t="s">
        <v>3094</v>
      </c>
      <c r="D514" s="28">
        <v>0</v>
      </c>
      <c r="E514" s="29">
        <v>236.97</v>
      </c>
      <c r="F514" s="29">
        <v>59.24</v>
      </c>
      <c r="G514" s="30" t="s">
        <v>27</v>
      </c>
      <c r="H514" s="27" t="s">
        <v>40</v>
      </c>
      <c r="I514" s="27" t="s">
        <v>29</v>
      </c>
      <c r="J514" s="27" t="s">
        <v>30</v>
      </c>
      <c r="K514" s="27" t="s">
        <v>31</v>
      </c>
      <c r="L514" s="31" t="s">
        <v>1183</v>
      </c>
      <c r="M514" s="32">
        <v>0.61</v>
      </c>
      <c r="N514" s="27" t="s">
        <v>33</v>
      </c>
      <c r="O514" s="27" t="s">
        <v>60</v>
      </c>
      <c r="P514" s="27" t="s">
        <v>90</v>
      </c>
      <c r="Q514" s="27" t="s">
        <v>1184</v>
      </c>
      <c r="R514" s="33">
        <v>93454</v>
      </c>
      <c r="S514" s="34">
        <v>42049</v>
      </c>
      <c r="T514" s="34">
        <v>42050</v>
      </c>
      <c r="U514" s="29">
        <v>1192.04</v>
      </c>
      <c r="V514" s="26">
        <v>9</v>
      </c>
      <c r="W514" s="29">
        <v>1769.91</v>
      </c>
      <c r="X514" s="26">
        <v>87952</v>
      </c>
      <c r="Y514" s="35">
        <v>115.96</v>
      </c>
      <c r="Z514" s="1" t="s">
        <v>3013</v>
      </c>
      <c r="AA514" s="36">
        <v>0</v>
      </c>
      <c r="AB514" s="54">
        <v>690.26490000000001</v>
      </c>
      <c r="AC514" s="54">
        <v>119.96056666666667</v>
      </c>
      <c r="AD514" s="36">
        <v>518.63000000000011</v>
      </c>
    </row>
    <row r="515" spans="1:30" s="37" customFormat="1" ht="15.75" customHeight="1" x14ac:dyDescent="0.2">
      <c r="A515" s="26">
        <v>306</v>
      </c>
      <c r="B515" s="27" t="s">
        <v>1173</v>
      </c>
      <c r="C515" s="27" t="s">
        <v>38</v>
      </c>
      <c r="D515" s="28">
        <v>0.04</v>
      </c>
      <c r="E515" s="29">
        <v>85.99</v>
      </c>
      <c r="F515" s="29">
        <v>0.99</v>
      </c>
      <c r="G515" s="30" t="s">
        <v>39</v>
      </c>
      <c r="H515" s="27" t="s">
        <v>3095</v>
      </c>
      <c r="I515" s="27" t="s">
        <v>41</v>
      </c>
      <c r="J515" s="27" t="s">
        <v>135</v>
      </c>
      <c r="K515" s="27" t="s">
        <v>51</v>
      </c>
      <c r="L515" s="31" t="s">
        <v>1176</v>
      </c>
      <c r="M515" s="32">
        <v>0.55000000000000004</v>
      </c>
      <c r="N515" s="27" t="s">
        <v>33</v>
      </c>
      <c r="O515" s="27" t="s">
        <v>111</v>
      </c>
      <c r="P515" s="27" t="s">
        <v>418</v>
      </c>
      <c r="Q515" s="27" t="s">
        <v>1175</v>
      </c>
      <c r="R515" s="33">
        <v>21208</v>
      </c>
      <c r="S515" s="34">
        <v>42049</v>
      </c>
      <c r="T515" s="34">
        <v>42051</v>
      </c>
      <c r="U515" s="29">
        <v>855.99329999999998</v>
      </c>
      <c r="V515" s="26">
        <v>17</v>
      </c>
      <c r="W515" s="29">
        <v>1240.57</v>
      </c>
      <c r="X515" s="26">
        <v>87057</v>
      </c>
      <c r="Y515" s="35">
        <v>2.0300000000000002</v>
      </c>
      <c r="Z515" s="1" t="s">
        <v>3014</v>
      </c>
      <c r="AA515" s="36">
        <v>58.473199999999999</v>
      </c>
      <c r="AB515" s="54">
        <v>558.25649999999996</v>
      </c>
      <c r="AC515" s="54">
        <v>40.136088235294118</v>
      </c>
      <c r="AD515" s="36">
        <v>325.11349999999993</v>
      </c>
    </row>
    <row r="516" spans="1:30" s="37" customFormat="1" ht="15.75" customHeight="1" x14ac:dyDescent="0.2">
      <c r="A516" s="26">
        <v>2193</v>
      </c>
      <c r="B516" s="27" t="s">
        <v>1165</v>
      </c>
      <c r="C516" s="27" t="s">
        <v>26</v>
      </c>
      <c r="D516" s="28">
        <v>0.03</v>
      </c>
      <c r="E516" s="29">
        <v>115.99</v>
      </c>
      <c r="F516" s="29">
        <v>4.2300000000000004</v>
      </c>
      <c r="G516" s="30" t="s">
        <v>39</v>
      </c>
      <c r="H516" s="27" t="s">
        <v>71</v>
      </c>
      <c r="I516" s="27" t="s">
        <v>41</v>
      </c>
      <c r="J516" s="27" t="s">
        <v>135</v>
      </c>
      <c r="K516" s="27" t="s">
        <v>73</v>
      </c>
      <c r="L516" s="31" t="s">
        <v>1164</v>
      </c>
      <c r="M516" s="32">
        <v>0.56000000000000005</v>
      </c>
      <c r="N516" s="27" t="s">
        <v>33</v>
      </c>
      <c r="O516" s="27" t="s">
        <v>34</v>
      </c>
      <c r="P516" s="27" t="s">
        <v>97</v>
      </c>
      <c r="Q516" s="27" t="s">
        <v>98</v>
      </c>
      <c r="R516" s="33">
        <v>28560</v>
      </c>
      <c r="S516" s="34">
        <v>42049</v>
      </c>
      <c r="T516" s="34">
        <v>42051</v>
      </c>
      <c r="U516" s="29">
        <v>848.3646</v>
      </c>
      <c r="V516" s="26">
        <v>12</v>
      </c>
      <c r="W516" s="29">
        <v>1227.94</v>
      </c>
      <c r="X516" s="26">
        <v>90685</v>
      </c>
      <c r="Y516" s="35">
        <v>348.12</v>
      </c>
      <c r="Z516" s="1" t="s">
        <v>3011</v>
      </c>
      <c r="AA516" s="36">
        <v>41.756399999999999</v>
      </c>
      <c r="AB516" s="54">
        <v>540.29359999999997</v>
      </c>
      <c r="AC516" s="54">
        <v>57.303866666666671</v>
      </c>
      <c r="AD516" s="36">
        <v>333.58900000000006</v>
      </c>
    </row>
    <row r="517" spans="1:30" s="37" customFormat="1" ht="15.75" customHeight="1" x14ac:dyDescent="0.2">
      <c r="A517" s="26">
        <v>1156</v>
      </c>
      <c r="B517" s="27" t="s">
        <v>1178</v>
      </c>
      <c r="C517" s="27" t="s">
        <v>38</v>
      </c>
      <c r="D517" s="28">
        <v>0.06</v>
      </c>
      <c r="E517" s="29">
        <v>175.99</v>
      </c>
      <c r="F517" s="29">
        <v>8.99</v>
      </c>
      <c r="G517" s="30" t="s">
        <v>39</v>
      </c>
      <c r="H517" s="27" t="s">
        <v>40</v>
      </c>
      <c r="I517" s="27" t="s">
        <v>41</v>
      </c>
      <c r="J517" s="27" t="s">
        <v>135</v>
      </c>
      <c r="K517" s="27" t="s">
        <v>73</v>
      </c>
      <c r="L517" s="31" t="s">
        <v>1179</v>
      </c>
      <c r="M517" s="32">
        <v>0.56999999999999995</v>
      </c>
      <c r="N517" s="27" t="s">
        <v>33</v>
      </c>
      <c r="O517" s="27" t="s">
        <v>111</v>
      </c>
      <c r="P517" s="27" t="s">
        <v>403</v>
      </c>
      <c r="Q517" s="27" t="s">
        <v>1180</v>
      </c>
      <c r="R517" s="33">
        <v>1876</v>
      </c>
      <c r="S517" s="34">
        <v>42049</v>
      </c>
      <c r="T517" s="34">
        <v>42050</v>
      </c>
      <c r="U517" s="29">
        <v>48.47148</v>
      </c>
      <c r="V517" s="26">
        <v>7</v>
      </c>
      <c r="W517" s="29">
        <v>1013.84</v>
      </c>
      <c r="X517" s="26">
        <v>90855</v>
      </c>
      <c r="Y517" s="35">
        <v>348.12</v>
      </c>
      <c r="Z517" s="1" t="s">
        <v>3014</v>
      </c>
      <c r="AA517" s="36">
        <v>73.915800000000004</v>
      </c>
      <c r="AB517" s="54">
        <v>435.95120000000009</v>
      </c>
      <c r="AC517" s="54">
        <v>82.555542857142854</v>
      </c>
      <c r="AD517" s="36">
        <v>882.46271999999999</v>
      </c>
    </row>
    <row r="518" spans="1:30" s="37" customFormat="1" ht="15.75" customHeight="1" x14ac:dyDescent="0.2">
      <c r="A518" s="26">
        <v>2190</v>
      </c>
      <c r="B518" s="27" t="s">
        <v>1161</v>
      </c>
      <c r="C518" s="27" t="s">
        <v>26</v>
      </c>
      <c r="D518" s="28">
        <v>0.05</v>
      </c>
      <c r="E518" s="29">
        <v>16.98</v>
      </c>
      <c r="F518" s="29">
        <v>7.78</v>
      </c>
      <c r="G518" s="30" t="s">
        <v>39</v>
      </c>
      <c r="H518" s="27" t="s">
        <v>71</v>
      </c>
      <c r="I518" s="27" t="s">
        <v>49</v>
      </c>
      <c r="J518" s="27" t="s">
        <v>50</v>
      </c>
      <c r="K518" s="27" t="s">
        <v>43</v>
      </c>
      <c r="L518" s="31" t="s">
        <v>1162</v>
      </c>
      <c r="M518" s="32">
        <v>0.56999999999999995</v>
      </c>
      <c r="N518" s="27" t="s">
        <v>33</v>
      </c>
      <c r="O518" s="27" t="s">
        <v>53</v>
      </c>
      <c r="P518" s="27" t="s">
        <v>289</v>
      </c>
      <c r="Q518" s="27" t="s">
        <v>1163</v>
      </c>
      <c r="R518" s="33">
        <v>48227</v>
      </c>
      <c r="S518" s="34">
        <v>42049</v>
      </c>
      <c r="T518" s="34">
        <v>42051</v>
      </c>
      <c r="U518" s="29">
        <v>-47.28</v>
      </c>
      <c r="V518" s="26">
        <v>45</v>
      </c>
      <c r="W518" s="29">
        <v>761.67</v>
      </c>
      <c r="X518" s="26">
        <v>41636</v>
      </c>
      <c r="Y518" s="35">
        <v>1.73</v>
      </c>
      <c r="Z518" s="1" t="s">
        <v>3012</v>
      </c>
      <c r="AA518" s="36">
        <v>38.205000000000005</v>
      </c>
      <c r="AB518" s="54">
        <v>327.5181</v>
      </c>
      <c r="AC518" s="54">
        <v>9.6478199999999976</v>
      </c>
      <c r="AD518" s="36">
        <v>762.96499999999992</v>
      </c>
    </row>
    <row r="519" spans="1:30" s="37" customFormat="1" ht="15.75" customHeight="1" x14ac:dyDescent="0.2">
      <c r="A519" s="26">
        <v>2490</v>
      </c>
      <c r="B519" s="27" t="s">
        <v>454</v>
      </c>
      <c r="C519" s="27" t="s">
        <v>26</v>
      </c>
      <c r="D519" s="28">
        <v>0.09</v>
      </c>
      <c r="E519" s="29">
        <v>348.21</v>
      </c>
      <c r="F519" s="29">
        <v>40.19</v>
      </c>
      <c r="G519" s="30" t="s">
        <v>27</v>
      </c>
      <c r="H519" s="27" t="s">
        <v>71</v>
      </c>
      <c r="I519" s="27" t="s">
        <v>29</v>
      </c>
      <c r="J519" s="27" t="s">
        <v>30</v>
      </c>
      <c r="K519" s="27" t="s">
        <v>31</v>
      </c>
      <c r="L519" s="31" t="s">
        <v>32</v>
      </c>
      <c r="M519" s="32">
        <v>0.62</v>
      </c>
      <c r="N519" s="27" t="s">
        <v>33</v>
      </c>
      <c r="O519" s="27" t="s">
        <v>60</v>
      </c>
      <c r="P519" s="27" t="s">
        <v>90</v>
      </c>
      <c r="Q519" s="27" t="s">
        <v>456</v>
      </c>
      <c r="R519" s="33">
        <v>92627</v>
      </c>
      <c r="S519" s="34">
        <v>42049</v>
      </c>
      <c r="T519" s="34">
        <v>42051</v>
      </c>
      <c r="U519" s="29">
        <v>-93.85</v>
      </c>
      <c r="V519" s="26">
        <v>2</v>
      </c>
      <c r="W519" s="29">
        <v>662.8</v>
      </c>
      <c r="X519" s="26">
        <v>86884</v>
      </c>
      <c r="Y519" s="35">
        <v>4.4000000000000004</v>
      </c>
      <c r="Z519" s="1" t="s">
        <v>3013</v>
      </c>
      <c r="AA519" s="36">
        <v>62.677799999999991</v>
      </c>
      <c r="AB519" s="54">
        <v>251.86399999999998</v>
      </c>
      <c r="AC519" s="54">
        <v>205.46799999999999</v>
      </c>
      <c r="AD519" s="36">
        <v>653.78219999999999</v>
      </c>
    </row>
    <row r="520" spans="1:30" s="37" customFormat="1" ht="15.75" customHeight="1" x14ac:dyDescent="0.2">
      <c r="A520" s="26">
        <v>1682</v>
      </c>
      <c r="B520" s="27" t="s">
        <v>1186</v>
      </c>
      <c r="C520" s="27" t="s">
        <v>3094</v>
      </c>
      <c r="D520" s="28">
        <v>0.04</v>
      </c>
      <c r="E520" s="29">
        <v>6.28</v>
      </c>
      <c r="F520" s="29">
        <v>5.41</v>
      </c>
      <c r="G520" s="30" t="s">
        <v>39</v>
      </c>
      <c r="H520" s="27" t="s">
        <v>40</v>
      </c>
      <c r="I520" s="27" t="s">
        <v>29</v>
      </c>
      <c r="J520" s="27" t="s">
        <v>126</v>
      </c>
      <c r="K520" s="27" t="s">
        <v>73</v>
      </c>
      <c r="L520" s="31" t="s">
        <v>930</v>
      </c>
      <c r="M520" s="32">
        <v>0.53</v>
      </c>
      <c r="N520" s="27" t="s">
        <v>33</v>
      </c>
      <c r="O520" s="27" t="s">
        <v>53</v>
      </c>
      <c r="P520" s="27" t="s">
        <v>103</v>
      </c>
      <c r="Q520" s="27" t="s">
        <v>533</v>
      </c>
      <c r="R520" s="33">
        <v>60611</v>
      </c>
      <c r="S520" s="34">
        <v>42049</v>
      </c>
      <c r="T520" s="34">
        <v>42051</v>
      </c>
      <c r="U520" s="29">
        <v>-38.380000000000003</v>
      </c>
      <c r="V520" s="26">
        <v>43</v>
      </c>
      <c r="W520" s="29">
        <v>284.48</v>
      </c>
      <c r="X520" s="26">
        <v>14115</v>
      </c>
      <c r="Y520" s="35">
        <v>8.32</v>
      </c>
      <c r="Z520" s="1" t="s">
        <v>3012</v>
      </c>
      <c r="AA520" s="36">
        <v>10.801600000000002</v>
      </c>
      <c r="AB520" s="54">
        <v>133.7056</v>
      </c>
      <c r="AC520" s="54">
        <v>3.5063813953488379</v>
      </c>
      <c r="AD520" s="36">
        <v>306.64840000000004</v>
      </c>
    </row>
    <row r="521" spans="1:30" s="37" customFormat="1" ht="15.75" customHeight="1" x14ac:dyDescent="0.2">
      <c r="A521" s="26">
        <v>308</v>
      </c>
      <c r="B521" s="27" t="s">
        <v>1177</v>
      </c>
      <c r="C521" s="27" t="s">
        <v>38</v>
      </c>
      <c r="D521" s="28">
        <v>0.01</v>
      </c>
      <c r="E521" s="29">
        <v>8.33</v>
      </c>
      <c r="F521" s="29">
        <v>1.99</v>
      </c>
      <c r="G521" s="30" t="s">
        <v>39</v>
      </c>
      <c r="H521" s="27" t="s">
        <v>3095</v>
      </c>
      <c r="I521" s="27" t="s">
        <v>41</v>
      </c>
      <c r="J521" s="27" t="s">
        <v>42</v>
      </c>
      <c r="K521" s="27" t="s">
        <v>43</v>
      </c>
      <c r="L521" s="31" t="s">
        <v>1174</v>
      </c>
      <c r="M521" s="32">
        <v>0.52</v>
      </c>
      <c r="N521" s="27" t="s">
        <v>33</v>
      </c>
      <c r="O521" s="27" t="s">
        <v>60</v>
      </c>
      <c r="P521" s="27" t="s">
        <v>67</v>
      </c>
      <c r="Q521" s="27" t="s">
        <v>142</v>
      </c>
      <c r="R521" s="33">
        <v>98115</v>
      </c>
      <c r="S521" s="34">
        <v>42049</v>
      </c>
      <c r="T521" s="34">
        <v>42050</v>
      </c>
      <c r="U521" s="29">
        <v>10.74</v>
      </c>
      <c r="V521" s="26">
        <v>32</v>
      </c>
      <c r="W521" s="29">
        <v>280.62</v>
      </c>
      <c r="X521" s="26">
        <v>37760</v>
      </c>
      <c r="Y521" s="35">
        <v>85.949999999999989</v>
      </c>
      <c r="Z521" s="1" t="s">
        <v>3013</v>
      </c>
      <c r="AA521" s="36">
        <v>2.6656</v>
      </c>
      <c r="AB521" s="54">
        <v>134.69759999999999</v>
      </c>
      <c r="AC521" s="54">
        <v>4.5600750000000003</v>
      </c>
      <c r="AD521" s="36">
        <v>265.2244</v>
      </c>
    </row>
    <row r="522" spans="1:30" s="37" customFormat="1" ht="15.75" customHeight="1" x14ac:dyDescent="0.2">
      <c r="A522" s="26">
        <v>1745</v>
      </c>
      <c r="B522" s="27" t="s">
        <v>359</v>
      </c>
      <c r="C522" s="27" t="s">
        <v>48</v>
      </c>
      <c r="D522" s="28">
        <v>0.04</v>
      </c>
      <c r="E522" s="29">
        <v>60.65</v>
      </c>
      <c r="F522" s="29">
        <v>12.23</v>
      </c>
      <c r="G522" s="30" t="s">
        <v>39</v>
      </c>
      <c r="H522" s="27" t="s">
        <v>71</v>
      </c>
      <c r="I522" s="27" t="s">
        <v>29</v>
      </c>
      <c r="J522" s="27" t="s">
        <v>126</v>
      </c>
      <c r="K522" s="27" t="s">
        <v>144</v>
      </c>
      <c r="L522" s="31" t="s">
        <v>1181</v>
      </c>
      <c r="M522" s="32">
        <v>0.64</v>
      </c>
      <c r="N522" s="27" t="s">
        <v>33</v>
      </c>
      <c r="O522" s="27" t="s">
        <v>34</v>
      </c>
      <c r="P522" s="27" t="s">
        <v>75</v>
      </c>
      <c r="Q522" s="27" t="s">
        <v>361</v>
      </c>
      <c r="R522" s="33">
        <v>30305</v>
      </c>
      <c r="S522" s="34">
        <v>42049</v>
      </c>
      <c r="T522" s="34">
        <v>42051</v>
      </c>
      <c r="U522" s="29">
        <v>116.5063</v>
      </c>
      <c r="V522" s="26">
        <v>4</v>
      </c>
      <c r="W522" s="29">
        <v>256.77</v>
      </c>
      <c r="X522" s="26">
        <v>13408</v>
      </c>
      <c r="Y522" s="35">
        <v>8.32</v>
      </c>
      <c r="Z522" s="1" t="s">
        <v>3011</v>
      </c>
      <c r="AA522" s="36">
        <v>9.7040000000000006</v>
      </c>
      <c r="AB522" s="54">
        <v>92.43719999999999</v>
      </c>
      <c r="AC522" s="54">
        <v>41.083199999999998</v>
      </c>
      <c r="AD522" s="36">
        <v>118.32969999999997</v>
      </c>
    </row>
    <row r="523" spans="1:30" s="37" customFormat="1" ht="15.75" customHeight="1" x14ac:dyDescent="0.2">
      <c r="A523" s="26">
        <v>2193</v>
      </c>
      <c r="B523" s="27" t="s">
        <v>1165</v>
      </c>
      <c r="C523" s="27" t="s">
        <v>26</v>
      </c>
      <c r="D523" s="28">
        <v>0.05</v>
      </c>
      <c r="E523" s="29">
        <v>16.98</v>
      </c>
      <c r="F523" s="29">
        <v>7.78</v>
      </c>
      <c r="G523" s="30" t="s">
        <v>39</v>
      </c>
      <c r="H523" s="27" t="s">
        <v>71</v>
      </c>
      <c r="I523" s="27" t="s">
        <v>49</v>
      </c>
      <c r="J523" s="27" t="s">
        <v>50</v>
      </c>
      <c r="K523" s="27" t="s">
        <v>43</v>
      </c>
      <c r="L523" s="31" t="s">
        <v>1162</v>
      </c>
      <c r="M523" s="32">
        <v>0.56999999999999995</v>
      </c>
      <c r="N523" s="27" t="s">
        <v>33</v>
      </c>
      <c r="O523" s="27" t="s">
        <v>34</v>
      </c>
      <c r="P523" s="27" t="s">
        <v>97</v>
      </c>
      <c r="Q523" s="27" t="s">
        <v>98</v>
      </c>
      <c r="R523" s="33">
        <v>28560</v>
      </c>
      <c r="S523" s="34">
        <v>42049</v>
      </c>
      <c r="T523" s="34">
        <v>42051</v>
      </c>
      <c r="U523" s="29">
        <v>-161</v>
      </c>
      <c r="V523" s="26">
        <v>11</v>
      </c>
      <c r="W523" s="29">
        <v>186.19</v>
      </c>
      <c r="X523" s="26">
        <v>90685</v>
      </c>
      <c r="Y523" s="35">
        <v>175.93</v>
      </c>
      <c r="Z523" s="1" t="s">
        <v>3011</v>
      </c>
      <c r="AA523" s="36">
        <v>9.3390000000000004</v>
      </c>
      <c r="AB523" s="54">
        <v>80.061700000000002</v>
      </c>
      <c r="AC523" s="54">
        <v>9.6480272727272709</v>
      </c>
      <c r="AD523" s="36">
        <v>330.07100000000003</v>
      </c>
    </row>
    <row r="524" spans="1:30" s="37" customFormat="1" ht="15.75" customHeight="1" x14ac:dyDescent="0.2">
      <c r="A524" s="26">
        <v>3393</v>
      </c>
      <c r="B524" s="27" t="s">
        <v>1171</v>
      </c>
      <c r="C524" s="27" t="s">
        <v>26</v>
      </c>
      <c r="D524" s="28">
        <v>0.08</v>
      </c>
      <c r="E524" s="29">
        <v>4.4800000000000004</v>
      </c>
      <c r="F524" s="29">
        <v>2.5</v>
      </c>
      <c r="G524" s="30" t="s">
        <v>39</v>
      </c>
      <c r="H524" s="27" t="s">
        <v>40</v>
      </c>
      <c r="I524" s="27" t="s">
        <v>49</v>
      </c>
      <c r="J524" s="27" t="s">
        <v>345</v>
      </c>
      <c r="K524" s="27" t="s">
        <v>73</v>
      </c>
      <c r="L524" s="31" t="s">
        <v>1021</v>
      </c>
      <c r="M524" s="32">
        <v>0.37</v>
      </c>
      <c r="N524" s="27" t="s">
        <v>33</v>
      </c>
      <c r="O524" s="27" t="s">
        <v>60</v>
      </c>
      <c r="P524" s="27" t="s">
        <v>67</v>
      </c>
      <c r="Q524" s="27" t="s">
        <v>1172</v>
      </c>
      <c r="R524" s="33">
        <v>99163</v>
      </c>
      <c r="S524" s="34">
        <v>42049</v>
      </c>
      <c r="T524" s="34">
        <v>42050</v>
      </c>
      <c r="U524" s="29">
        <v>-3.2448000000000001</v>
      </c>
      <c r="V524" s="26">
        <v>19</v>
      </c>
      <c r="W524" s="29">
        <v>80.2</v>
      </c>
      <c r="X524" s="26">
        <v>87909</v>
      </c>
      <c r="Y524" s="35">
        <v>60.61</v>
      </c>
      <c r="Z524" s="1" t="s">
        <v>3013</v>
      </c>
      <c r="AA524" s="36">
        <v>6.8096000000000014</v>
      </c>
      <c r="AB524" s="54">
        <v>50.526000000000003</v>
      </c>
      <c r="AC524" s="54">
        <v>1.5617894736842106</v>
      </c>
      <c r="AD524" s="36">
        <v>74.135199999999998</v>
      </c>
    </row>
    <row r="525" spans="1:30" s="37" customFormat="1" ht="15.75" customHeight="1" x14ac:dyDescent="0.2">
      <c r="A525" s="26">
        <v>1683</v>
      </c>
      <c r="B525" s="27" t="s">
        <v>1187</v>
      </c>
      <c r="C525" s="27" t="s">
        <v>3094</v>
      </c>
      <c r="D525" s="28">
        <v>0.04</v>
      </c>
      <c r="E525" s="29">
        <v>6.28</v>
      </c>
      <c r="F525" s="29">
        <v>5.41</v>
      </c>
      <c r="G525" s="30" t="s">
        <v>39</v>
      </c>
      <c r="H525" s="27" t="s">
        <v>40</v>
      </c>
      <c r="I525" s="27" t="s">
        <v>29</v>
      </c>
      <c r="J525" s="27" t="s">
        <v>126</v>
      </c>
      <c r="K525" s="27" t="s">
        <v>73</v>
      </c>
      <c r="L525" s="31" t="s">
        <v>930</v>
      </c>
      <c r="M525" s="32">
        <v>0.53</v>
      </c>
      <c r="N525" s="27" t="s">
        <v>33</v>
      </c>
      <c r="O525" s="27" t="s">
        <v>53</v>
      </c>
      <c r="P525" s="27" t="s">
        <v>187</v>
      </c>
      <c r="Q525" s="27" t="s">
        <v>1188</v>
      </c>
      <c r="R525" s="33">
        <v>77301</v>
      </c>
      <c r="S525" s="34">
        <v>42049</v>
      </c>
      <c r="T525" s="34">
        <v>42051</v>
      </c>
      <c r="U525" s="29">
        <v>-19.957599999999999</v>
      </c>
      <c r="V525" s="26">
        <v>11</v>
      </c>
      <c r="W525" s="29">
        <v>72.77</v>
      </c>
      <c r="X525" s="26">
        <v>90612</v>
      </c>
      <c r="Y525" s="35">
        <v>60.61</v>
      </c>
      <c r="Z525" s="1" t="s">
        <v>3012</v>
      </c>
      <c r="AA525" s="36">
        <v>2.7632000000000003</v>
      </c>
      <c r="AB525" s="54">
        <v>34.201899999999995</v>
      </c>
      <c r="AC525" s="54">
        <v>3.5061909090909094</v>
      </c>
      <c r="AD525" s="36">
        <v>84.554399999999987</v>
      </c>
    </row>
    <row r="526" spans="1:30" s="37" customFormat="1" ht="15.75" customHeight="1" x14ac:dyDescent="0.2">
      <c r="A526" s="26">
        <v>306</v>
      </c>
      <c r="B526" s="27" t="s">
        <v>1173</v>
      </c>
      <c r="C526" s="27" t="s">
        <v>38</v>
      </c>
      <c r="D526" s="28">
        <v>0.01</v>
      </c>
      <c r="E526" s="29">
        <v>8.33</v>
      </c>
      <c r="F526" s="29">
        <v>1.99</v>
      </c>
      <c r="G526" s="30" t="s">
        <v>39</v>
      </c>
      <c r="H526" s="27" t="s">
        <v>3095</v>
      </c>
      <c r="I526" s="27" t="s">
        <v>41</v>
      </c>
      <c r="J526" s="27" t="s">
        <v>42</v>
      </c>
      <c r="K526" s="27" t="s">
        <v>43</v>
      </c>
      <c r="L526" s="31" t="s">
        <v>1174</v>
      </c>
      <c r="M526" s="32">
        <v>0.52</v>
      </c>
      <c r="N526" s="27" t="s">
        <v>33</v>
      </c>
      <c r="O526" s="27" t="s">
        <v>111</v>
      </c>
      <c r="P526" s="27" t="s">
        <v>418</v>
      </c>
      <c r="Q526" s="27" t="s">
        <v>1175</v>
      </c>
      <c r="R526" s="33">
        <v>21208</v>
      </c>
      <c r="S526" s="34">
        <v>42049</v>
      </c>
      <c r="T526" s="34">
        <v>42050</v>
      </c>
      <c r="U526" s="29">
        <v>15.895200000000001</v>
      </c>
      <c r="V526" s="26">
        <v>8</v>
      </c>
      <c r="W526" s="29">
        <v>70.16</v>
      </c>
      <c r="X526" s="26">
        <v>87057</v>
      </c>
      <c r="Y526" s="35">
        <v>236.97</v>
      </c>
      <c r="Z526" s="1" t="s">
        <v>3014</v>
      </c>
      <c r="AA526" s="36">
        <v>0.66639999999999999</v>
      </c>
      <c r="AB526" s="54">
        <v>33.6768</v>
      </c>
      <c r="AC526" s="54">
        <v>4.5603999999999996</v>
      </c>
      <c r="AD526" s="36">
        <v>51.608399999999996</v>
      </c>
    </row>
    <row r="527" spans="1:30" s="37" customFormat="1" ht="15.75" customHeight="1" x14ac:dyDescent="0.2">
      <c r="A527" s="26">
        <v>1749</v>
      </c>
      <c r="B527" s="27" t="s">
        <v>362</v>
      </c>
      <c r="C527" s="27" t="s">
        <v>48</v>
      </c>
      <c r="D527" s="28">
        <v>0.04</v>
      </c>
      <c r="E527" s="29">
        <v>60.65</v>
      </c>
      <c r="F527" s="29">
        <v>12.23</v>
      </c>
      <c r="G527" s="30" t="s">
        <v>39</v>
      </c>
      <c r="H527" s="27" t="s">
        <v>71</v>
      </c>
      <c r="I527" s="27" t="s">
        <v>29</v>
      </c>
      <c r="J527" s="27" t="s">
        <v>126</v>
      </c>
      <c r="K527" s="27" t="s">
        <v>144</v>
      </c>
      <c r="L527" s="31" t="s">
        <v>1181</v>
      </c>
      <c r="M527" s="32">
        <v>0.64</v>
      </c>
      <c r="N527" s="27" t="s">
        <v>33</v>
      </c>
      <c r="O527" s="27" t="s">
        <v>53</v>
      </c>
      <c r="P527" s="27" t="s">
        <v>207</v>
      </c>
      <c r="Q527" s="27" t="s">
        <v>363</v>
      </c>
      <c r="R527" s="33">
        <v>73505</v>
      </c>
      <c r="S527" s="34">
        <v>42049</v>
      </c>
      <c r="T527" s="34">
        <v>42051</v>
      </c>
      <c r="U527" s="29">
        <v>44.2911</v>
      </c>
      <c r="V527" s="26">
        <v>1</v>
      </c>
      <c r="W527" s="29">
        <v>64.19</v>
      </c>
      <c r="X527" s="26">
        <v>87244</v>
      </c>
      <c r="Y527" s="35">
        <v>236.97</v>
      </c>
      <c r="Z527" s="1" t="s">
        <v>3012</v>
      </c>
      <c r="AA527" s="36">
        <v>2.4260000000000002</v>
      </c>
      <c r="AB527" s="54">
        <v>23.1084</v>
      </c>
      <c r="AC527" s="54">
        <v>41.081600000000002</v>
      </c>
      <c r="AD527" s="36">
        <v>5.2428999999999917</v>
      </c>
    </row>
    <row r="528" spans="1:30" s="37" customFormat="1" ht="15.75" customHeight="1" x14ac:dyDescent="0.2">
      <c r="A528" s="26">
        <v>2358</v>
      </c>
      <c r="B528" s="27" t="s">
        <v>1166</v>
      </c>
      <c r="C528" s="27" t="s">
        <v>26</v>
      </c>
      <c r="D528" s="28">
        <v>0.05</v>
      </c>
      <c r="E528" s="29">
        <v>2.08</v>
      </c>
      <c r="F528" s="29">
        <v>2.56</v>
      </c>
      <c r="G528" s="30" t="s">
        <v>39</v>
      </c>
      <c r="H528" s="27" t="s">
        <v>71</v>
      </c>
      <c r="I528" s="27" t="s">
        <v>49</v>
      </c>
      <c r="J528" s="27" t="s">
        <v>568</v>
      </c>
      <c r="K528" s="27" t="s">
        <v>43</v>
      </c>
      <c r="L528" s="31" t="s">
        <v>1167</v>
      </c>
      <c r="M528" s="32">
        <v>0.55000000000000004</v>
      </c>
      <c r="N528" s="27" t="s">
        <v>33</v>
      </c>
      <c r="O528" s="27" t="s">
        <v>34</v>
      </c>
      <c r="P528" s="27" t="s">
        <v>123</v>
      </c>
      <c r="Q528" s="27" t="s">
        <v>1096</v>
      </c>
      <c r="R528" s="33">
        <v>33311</v>
      </c>
      <c r="S528" s="34">
        <v>42049</v>
      </c>
      <c r="T528" s="34">
        <v>42051</v>
      </c>
      <c r="U528" s="29">
        <v>-1045.0160000000001</v>
      </c>
      <c r="V528" s="26">
        <v>19</v>
      </c>
      <c r="W528" s="29">
        <v>40.93</v>
      </c>
      <c r="X528" s="26">
        <v>88268</v>
      </c>
      <c r="Y528" s="35">
        <v>6.24</v>
      </c>
      <c r="Z528" s="1" t="s">
        <v>3011</v>
      </c>
      <c r="AA528" s="36">
        <v>1.9760000000000002</v>
      </c>
      <c r="AB528" s="54">
        <v>18.418499999999998</v>
      </c>
      <c r="AC528" s="54">
        <v>1.1848157894736844</v>
      </c>
      <c r="AD528" s="36">
        <v>1081.4100000000001</v>
      </c>
    </row>
    <row r="529" spans="1:30" s="37" customFormat="1" ht="15.75" customHeight="1" x14ac:dyDescent="0.2">
      <c r="A529" s="26">
        <v>3069</v>
      </c>
      <c r="B529" s="27" t="s">
        <v>1168</v>
      </c>
      <c r="C529" s="27" t="s">
        <v>26</v>
      </c>
      <c r="D529" s="28">
        <v>0.09</v>
      </c>
      <c r="E529" s="29">
        <v>1.82</v>
      </c>
      <c r="F529" s="29">
        <v>0.83</v>
      </c>
      <c r="G529" s="30" t="s">
        <v>39</v>
      </c>
      <c r="H529" s="27" t="s">
        <v>40</v>
      </c>
      <c r="I529" s="27" t="s">
        <v>49</v>
      </c>
      <c r="J529" s="27" t="s">
        <v>50</v>
      </c>
      <c r="K529" s="27" t="s">
        <v>51</v>
      </c>
      <c r="L529" s="31" t="s">
        <v>1169</v>
      </c>
      <c r="M529" s="32">
        <v>0.56999999999999995</v>
      </c>
      <c r="N529" s="27" t="s">
        <v>33</v>
      </c>
      <c r="O529" s="27" t="s">
        <v>53</v>
      </c>
      <c r="P529" s="27" t="s">
        <v>84</v>
      </c>
      <c r="Q529" s="27" t="s">
        <v>1170</v>
      </c>
      <c r="R529" s="33">
        <v>55128</v>
      </c>
      <c r="S529" s="34">
        <v>42049</v>
      </c>
      <c r="T529" s="34">
        <v>42050</v>
      </c>
      <c r="U529" s="29">
        <v>-6.734</v>
      </c>
      <c r="V529" s="26">
        <v>22</v>
      </c>
      <c r="W529" s="29">
        <v>36.82</v>
      </c>
      <c r="X529" s="26">
        <v>88192</v>
      </c>
      <c r="Y529" s="35">
        <v>6.24</v>
      </c>
      <c r="Z529" s="1" t="s">
        <v>3012</v>
      </c>
      <c r="AA529" s="36">
        <v>3.6036000000000001</v>
      </c>
      <c r="AB529" s="54">
        <v>15.832600000000001</v>
      </c>
      <c r="AC529" s="54">
        <v>0.95397272727272719</v>
      </c>
      <c r="AD529" s="36">
        <v>39.120400000000004</v>
      </c>
    </row>
    <row r="530" spans="1:30" s="37" customFormat="1" ht="15.75" customHeight="1" x14ac:dyDescent="0.2">
      <c r="A530" s="26">
        <v>651</v>
      </c>
      <c r="B530" s="27" t="s">
        <v>294</v>
      </c>
      <c r="C530" s="27" t="s">
        <v>48</v>
      </c>
      <c r="D530" s="28">
        <v>0.04</v>
      </c>
      <c r="E530" s="29">
        <v>880.98</v>
      </c>
      <c r="F530" s="29">
        <v>44.55</v>
      </c>
      <c r="G530" s="30" t="s">
        <v>27</v>
      </c>
      <c r="H530" s="27" t="s">
        <v>40</v>
      </c>
      <c r="I530" s="27" t="s">
        <v>29</v>
      </c>
      <c r="J530" s="27" t="s">
        <v>117</v>
      </c>
      <c r="K530" s="27" t="s">
        <v>31</v>
      </c>
      <c r="L530" s="31" t="s">
        <v>238</v>
      </c>
      <c r="M530" s="32">
        <v>0.62</v>
      </c>
      <c r="N530" s="27" t="s">
        <v>33</v>
      </c>
      <c r="O530" s="27" t="s">
        <v>60</v>
      </c>
      <c r="P530" s="27" t="s">
        <v>296</v>
      </c>
      <c r="Q530" s="27" t="s">
        <v>297</v>
      </c>
      <c r="R530" s="33">
        <v>89115</v>
      </c>
      <c r="S530" s="34">
        <v>42050</v>
      </c>
      <c r="T530" s="34">
        <v>42054</v>
      </c>
      <c r="U530" s="29">
        <v>4233.2587999999996</v>
      </c>
      <c r="V530" s="26">
        <v>8</v>
      </c>
      <c r="W530" s="29">
        <v>6901.25</v>
      </c>
      <c r="X530" s="26">
        <v>91576</v>
      </c>
      <c r="Y530" s="35">
        <v>9.42</v>
      </c>
      <c r="Z530" s="1" t="s">
        <v>3013</v>
      </c>
      <c r="AA530" s="36">
        <v>281.91360000000003</v>
      </c>
      <c r="AB530" s="54">
        <v>2622.4749999999999</v>
      </c>
      <c r="AC530" s="54">
        <v>534.84687499999995</v>
      </c>
      <c r="AD530" s="36">
        <v>2341.5276000000003</v>
      </c>
    </row>
    <row r="531" spans="1:30" s="37" customFormat="1" ht="15.75" customHeight="1" x14ac:dyDescent="0.2">
      <c r="A531" s="26">
        <v>596</v>
      </c>
      <c r="B531" s="27" t="s">
        <v>1191</v>
      </c>
      <c r="C531" s="27" t="s">
        <v>26</v>
      </c>
      <c r="D531" s="28">
        <v>7.0000000000000007E-2</v>
      </c>
      <c r="E531" s="29">
        <v>417.4</v>
      </c>
      <c r="F531" s="29">
        <v>75.23</v>
      </c>
      <c r="G531" s="30" t="s">
        <v>27</v>
      </c>
      <c r="H531" s="27" t="s">
        <v>40</v>
      </c>
      <c r="I531" s="27" t="s">
        <v>29</v>
      </c>
      <c r="J531" s="27" t="s">
        <v>30</v>
      </c>
      <c r="K531" s="27" t="s">
        <v>31</v>
      </c>
      <c r="L531" s="31" t="s">
        <v>1195</v>
      </c>
      <c r="M531" s="32">
        <v>0.79</v>
      </c>
      <c r="N531" s="27" t="s">
        <v>33</v>
      </c>
      <c r="O531" s="27" t="s">
        <v>53</v>
      </c>
      <c r="P531" s="27" t="s">
        <v>54</v>
      </c>
      <c r="Q531" s="27" t="s">
        <v>1193</v>
      </c>
      <c r="R531" s="33">
        <v>46032</v>
      </c>
      <c r="S531" s="34">
        <v>42050</v>
      </c>
      <c r="T531" s="34">
        <v>42051</v>
      </c>
      <c r="U531" s="29">
        <v>-575.35199999999998</v>
      </c>
      <c r="V531" s="26">
        <v>12</v>
      </c>
      <c r="W531" s="29">
        <v>4910.72</v>
      </c>
      <c r="X531" s="26">
        <v>86308</v>
      </c>
      <c r="Y531" s="35">
        <v>3.77</v>
      </c>
      <c r="Z531" s="1" t="s">
        <v>3012</v>
      </c>
      <c r="AA531" s="36">
        <v>350.61599999999999</v>
      </c>
      <c r="AB531" s="54">
        <v>1031.2511999999999</v>
      </c>
      <c r="AC531" s="54">
        <v>323.28906666666671</v>
      </c>
      <c r="AD531" s="36">
        <v>5060.2260000000006</v>
      </c>
    </row>
    <row r="532" spans="1:30" s="37" customFormat="1" ht="15.75" customHeight="1" x14ac:dyDescent="0.2">
      <c r="A532" s="26">
        <v>2951</v>
      </c>
      <c r="B532" s="27" t="s">
        <v>1209</v>
      </c>
      <c r="C532" s="27" t="s">
        <v>116</v>
      </c>
      <c r="D532" s="28">
        <v>0.03</v>
      </c>
      <c r="E532" s="29">
        <v>89.99</v>
      </c>
      <c r="F532" s="29">
        <v>42</v>
      </c>
      <c r="G532" s="30" t="s">
        <v>27</v>
      </c>
      <c r="H532" s="27" t="s">
        <v>94</v>
      </c>
      <c r="I532" s="27" t="s">
        <v>29</v>
      </c>
      <c r="J532" s="27" t="s">
        <v>109</v>
      </c>
      <c r="K532" s="27" t="s">
        <v>58</v>
      </c>
      <c r="L532" s="31" t="s">
        <v>1211</v>
      </c>
      <c r="M532" s="32">
        <v>0.66</v>
      </c>
      <c r="N532" s="27" t="s">
        <v>33</v>
      </c>
      <c r="O532" s="27" t="s">
        <v>53</v>
      </c>
      <c r="P532" s="27" t="s">
        <v>537</v>
      </c>
      <c r="Q532" s="27" t="s">
        <v>1210</v>
      </c>
      <c r="R532" s="33">
        <v>67601</v>
      </c>
      <c r="S532" s="34">
        <v>42050</v>
      </c>
      <c r="T532" s="34">
        <v>42053</v>
      </c>
      <c r="U532" s="29">
        <v>-230.9528</v>
      </c>
      <c r="V532" s="26">
        <v>19</v>
      </c>
      <c r="W532" s="29">
        <v>1809.75</v>
      </c>
      <c r="X532" s="26">
        <v>91397</v>
      </c>
      <c r="Y532" s="35">
        <v>7.91</v>
      </c>
      <c r="Z532" s="1" t="s">
        <v>3012</v>
      </c>
      <c r="AA532" s="36">
        <v>51.294299999999993</v>
      </c>
      <c r="AB532" s="54">
        <v>615.31499999999994</v>
      </c>
      <c r="AC532" s="54">
        <v>62.865000000000002</v>
      </c>
      <c r="AD532" s="36">
        <v>1947.4085</v>
      </c>
    </row>
    <row r="533" spans="1:30" s="37" customFormat="1" ht="15.75" customHeight="1" x14ac:dyDescent="0.2">
      <c r="A533" s="26">
        <v>2951</v>
      </c>
      <c r="B533" s="27" t="s">
        <v>1209</v>
      </c>
      <c r="C533" s="27" t="s">
        <v>116</v>
      </c>
      <c r="D533" s="28">
        <v>7.0000000000000007E-2</v>
      </c>
      <c r="E533" s="29">
        <v>42.98</v>
      </c>
      <c r="F533" s="29">
        <v>4.62</v>
      </c>
      <c r="G533" s="30" t="s">
        <v>87</v>
      </c>
      <c r="H533" s="27" t="s">
        <v>94</v>
      </c>
      <c r="I533" s="27" t="s">
        <v>49</v>
      </c>
      <c r="J533" s="27" t="s">
        <v>95</v>
      </c>
      <c r="K533" s="27" t="s">
        <v>73</v>
      </c>
      <c r="L533" s="31" t="s">
        <v>280</v>
      </c>
      <c r="M533" s="32">
        <v>0.56000000000000005</v>
      </c>
      <c r="N533" s="27" t="s">
        <v>33</v>
      </c>
      <c r="O533" s="27" t="s">
        <v>53</v>
      </c>
      <c r="P533" s="27" t="s">
        <v>537</v>
      </c>
      <c r="Q533" s="27" t="s">
        <v>1210</v>
      </c>
      <c r="R533" s="33">
        <v>67601</v>
      </c>
      <c r="S533" s="34">
        <v>42050</v>
      </c>
      <c r="T533" s="34">
        <v>42052</v>
      </c>
      <c r="U533" s="29">
        <v>565.38599999999997</v>
      </c>
      <c r="V533" s="26">
        <v>19</v>
      </c>
      <c r="W533" s="29">
        <v>819.4</v>
      </c>
      <c r="X533" s="26">
        <v>91397</v>
      </c>
      <c r="Y533" s="35">
        <v>417.33</v>
      </c>
      <c r="Z533" s="1" t="s">
        <v>3012</v>
      </c>
      <c r="AA533" s="36">
        <v>57.163399999999996</v>
      </c>
      <c r="AB533" s="54">
        <v>360.53599999999994</v>
      </c>
      <c r="AC533" s="54">
        <v>24.150736842105267</v>
      </c>
      <c r="AD533" s="36">
        <v>192.23059999999998</v>
      </c>
    </row>
    <row r="534" spans="1:30" s="37" customFormat="1" ht="15.75" customHeight="1" x14ac:dyDescent="0.2">
      <c r="A534" s="26">
        <v>2355</v>
      </c>
      <c r="B534" s="27" t="s">
        <v>1212</v>
      </c>
      <c r="C534" s="27" t="s">
        <v>3094</v>
      </c>
      <c r="D534" s="28">
        <v>0.1</v>
      </c>
      <c r="E534" s="29">
        <v>78.69</v>
      </c>
      <c r="F534" s="29">
        <v>19.989999999999998</v>
      </c>
      <c r="G534" s="30" t="s">
        <v>39</v>
      </c>
      <c r="H534" s="27" t="s">
        <v>40</v>
      </c>
      <c r="I534" s="27" t="s">
        <v>29</v>
      </c>
      <c r="J534" s="27" t="s">
        <v>126</v>
      </c>
      <c r="K534" s="27" t="s">
        <v>73</v>
      </c>
      <c r="L534" s="31" t="s">
        <v>1213</v>
      </c>
      <c r="M534" s="32">
        <v>0.43</v>
      </c>
      <c r="N534" s="27" t="s">
        <v>33</v>
      </c>
      <c r="O534" s="27" t="s">
        <v>60</v>
      </c>
      <c r="P534" s="27" t="s">
        <v>90</v>
      </c>
      <c r="Q534" s="27" t="s">
        <v>1214</v>
      </c>
      <c r="R534" s="33">
        <v>92236</v>
      </c>
      <c r="S534" s="34">
        <v>42050</v>
      </c>
      <c r="T534" s="34">
        <v>42051</v>
      </c>
      <c r="U534" s="29">
        <v>465.43950000000001</v>
      </c>
      <c r="V534" s="26">
        <v>9</v>
      </c>
      <c r="W534" s="29">
        <v>674.55</v>
      </c>
      <c r="X534" s="26">
        <v>91304</v>
      </c>
      <c r="Y534" s="35">
        <v>4.9600000000000009</v>
      </c>
      <c r="Z534" s="1" t="s">
        <v>3013</v>
      </c>
      <c r="AA534" s="36">
        <v>70.820999999999998</v>
      </c>
      <c r="AB534" s="54">
        <v>384.49350000000004</v>
      </c>
      <c r="AC534" s="54">
        <v>32.228499999999997</v>
      </c>
      <c r="AD534" s="36">
        <v>118.29949999999997</v>
      </c>
    </row>
    <row r="535" spans="1:30" s="37" customFormat="1" ht="15.75" customHeight="1" x14ac:dyDescent="0.2">
      <c r="A535" s="26">
        <v>3211</v>
      </c>
      <c r="B535" s="27" t="s">
        <v>1199</v>
      </c>
      <c r="C535" s="27" t="s">
        <v>38</v>
      </c>
      <c r="D535" s="28">
        <v>0.1</v>
      </c>
      <c r="E535" s="29">
        <v>20.99</v>
      </c>
      <c r="F535" s="29">
        <v>2.5</v>
      </c>
      <c r="G535" s="30" t="s">
        <v>39</v>
      </c>
      <c r="H535" s="27" t="s">
        <v>94</v>
      </c>
      <c r="I535" s="27" t="s">
        <v>41</v>
      </c>
      <c r="J535" s="27" t="s">
        <v>135</v>
      </c>
      <c r="K535" s="27" t="s">
        <v>51</v>
      </c>
      <c r="L535" s="31" t="s">
        <v>1201</v>
      </c>
      <c r="M535" s="32">
        <v>0.81</v>
      </c>
      <c r="N535" s="27" t="s">
        <v>33</v>
      </c>
      <c r="O535" s="27" t="s">
        <v>53</v>
      </c>
      <c r="P535" s="27" t="s">
        <v>103</v>
      </c>
      <c r="Q535" s="27" t="s">
        <v>1200</v>
      </c>
      <c r="R535" s="33">
        <v>60101</v>
      </c>
      <c r="S535" s="34">
        <v>42050</v>
      </c>
      <c r="T535" s="34">
        <v>42051</v>
      </c>
      <c r="U535" s="29">
        <v>-43.65504</v>
      </c>
      <c r="V535" s="26">
        <v>23</v>
      </c>
      <c r="W535" s="29">
        <v>392.45</v>
      </c>
      <c r="X535" s="26">
        <v>91522</v>
      </c>
      <c r="Y535" s="35">
        <v>20.979999999999997</v>
      </c>
      <c r="Z535" s="1" t="s">
        <v>3012</v>
      </c>
      <c r="AA535" s="36">
        <v>48.276999999999994</v>
      </c>
      <c r="AB535" s="54">
        <v>74.565499999999972</v>
      </c>
      <c r="AC535" s="54">
        <v>13.821065217391306</v>
      </c>
      <c r="AD535" s="36">
        <v>385.32803999999999</v>
      </c>
    </row>
    <row r="536" spans="1:30" s="37" customFormat="1" ht="15.75" customHeight="1" x14ac:dyDescent="0.2">
      <c r="A536" s="26">
        <v>11</v>
      </c>
      <c r="B536" s="27" t="s">
        <v>1189</v>
      </c>
      <c r="C536" s="27" t="s">
        <v>26</v>
      </c>
      <c r="D536" s="28">
        <v>0.06</v>
      </c>
      <c r="E536" s="29">
        <v>9.48</v>
      </c>
      <c r="F536" s="29">
        <v>7.29</v>
      </c>
      <c r="G536" s="30" t="s">
        <v>39</v>
      </c>
      <c r="H536" s="27" t="s">
        <v>71</v>
      </c>
      <c r="I536" s="27" t="s">
        <v>29</v>
      </c>
      <c r="J536" s="27" t="s">
        <v>126</v>
      </c>
      <c r="K536" s="27" t="s">
        <v>43</v>
      </c>
      <c r="L536" s="31" t="s">
        <v>504</v>
      </c>
      <c r="M536" s="32">
        <v>0.45</v>
      </c>
      <c r="N536" s="27" t="s">
        <v>33</v>
      </c>
      <c r="O536" s="27" t="s">
        <v>111</v>
      </c>
      <c r="P536" s="27" t="s">
        <v>397</v>
      </c>
      <c r="Q536" s="27" t="s">
        <v>1190</v>
      </c>
      <c r="R536" s="33">
        <v>7203</v>
      </c>
      <c r="S536" s="34">
        <v>42050</v>
      </c>
      <c r="T536" s="34">
        <v>42052</v>
      </c>
      <c r="U536" s="29">
        <v>-53.809600000000003</v>
      </c>
      <c r="V536" s="26">
        <v>22</v>
      </c>
      <c r="W536" s="29">
        <v>211.15</v>
      </c>
      <c r="X536" s="26">
        <v>90192</v>
      </c>
      <c r="Y536" s="35">
        <v>7.21</v>
      </c>
      <c r="Z536" s="1" t="s">
        <v>3014</v>
      </c>
      <c r="AA536" s="36">
        <v>12.5136</v>
      </c>
      <c r="AB536" s="54">
        <v>116.13250000000001</v>
      </c>
      <c r="AC536" s="54">
        <v>4.3189772727272731</v>
      </c>
      <c r="AD536" s="36">
        <v>245.15600000000001</v>
      </c>
    </row>
    <row r="537" spans="1:30" s="37" customFormat="1" ht="15.75" customHeight="1" x14ac:dyDescent="0.2">
      <c r="A537" s="26">
        <v>651</v>
      </c>
      <c r="B537" s="27" t="s">
        <v>294</v>
      </c>
      <c r="C537" s="27" t="s">
        <v>48</v>
      </c>
      <c r="D537" s="28">
        <v>0.01</v>
      </c>
      <c r="E537" s="29">
        <v>15.99</v>
      </c>
      <c r="F537" s="29">
        <v>11.28</v>
      </c>
      <c r="G537" s="30" t="s">
        <v>39</v>
      </c>
      <c r="H537" s="27" t="s">
        <v>40</v>
      </c>
      <c r="I537" s="27" t="s">
        <v>41</v>
      </c>
      <c r="J537" s="27" t="s">
        <v>57</v>
      </c>
      <c r="K537" s="27" t="s">
        <v>144</v>
      </c>
      <c r="L537" s="31" t="s">
        <v>1206</v>
      </c>
      <c r="M537" s="32">
        <v>0.38</v>
      </c>
      <c r="N537" s="27" t="s">
        <v>33</v>
      </c>
      <c r="O537" s="27" t="s">
        <v>60</v>
      </c>
      <c r="P537" s="27" t="s">
        <v>296</v>
      </c>
      <c r="Q537" s="27" t="s">
        <v>297</v>
      </c>
      <c r="R537" s="33">
        <v>89115</v>
      </c>
      <c r="S537" s="34">
        <v>42050</v>
      </c>
      <c r="T537" s="34">
        <v>42057</v>
      </c>
      <c r="U537" s="29">
        <v>-36.671543999999997</v>
      </c>
      <c r="V537" s="26">
        <v>12</v>
      </c>
      <c r="W537" s="29">
        <v>200.68</v>
      </c>
      <c r="X537" s="26">
        <v>91576</v>
      </c>
      <c r="Y537" s="35">
        <v>20.889999999999997</v>
      </c>
      <c r="Z537" s="1" t="s">
        <v>3013</v>
      </c>
      <c r="AA537" s="36">
        <v>1.9188000000000001</v>
      </c>
      <c r="AB537" s="54">
        <v>124.4216</v>
      </c>
      <c r="AC537" s="54">
        <v>6.3548666666666662</v>
      </c>
      <c r="AD537" s="36">
        <v>224.15274400000001</v>
      </c>
    </row>
    <row r="538" spans="1:30" s="37" customFormat="1" ht="15.75" customHeight="1" x14ac:dyDescent="0.2">
      <c r="A538" s="26">
        <v>2260</v>
      </c>
      <c r="B538" s="27" t="s">
        <v>1196</v>
      </c>
      <c r="C538" s="27" t="s">
        <v>26</v>
      </c>
      <c r="D538" s="28">
        <v>0.01</v>
      </c>
      <c r="E538" s="29">
        <v>20.99</v>
      </c>
      <c r="F538" s="29">
        <v>0.99</v>
      </c>
      <c r="G538" s="30" t="s">
        <v>39</v>
      </c>
      <c r="H538" s="27" t="s">
        <v>94</v>
      </c>
      <c r="I538" s="27" t="s">
        <v>41</v>
      </c>
      <c r="J538" s="27" t="s">
        <v>135</v>
      </c>
      <c r="K538" s="27" t="s">
        <v>43</v>
      </c>
      <c r="L538" s="31" t="s">
        <v>1198</v>
      </c>
      <c r="M538" s="32">
        <v>0.83</v>
      </c>
      <c r="N538" s="27" t="s">
        <v>33</v>
      </c>
      <c r="O538" s="27" t="s">
        <v>34</v>
      </c>
      <c r="P538" s="27" t="s">
        <v>75</v>
      </c>
      <c r="Q538" s="27" t="s">
        <v>1197</v>
      </c>
      <c r="R538" s="33">
        <v>30161</v>
      </c>
      <c r="S538" s="34">
        <v>42050</v>
      </c>
      <c r="T538" s="34">
        <v>42051</v>
      </c>
      <c r="U538" s="29">
        <v>45.378</v>
      </c>
      <c r="V538" s="26">
        <v>9</v>
      </c>
      <c r="W538" s="29">
        <v>170.46</v>
      </c>
      <c r="X538" s="26">
        <v>89601</v>
      </c>
      <c r="Y538" s="35">
        <v>9.64</v>
      </c>
      <c r="Z538" s="1" t="s">
        <v>3011</v>
      </c>
      <c r="AA538" s="36">
        <v>1.8890999999999998</v>
      </c>
      <c r="AB538" s="54">
        <v>28.978200000000008</v>
      </c>
      <c r="AC538" s="54">
        <v>15.7202</v>
      </c>
      <c r="AD538" s="36">
        <v>122.2029</v>
      </c>
    </row>
    <row r="539" spans="1:30" s="37" customFormat="1" ht="15.75" customHeight="1" x14ac:dyDescent="0.2">
      <c r="A539" s="26">
        <v>651</v>
      </c>
      <c r="B539" s="27" t="s">
        <v>294</v>
      </c>
      <c r="C539" s="27" t="s">
        <v>48</v>
      </c>
      <c r="D539" s="28">
        <v>7.0000000000000007E-2</v>
      </c>
      <c r="E539" s="29">
        <v>13.4</v>
      </c>
      <c r="F539" s="29">
        <v>4.95</v>
      </c>
      <c r="G539" s="30" t="s">
        <v>39</v>
      </c>
      <c r="H539" s="27" t="s">
        <v>40</v>
      </c>
      <c r="I539" s="27" t="s">
        <v>29</v>
      </c>
      <c r="J539" s="27" t="s">
        <v>126</v>
      </c>
      <c r="K539" s="27" t="s">
        <v>43</v>
      </c>
      <c r="L539" s="31" t="s">
        <v>1205</v>
      </c>
      <c r="M539" s="32">
        <v>0.37</v>
      </c>
      <c r="N539" s="27" t="s">
        <v>33</v>
      </c>
      <c r="O539" s="27" t="s">
        <v>60</v>
      </c>
      <c r="P539" s="27" t="s">
        <v>296</v>
      </c>
      <c r="Q539" s="27" t="s">
        <v>297</v>
      </c>
      <c r="R539" s="33">
        <v>89115</v>
      </c>
      <c r="S539" s="34">
        <v>42050</v>
      </c>
      <c r="T539" s="34">
        <v>42055</v>
      </c>
      <c r="U539" s="29">
        <v>102.76860000000001</v>
      </c>
      <c r="V539" s="26">
        <v>11</v>
      </c>
      <c r="W539" s="29">
        <v>148.94</v>
      </c>
      <c r="X539" s="26">
        <v>91576</v>
      </c>
      <c r="Y539" s="35">
        <v>880.94</v>
      </c>
      <c r="Z539" s="1" t="s">
        <v>3013</v>
      </c>
      <c r="AA539" s="36">
        <v>10.318000000000001</v>
      </c>
      <c r="AB539" s="54">
        <v>93.8322</v>
      </c>
      <c r="AC539" s="54">
        <v>5.0097999999999994</v>
      </c>
      <c r="AD539" s="36">
        <v>30.903399999999991</v>
      </c>
    </row>
    <row r="540" spans="1:30" s="37" customFormat="1" ht="15.75" customHeight="1" x14ac:dyDescent="0.2">
      <c r="A540" s="26">
        <v>2260</v>
      </c>
      <c r="B540" s="27" t="s">
        <v>1196</v>
      </c>
      <c r="C540" s="27" t="s">
        <v>26</v>
      </c>
      <c r="D540" s="28">
        <v>0.02</v>
      </c>
      <c r="E540" s="29">
        <v>4.9800000000000004</v>
      </c>
      <c r="F540" s="29">
        <v>0.49</v>
      </c>
      <c r="G540" s="30" t="s">
        <v>39</v>
      </c>
      <c r="H540" s="27" t="s">
        <v>94</v>
      </c>
      <c r="I540" s="27" t="s">
        <v>49</v>
      </c>
      <c r="J540" s="27" t="s">
        <v>152</v>
      </c>
      <c r="K540" s="27" t="s">
        <v>73</v>
      </c>
      <c r="L540" s="31" t="s">
        <v>1103</v>
      </c>
      <c r="M540" s="32">
        <v>0.39</v>
      </c>
      <c r="N540" s="27" t="s">
        <v>33</v>
      </c>
      <c r="O540" s="27" t="s">
        <v>34</v>
      </c>
      <c r="P540" s="27" t="s">
        <v>75</v>
      </c>
      <c r="Q540" s="27" t="s">
        <v>1197</v>
      </c>
      <c r="R540" s="33">
        <v>30161</v>
      </c>
      <c r="S540" s="34">
        <v>42050</v>
      </c>
      <c r="T540" s="34">
        <v>42051</v>
      </c>
      <c r="U540" s="29">
        <v>-52.863999999999997</v>
      </c>
      <c r="V540" s="26">
        <v>17</v>
      </c>
      <c r="W540" s="29">
        <v>87.11</v>
      </c>
      <c r="X540" s="26">
        <v>89601</v>
      </c>
      <c r="Y540" s="35">
        <v>13.33</v>
      </c>
      <c r="Z540" s="1" t="s">
        <v>3011</v>
      </c>
      <c r="AA540" s="36">
        <v>1.6932</v>
      </c>
      <c r="AB540" s="54">
        <v>53.137099999999997</v>
      </c>
      <c r="AC540" s="54">
        <v>1.9984058823529411</v>
      </c>
      <c r="AD540" s="36">
        <v>137.79079999999999</v>
      </c>
    </row>
    <row r="541" spans="1:30" s="37" customFormat="1" ht="15.75" customHeight="1" x14ac:dyDescent="0.2">
      <c r="A541" s="26">
        <v>3211</v>
      </c>
      <c r="B541" s="27" t="s">
        <v>1199</v>
      </c>
      <c r="C541" s="27" t="s">
        <v>38</v>
      </c>
      <c r="D541" s="28">
        <v>0.1</v>
      </c>
      <c r="E541" s="29">
        <v>7.31</v>
      </c>
      <c r="F541" s="29">
        <v>0.49</v>
      </c>
      <c r="G541" s="30" t="s">
        <v>39</v>
      </c>
      <c r="H541" s="27" t="s">
        <v>94</v>
      </c>
      <c r="I541" s="27" t="s">
        <v>49</v>
      </c>
      <c r="J541" s="27" t="s">
        <v>152</v>
      </c>
      <c r="K541" s="27" t="s">
        <v>73</v>
      </c>
      <c r="L541" s="31" t="s">
        <v>1127</v>
      </c>
      <c r="M541" s="32">
        <v>0.38</v>
      </c>
      <c r="N541" s="27" t="s">
        <v>33</v>
      </c>
      <c r="O541" s="27" t="s">
        <v>53</v>
      </c>
      <c r="P541" s="27" t="s">
        <v>103</v>
      </c>
      <c r="Q541" s="27" t="s">
        <v>1200</v>
      </c>
      <c r="R541" s="33">
        <v>60101</v>
      </c>
      <c r="S541" s="34">
        <v>42050</v>
      </c>
      <c r="T541" s="34">
        <v>42051</v>
      </c>
      <c r="U541" s="29">
        <v>55.020600000000002</v>
      </c>
      <c r="V541" s="26">
        <v>12</v>
      </c>
      <c r="W541" s="29">
        <v>79.739999999999995</v>
      </c>
      <c r="X541" s="26">
        <v>91522</v>
      </c>
      <c r="Y541" s="35">
        <v>15.98</v>
      </c>
      <c r="Z541" s="1" t="s">
        <v>3012</v>
      </c>
      <c r="AA541" s="36">
        <v>8.7720000000000002</v>
      </c>
      <c r="AB541" s="54">
        <v>49.438799999999993</v>
      </c>
      <c r="AC541" s="54">
        <v>2.5250999999999997</v>
      </c>
      <c r="AD541" s="36">
        <v>15.457399999999993</v>
      </c>
    </row>
    <row r="542" spans="1:30" s="37" customFormat="1" ht="15.75" customHeight="1" x14ac:dyDescent="0.2">
      <c r="A542" s="26">
        <v>596</v>
      </c>
      <c r="B542" s="27" t="s">
        <v>1191</v>
      </c>
      <c r="C542" s="27" t="s">
        <v>26</v>
      </c>
      <c r="D542" s="28">
        <v>7.0000000000000007E-2</v>
      </c>
      <c r="E542" s="29">
        <v>7.98</v>
      </c>
      <c r="F542" s="29">
        <v>1.25</v>
      </c>
      <c r="G542" s="30" t="s">
        <v>39</v>
      </c>
      <c r="H542" s="27" t="s">
        <v>40</v>
      </c>
      <c r="I542" s="27" t="s">
        <v>49</v>
      </c>
      <c r="J542" s="27" t="s">
        <v>88</v>
      </c>
      <c r="K542" s="27" t="s">
        <v>51</v>
      </c>
      <c r="L542" s="31" t="s">
        <v>1194</v>
      </c>
      <c r="M542" s="32">
        <v>0.35</v>
      </c>
      <c r="N542" s="27" t="s">
        <v>33</v>
      </c>
      <c r="O542" s="27" t="s">
        <v>53</v>
      </c>
      <c r="P542" s="27" t="s">
        <v>54</v>
      </c>
      <c r="Q542" s="27" t="s">
        <v>1193</v>
      </c>
      <c r="R542" s="33">
        <v>46032</v>
      </c>
      <c r="S542" s="34">
        <v>42050</v>
      </c>
      <c r="T542" s="34">
        <v>42052</v>
      </c>
      <c r="U542" s="29">
        <v>26.585699999999999</v>
      </c>
      <c r="V542" s="26">
        <v>5</v>
      </c>
      <c r="W542" s="29">
        <v>38.53</v>
      </c>
      <c r="X542" s="26">
        <v>86308</v>
      </c>
      <c r="Y542" s="35">
        <v>8.65</v>
      </c>
      <c r="Z542" s="1" t="s">
        <v>3012</v>
      </c>
      <c r="AA542" s="36">
        <v>2.7930000000000006</v>
      </c>
      <c r="AB542" s="54">
        <v>25.044500000000003</v>
      </c>
      <c r="AC542" s="54">
        <v>2.6970999999999998</v>
      </c>
      <c r="AD542" s="36">
        <v>7.9013000000000027</v>
      </c>
    </row>
    <row r="543" spans="1:30" s="37" customFormat="1" ht="15.75" customHeight="1" x14ac:dyDescent="0.2">
      <c r="A543" s="26">
        <v>393</v>
      </c>
      <c r="B543" s="27" t="s">
        <v>1202</v>
      </c>
      <c r="C543" s="27" t="s">
        <v>48</v>
      </c>
      <c r="D543" s="28">
        <v>7.0000000000000007E-2</v>
      </c>
      <c r="E543" s="29">
        <v>9.7100000000000009</v>
      </c>
      <c r="F543" s="29">
        <v>9.4499999999999993</v>
      </c>
      <c r="G543" s="30" t="s">
        <v>39</v>
      </c>
      <c r="H543" s="27" t="s">
        <v>94</v>
      </c>
      <c r="I543" s="27" t="s">
        <v>49</v>
      </c>
      <c r="J543" s="27" t="s">
        <v>78</v>
      </c>
      <c r="K543" s="27" t="s">
        <v>73</v>
      </c>
      <c r="L543" s="31" t="s">
        <v>1203</v>
      </c>
      <c r="M543" s="32">
        <v>0.6</v>
      </c>
      <c r="N543" s="27" t="s">
        <v>33</v>
      </c>
      <c r="O543" s="27" t="s">
        <v>111</v>
      </c>
      <c r="P543" s="27" t="s">
        <v>112</v>
      </c>
      <c r="Q543" s="27" t="s">
        <v>1204</v>
      </c>
      <c r="R543" s="33">
        <v>13021</v>
      </c>
      <c r="S543" s="34">
        <v>42050</v>
      </c>
      <c r="T543" s="34">
        <v>42057</v>
      </c>
      <c r="U543" s="29">
        <v>-81.77</v>
      </c>
      <c r="V543" s="26">
        <v>3</v>
      </c>
      <c r="W543" s="29">
        <v>31.44</v>
      </c>
      <c r="X543" s="26">
        <v>86382</v>
      </c>
      <c r="Y543" s="35">
        <v>18.88</v>
      </c>
      <c r="Z543" s="1" t="s">
        <v>3014</v>
      </c>
      <c r="AA543" s="36">
        <v>2.0391000000000004</v>
      </c>
      <c r="AB543" s="54">
        <v>12.576000000000001</v>
      </c>
      <c r="AC543" s="54">
        <v>6.2880000000000003</v>
      </c>
      <c r="AD543" s="36">
        <v>101.72089999999999</v>
      </c>
    </row>
    <row r="544" spans="1:30" s="37" customFormat="1" ht="15.75" customHeight="1" x14ac:dyDescent="0.2">
      <c r="A544" s="26">
        <v>596</v>
      </c>
      <c r="B544" s="27" t="s">
        <v>1191</v>
      </c>
      <c r="C544" s="27" t="s">
        <v>26</v>
      </c>
      <c r="D544" s="28">
        <v>0.03</v>
      </c>
      <c r="E544" s="29">
        <v>3.8</v>
      </c>
      <c r="F544" s="29">
        <v>1.49</v>
      </c>
      <c r="G544" s="30" t="s">
        <v>39</v>
      </c>
      <c r="H544" s="27" t="s">
        <v>40</v>
      </c>
      <c r="I544" s="27" t="s">
        <v>49</v>
      </c>
      <c r="J544" s="27" t="s">
        <v>72</v>
      </c>
      <c r="K544" s="27" t="s">
        <v>73</v>
      </c>
      <c r="L544" s="31" t="s">
        <v>1192</v>
      </c>
      <c r="M544" s="32">
        <v>0.38</v>
      </c>
      <c r="N544" s="27" t="s">
        <v>33</v>
      </c>
      <c r="O544" s="27" t="s">
        <v>53</v>
      </c>
      <c r="P544" s="27" t="s">
        <v>54</v>
      </c>
      <c r="Q544" s="27" t="s">
        <v>1193</v>
      </c>
      <c r="R544" s="33">
        <v>46032</v>
      </c>
      <c r="S544" s="34">
        <v>42050</v>
      </c>
      <c r="T544" s="34">
        <v>42052</v>
      </c>
      <c r="U544" s="29">
        <v>15.2745</v>
      </c>
      <c r="V544" s="26">
        <v>6</v>
      </c>
      <c r="W544" s="29">
        <v>24.27</v>
      </c>
      <c r="X544" s="26">
        <v>86308</v>
      </c>
      <c r="Y544" s="35">
        <v>42.91</v>
      </c>
      <c r="Z544" s="1" t="s">
        <v>3012</v>
      </c>
      <c r="AA544" s="36">
        <v>0.68399999999999994</v>
      </c>
      <c r="AB544" s="54">
        <v>15.0474</v>
      </c>
      <c r="AC544" s="54">
        <v>1.5370999999999999</v>
      </c>
      <c r="AD544" s="36">
        <v>6.8215000000000003</v>
      </c>
    </row>
    <row r="545" spans="1:30" s="37" customFormat="1" ht="15.75" customHeight="1" x14ac:dyDescent="0.2">
      <c r="A545" s="26">
        <v>2684</v>
      </c>
      <c r="B545" s="27" t="s">
        <v>1207</v>
      </c>
      <c r="C545" s="27" t="s">
        <v>48</v>
      </c>
      <c r="D545" s="28">
        <v>0.09</v>
      </c>
      <c r="E545" s="29">
        <v>18.97</v>
      </c>
      <c r="F545" s="29">
        <v>9.0299999999999994</v>
      </c>
      <c r="G545" s="30" t="s">
        <v>39</v>
      </c>
      <c r="H545" s="27" t="s">
        <v>3095</v>
      </c>
      <c r="I545" s="27" t="s">
        <v>49</v>
      </c>
      <c r="J545" s="27" t="s">
        <v>88</v>
      </c>
      <c r="K545" s="27" t="s">
        <v>73</v>
      </c>
      <c r="L545" s="31" t="s">
        <v>630</v>
      </c>
      <c r="M545" s="32">
        <v>0.37</v>
      </c>
      <c r="N545" s="27" t="s">
        <v>33</v>
      </c>
      <c r="O545" s="27" t="s">
        <v>34</v>
      </c>
      <c r="P545" s="27" t="s">
        <v>123</v>
      </c>
      <c r="Q545" s="27" t="s">
        <v>1208</v>
      </c>
      <c r="R545" s="33">
        <v>33952</v>
      </c>
      <c r="S545" s="34">
        <v>42050</v>
      </c>
      <c r="T545" s="34">
        <v>42055</v>
      </c>
      <c r="U545" s="29">
        <v>-1748.0119999999999</v>
      </c>
      <c r="V545" s="26">
        <v>1</v>
      </c>
      <c r="W545" s="29">
        <v>20.96</v>
      </c>
      <c r="X545" s="26">
        <v>89146</v>
      </c>
      <c r="Y545" s="35">
        <v>89.96</v>
      </c>
      <c r="Z545" s="1" t="s">
        <v>3011</v>
      </c>
      <c r="AA545" s="36">
        <v>1.7072999999999998</v>
      </c>
      <c r="AB545" s="54">
        <v>13.204800000000001</v>
      </c>
      <c r="AC545" s="54">
        <v>7.7552000000000003</v>
      </c>
      <c r="AD545" s="36">
        <v>1758.2347</v>
      </c>
    </row>
    <row r="546" spans="1:30" s="37" customFormat="1" ht="15.75" customHeight="1" x14ac:dyDescent="0.2">
      <c r="A546" s="26">
        <v>2684</v>
      </c>
      <c r="B546" s="27" t="s">
        <v>1207</v>
      </c>
      <c r="C546" s="27" t="s">
        <v>48</v>
      </c>
      <c r="D546" s="28">
        <v>0.09</v>
      </c>
      <c r="E546" s="29">
        <v>8.74</v>
      </c>
      <c r="F546" s="29">
        <v>1.39</v>
      </c>
      <c r="G546" s="30" t="s">
        <v>87</v>
      </c>
      <c r="H546" s="27" t="s">
        <v>3095</v>
      </c>
      <c r="I546" s="27" t="s">
        <v>49</v>
      </c>
      <c r="J546" s="27" t="s">
        <v>345</v>
      </c>
      <c r="K546" s="27" t="s">
        <v>73</v>
      </c>
      <c r="L546" s="31" t="s">
        <v>440</v>
      </c>
      <c r="M546" s="32">
        <v>0.38</v>
      </c>
      <c r="N546" s="27" t="s">
        <v>33</v>
      </c>
      <c r="O546" s="27" t="s">
        <v>34</v>
      </c>
      <c r="P546" s="27" t="s">
        <v>123</v>
      </c>
      <c r="Q546" s="27" t="s">
        <v>1208</v>
      </c>
      <c r="R546" s="33">
        <v>33952</v>
      </c>
      <c r="S546" s="34">
        <v>42050</v>
      </c>
      <c r="T546" s="34">
        <v>42055</v>
      </c>
      <c r="U546" s="29">
        <v>23.616</v>
      </c>
      <c r="V546" s="26">
        <v>1</v>
      </c>
      <c r="W546" s="29">
        <v>11.78</v>
      </c>
      <c r="X546" s="26">
        <v>89146</v>
      </c>
      <c r="Y546" s="35">
        <v>78.59</v>
      </c>
      <c r="Z546" s="1" t="s">
        <v>3011</v>
      </c>
      <c r="AA546" s="36">
        <v>0.78659999999999997</v>
      </c>
      <c r="AB546" s="54">
        <v>7.3035999999999994</v>
      </c>
      <c r="AC546" s="54">
        <v>4.4763999999999999</v>
      </c>
      <c r="AD546" s="36">
        <v>-14.012600000000001</v>
      </c>
    </row>
    <row r="547" spans="1:30" s="37" customFormat="1" ht="15.75" customHeight="1" x14ac:dyDescent="0.2">
      <c r="A547" s="26">
        <v>1129</v>
      </c>
      <c r="B547" s="27" t="s">
        <v>786</v>
      </c>
      <c r="C547" s="27" t="s">
        <v>48</v>
      </c>
      <c r="D547" s="28">
        <v>7.0000000000000007E-2</v>
      </c>
      <c r="E547" s="29">
        <v>699.99</v>
      </c>
      <c r="F547" s="29">
        <v>24.49</v>
      </c>
      <c r="G547" s="30" t="s">
        <v>39</v>
      </c>
      <c r="H547" s="27" t="s">
        <v>71</v>
      </c>
      <c r="I547" s="27" t="s">
        <v>41</v>
      </c>
      <c r="J547" s="27" t="s">
        <v>64</v>
      </c>
      <c r="K547" s="27" t="s">
        <v>65</v>
      </c>
      <c r="L547" s="31" t="s">
        <v>1215</v>
      </c>
      <c r="M547" s="32">
        <v>0.54</v>
      </c>
      <c r="N547" s="27" t="s">
        <v>33</v>
      </c>
      <c r="O547" s="27" t="s">
        <v>111</v>
      </c>
      <c r="P547" s="27" t="s">
        <v>403</v>
      </c>
      <c r="Q547" s="27" t="s">
        <v>788</v>
      </c>
      <c r="R547" s="33">
        <v>2118</v>
      </c>
      <c r="S547" s="34">
        <v>42051</v>
      </c>
      <c r="T547" s="34">
        <v>42055</v>
      </c>
      <c r="U547" s="29">
        <v>325.29000000000002</v>
      </c>
      <c r="V547" s="26">
        <v>15</v>
      </c>
      <c r="W547" s="29">
        <v>9862.51</v>
      </c>
      <c r="X547" s="26">
        <v>32037</v>
      </c>
      <c r="Y547" s="35">
        <v>8.56</v>
      </c>
      <c r="Z547" s="1" t="s">
        <v>3014</v>
      </c>
      <c r="AA547" s="36">
        <v>734.98950000000013</v>
      </c>
      <c r="AB547" s="54">
        <v>4536.7545999999993</v>
      </c>
      <c r="AC547" s="54">
        <v>355.05036000000001</v>
      </c>
      <c r="AD547" s="36">
        <v>8777.7404999999999</v>
      </c>
    </row>
    <row r="548" spans="1:30" s="37" customFormat="1" ht="15.75" customHeight="1" x14ac:dyDescent="0.2">
      <c r="A548" s="26">
        <v>1132</v>
      </c>
      <c r="B548" s="27" t="s">
        <v>1093</v>
      </c>
      <c r="C548" s="27" t="s">
        <v>48</v>
      </c>
      <c r="D548" s="28">
        <v>7.0000000000000007E-2</v>
      </c>
      <c r="E548" s="29">
        <v>699.99</v>
      </c>
      <c r="F548" s="29">
        <v>24.49</v>
      </c>
      <c r="G548" s="30" t="s">
        <v>39</v>
      </c>
      <c r="H548" s="27" t="s">
        <v>71</v>
      </c>
      <c r="I548" s="27" t="s">
        <v>41</v>
      </c>
      <c r="J548" s="27" t="s">
        <v>64</v>
      </c>
      <c r="K548" s="27" t="s">
        <v>65</v>
      </c>
      <c r="L548" s="31" t="s">
        <v>1215</v>
      </c>
      <c r="M548" s="32">
        <v>0.54</v>
      </c>
      <c r="N548" s="27" t="s">
        <v>33</v>
      </c>
      <c r="O548" s="27" t="s">
        <v>53</v>
      </c>
      <c r="P548" s="27" t="s">
        <v>187</v>
      </c>
      <c r="Q548" s="27" t="s">
        <v>1094</v>
      </c>
      <c r="R548" s="33">
        <v>76039</v>
      </c>
      <c r="S548" s="34">
        <v>42051</v>
      </c>
      <c r="T548" s="34">
        <v>42055</v>
      </c>
      <c r="U548" s="29">
        <v>325.29000000000002</v>
      </c>
      <c r="V548" s="26">
        <v>4</v>
      </c>
      <c r="W548" s="29">
        <v>2630</v>
      </c>
      <c r="X548" s="26">
        <v>88102</v>
      </c>
      <c r="Y548" s="35">
        <v>699.92</v>
      </c>
      <c r="Z548" s="1" t="s">
        <v>3012</v>
      </c>
      <c r="AA548" s="36">
        <v>195.99720000000002</v>
      </c>
      <c r="AB548" s="54">
        <v>1209.8</v>
      </c>
      <c r="AC548" s="54">
        <v>355.05</v>
      </c>
      <c r="AD548" s="36">
        <v>2084.2228</v>
      </c>
    </row>
    <row r="549" spans="1:30" s="37" customFormat="1" ht="15.75" customHeight="1" x14ac:dyDescent="0.2">
      <c r="A549" s="26">
        <v>1625</v>
      </c>
      <c r="B549" s="27" t="s">
        <v>1223</v>
      </c>
      <c r="C549" s="27" t="s">
        <v>116</v>
      </c>
      <c r="D549" s="28">
        <v>0</v>
      </c>
      <c r="E549" s="29">
        <v>209.37</v>
      </c>
      <c r="F549" s="29">
        <v>69</v>
      </c>
      <c r="G549" s="30" t="s">
        <v>39</v>
      </c>
      <c r="H549" s="27" t="s">
        <v>71</v>
      </c>
      <c r="I549" s="27" t="s">
        <v>29</v>
      </c>
      <c r="J549" s="27" t="s">
        <v>30</v>
      </c>
      <c r="K549" s="27" t="s">
        <v>65</v>
      </c>
      <c r="L549" s="31" t="s">
        <v>1224</v>
      </c>
      <c r="M549" s="32">
        <v>0.79</v>
      </c>
      <c r="N549" s="27" t="s">
        <v>33</v>
      </c>
      <c r="O549" s="27" t="s">
        <v>111</v>
      </c>
      <c r="P549" s="27" t="s">
        <v>112</v>
      </c>
      <c r="Q549" s="27" t="s">
        <v>1225</v>
      </c>
      <c r="R549" s="33">
        <v>11542</v>
      </c>
      <c r="S549" s="34">
        <v>42051</v>
      </c>
      <c r="T549" s="34">
        <v>42053</v>
      </c>
      <c r="U549" s="29">
        <v>-263.11192907999998</v>
      </c>
      <c r="V549" s="26">
        <v>11</v>
      </c>
      <c r="W549" s="29">
        <v>1959.88</v>
      </c>
      <c r="X549" s="26">
        <v>90601</v>
      </c>
      <c r="Y549" s="35">
        <v>8.56</v>
      </c>
      <c r="Z549" s="1" t="s">
        <v>3014</v>
      </c>
      <c r="AA549" s="36">
        <v>0</v>
      </c>
      <c r="AB549" s="54">
        <v>411.57479999999993</v>
      </c>
      <c r="AC549" s="54">
        <v>140.7550181818182</v>
      </c>
      <c r="AD549" s="36">
        <v>2153.9919290799999</v>
      </c>
    </row>
    <row r="550" spans="1:30" s="37" customFormat="1" ht="15.75" customHeight="1" x14ac:dyDescent="0.2">
      <c r="A550" s="26">
        <v>3151</v>
      </c>
      <c r="B550" s="27" t="s">
        <v>953</v>
      </c>
      <c r="C550" s="27" t="s">
        <v>3094</v>
      </c>
      <c r="D550" s="28">
        <v>0.05</v>
      </c>
      <c r="E550" s="29">
        <v>25.99</v>
      </c>
      <c r="F550" s="29">
        <v>5.37</v>
      </c>
      <c r="G550" s="30" t="s">
        <v>87</v>
      </c>
      <c r="H550" s="27" t="s">
        <v>94</v>
      </c>
      <c r="I550" s="27" t="s">
        <v>49</v>
      </c>
      <c r="J550" s="27" t="s">
        <v>50</v>
      </c>
      <c r="K550" s="27" t="s">
        <v>73</v>
      </c>
      <c r="L550" s="31" t="s">
        <v>1226</v>
      </c>
      <c r="M550" s="32">
        <v>0.56000000000000005</v>
      </c>
      <c r="N550" s="27" t="s">
        <v>33</v>
      </c>
      <c r="O550" s="27" t="s">
        <v>60</v>
      </c>
      <c r="P550" s="27" t="s">
        <v>90</v>
      </c>
      <c r="Q550" s="27" t="s">
        <v>954</v>
      </c>
      <c r="R550" s="33">
        <v>92277</v>
      </c>
      <c r="S550" s="34">
        <v>42051</v>
      </c>
      <c r="T550" s="34">
        <v>42053</v>
      </c>
      <c r="U550" s="29">
        <v>220.35720000000001</v>
      </c>
      <c r="V550" s="26">
        <v>18</v>
      </c>
      <c r="W550" s="29">
        <v>451.35</v>
      </c>
      <c r="X550" s="26">
        <v>88545</v>
      </c>
      <c r="Y550" s="35">
        <v>699.92</v>
      </c>
      <c r="Z550" s="1" t="s">
        <v>3013</v>
      </c>
      <c r="AA550" s="36">
        <v>23.391000000000002</v>
      </c>
      <c r="AB550" s="54">
        <v>198.59399999999999</v>
      </c>
      <c r="AC550" s="54">
        <v>14.042000000000003</v>
      </c>
      <c r="AD550" s="36">
        <v>202.23180000000002</v>
      </c>
    </row>
    <row r="551" spans="1:30" s="37" customFormat="1" ht="15.75" customHeight="1" x14ac:dyDescent="0.2">
      <c r="A551" s="26">
        <v>1129</v>
      </c>
      <c r="B551" s="27" t="s">
        <v>786</v>
      </c>
      <c r="C551" s="27" t="s">
        <v>48</v>
      </c>
      <c r="D551" s="28">
        <v>0.04</v>
      </c>
      <c r="E551" s="29">
        <v>8.6</v>
      </c>
      <c r="F551" s="29">
        <v>6.19</v>
      </c>
      <c r="G551" s="30" t="s">
        <v>39</v>
      </c>
      <c r="H551" s="27" t="s">
        <v>71</v>
      </c>
      <c r="I551" s="27" t="s">
        <v>49</v>
      </c>
      <c r="J551" s="27" t="s">
        <v>72</v>
      </c>
      <c r="K551" s="27" t="s">
        <v>73</v>
      </c>
      <c r="L551" s="31" t="s">
        <v>532</v>
      </c>
      <c r="M551" s="32">
        <v>0.38</v>
      </c>
      <c r="N551" s="27" t="s">
        <v>33</v>
      </c>
      <c r="O551" s="27" t="s">
        <v>111</v>
      </c>
      <c r="P551" s="27" t="s">
        <v>403</v>
      </c>
      <c r="Q551" s="27" t="s">
        <v>788</v>
      </c>
      <c r="R551" s="33">
        <v>2118</v>
      </c>
      <c r="S551" s="34">
        <v>42051</v>
      </c>
      <c r="T551" s="34">
        <v>42058</v>
      </c>
      <c r="U551" s="29">
        <v>-63.813499999999998</v>
      </c>
      <c r="V551" s="26">
        <v>37</v>
      </c>
      <c r="W551" s="29">
        <v>311.66000000000003</v>
      </c>
      <c r="X551" s="26">
        <v>32037</v>
      </c>
      <c r="Y551" s="35">
        <v>11.48</v>
      </c>
      <c r="Z551" s="1" t="s">
        <v>3014</v>
      </c>
      <c r="AA551" s="36">
        <v>12.728</v>
      </c>
      <c r="AB551" s="54">
        <v>193.22920000000002</v>
      </c>
      <c r="AC551" s="54">
        <v>3.2008324324324327</v>
      </c>
      <c r="AD551" s="36">
        <v>356.55550000000005</v>
      </c>
    </row>
    <row r="552" spans="1:30" s="37" customFormat="1" ht="15.75" customHeight="1" x14ac:dyDescent="0.2">
      <c r="A552" s="26">
        <v>1228</v>
      </c>
      <c r="B552" s="27" t="s">
        <v>1220</v>
      </c>
      <c r="C552" s="27" t="s">
        <v>116</v>
      </c>
      <c r="D552" s="28">
        <v>0.01</v>
      </c>
      <c r="E552" s="29">
        <v>4.9800000000000004</v>
      </c>
      <c r="F552" s="29">
        <v>4.62</v>
      </c>
      <c r="G552" s="30" t="s">
        <v>87</v>
      </c>
      <c r="H552" s="27" t="s">
        <v>3095</v>
      </c>
      <c r="I552" s="27" t="s">
        <v>41</v>
      </c>
      <c r="J552" s="27" t="s">
        <v>42</v>
      </c>
      <c r="K552" s="27" t="s">
        <v>43</v>
      </c>
      <c r="L552" s="31" t="s">
        <v>1221</v>
      </c>
      <c r="M552" s="32">
        <v>0.64</v>
      </c>
      <c r="N552" s="27" t="s">
        <v>33</v>
      </c>
      <c r="O552" s="27" t="s">
        <v>111</v>
      </c>
      <c r="P552" s="27" t="s">
        <v>320</v>
      </c>
      <c r="Q552" s="27" t="s">
        <v>321</v>
      </c>
      <c r="R552" s="33">
        <v>19140</v>
      </c>
      <c r="S552" s="34">
        <v>42051</v>
      </c>
      <c r="T552" s="34">
        <v>42053</v>
      </c>
      <c r="U552" s="29">
        <v>-111.72</v>
      </c>
      <c r="V552" s="26">
        <v>41</v>
      </c>
      <c r="W552" s="29">
        <v>228.3</v>
      </c>
      <c r="X552" s="26">
        <v>55874</v>
      </c>
      <c r="Y552" s="35">
        <v>160.95999999999998</v>
      </c>
      <c r="Z552" s="1" t="s">
        <v>3014</v>
      </c>
      <c r="AA552" s="36">
        <v>2.0418000000000003</v>
      </c>
      <c r="AB552" s="54">
        <v>82.188000000000002</v>
      </c>
      <c r="AC552" s="54">
        <v>3.5637073170731708</v>
      </c>
      <c r="AD552" s="36">
        <v>333.35820000000001</v>
      </c>
    </row>
    <row r="553" spans="1:30" s="37" customFormat="1" ht="15.75" customHeight="1" x14ac:dyDescent="0.2">
      <c r="A553" s="26">
        <v>1228</v>
      </c>
      <c r="B553" s="27" t="s">
        <v>1220</v>
      </c>
      <c r="C553" s="27" t="s">
        <v>116</v>
      </c>
      <c r="D553" s="28">
        <v>0</v>
      </c>
      <c r="E553" s="29">
        <v>7.1</v>
      </c>
      <c r="F553" s="29">
        <v>6.05</v>
      </c>
      <c r="G553" s="30" t="s">
        <v>39</v>
      </c>
      <c r="H553" s="27" t="s">
        <v>3095</v>
      </c>
      <c r="I553" s="27" t="s">
        <v>49</v>
      </c>
      <c r="J553" s="27" t="s">
        <v>72</v>
      </c>
      <c r="K553" s="27" t="s">
        <v>73</v>
      </c>
      <c r="L553" s="31" t="s">
        <v>251</v>
      </c>
      <c r="M553" s="32">
        <v>0.39</v>
      </c>
      <c r="N553" s="27" t="s">
        <v>33</v>
      </c>
      <c r="O553" s="27" t="s">
        <v>111</v>
      </c>
      <c r="P553" s="27" t="s">
        <v>320</v>
      </c>
      <c r="Q553" s="27" t="s">
        <v>321</v>
      </c>
      <c r="R553" s="33">
        <v>19140</v>
      </c>
      <c r="S553" s="34">
        <v>42051</v>
      </c>
      <c r="T553" s="34">
        <v>42052</v>
      </c>
      <c r="U553" s="29">
        <v>-60.145000000000003</v>
      </c>
      <c r="V553" s="26">
        <v>28</v>
      </c>
      <c r="W553" s="29">
        <v>208.83</v>
      </c>
      <c r="X553" s="26">
        <v>55874</v>
      </c>
      <c r="Y553" s="35">
        <v>7.1</v>
      </c>
      <c r="Z553" s="1" t="s">
        <v>3014</v>
      </c>
      <c r="AA553" s="36">
        <v>0</v>
      </c>
      <c r="AB553" s="54">
        <v>127.38630000000001</v>
      </c>
      <c r="AC553" s="54">
        <v>2.9087035714285716</v>
      </c>
      <c r="AD553" s="36">
        <v>262.92500000000001</v>
      </c>
    </row>
    <row r="554" spans="1:30" s="37" customFormat="1" ht="15.75" customHeight="1" x14ac:dyDescent="0.2">
      <c r="A554" s="26">
        <v>1138</v>
      </c>
      <c r="B554" s="27" t="s">
        <v>1218</v>
      </c>
      <c r="C554" s="27" t="s">
        <v>116</v>
      </c>
      <c r="D554" s="28">
        <v>0.02</v>
      </c>
      <c r="E554" s="29">
        <v>160.97999999999999</v>
      </c>
      <c r="F554" s="29">
        <v>30</v>
      </c>
      <c r="G554" s="30" t="s">
        <v>27</v>
      </c>
      <c r="H554" s="27" t="s">
        <v>71</v>
      </c>
      <c r="I554" s="27" t="s">
        <v>29</v>
      </c>
      <c r="J554" s="27" t="s">
        <v>109</v>
      </c>
      <c r="K554" s="27" t="s">
        <v>58</v>
      </c>
      <c r="L554" s="31" t="s">
        <v>892</v>
      </c>
      <c r="M554" s="32">
        <v>0.62</v>
      </c>
      <c r="N554" s="27" t="s">
        <v>33</v>
      </c>
      <c r="O554" s="27" t="s">
        <v>53</v>
      </c>
      <c r="P554" s="27" t="s">
        <v>187</v>
      </c>
      <c r="Q554" s="27" t="s">
        <v>1219</v>
      </c>
      <c r="R554" s="33">
        <v>75056</v>
      </c>
      <c r="S554" s="34">
        <v>42051</v>
      </c>
      <c r="T554" s="34">
        <v>42054</v>
      </c>
      <c r="U554" s="29">
        <v>-51.116</v>
      </c>
      <c r="V554" s="26">
        <v>1</v>
      </c>
      <c r="W554" s="29">
        <v>192.49</v>
      </c>
      <c r="X554" s="26">
        <v>86574</v>
      </c>
      <c r="Y554" s="35">
        <v>4.9700000000000006</v>
      </c>
      <c r="Z554" s="1" t="s">
        <v>3012</v>
      </c>
      <c r="AA554" s="36">
        <v>3.2195999999999998</v>
      </c>
      <c r="AB554" s="54">
        <v>73.146200000000007</v>
      </c>
      <c r="AC554" s="54">
        <v>119.3438</v>
      </c>
      <c r="AD554" s="36">
        <v>210.38640000000001</v>
      </c>
    </row>
    <row r="555" spans="1:30" s="37" customFormat="1" ht="15.75" customHeight="1" x14ac:dyDescent="0.2">
      <c r="A555" s="26">
        <v>1228</v>
      </c>
      <c r="B555" s="27" t="s">
        <v>1220</v>
      </c>
      <c r="C555" s="27" t="s">
        <v>116</v>
      </c>
      <c r="D555" s="28">
        <v>0.06</v>
      </c>
      <c r="E555" s="29">
        <v>5.68</v>
      </c>
      <c r="F555" s="29">
        <v>1.39</v>
      </c>
      <c r="G555" s="30" t="s">
        <v>39</v>
      </c>
      <c r="H555" s="27" t="s">
        <v>3095</v>
      </c>
      <c r="I555" s="27" t="s">
        <v>49</v>
      </c>
      <c r="J555" s="27" t="s">
        <v>345</v>
      </c>
      <c r="K555" s="27" t="s">
        <v>73</v>
      </c>
      <c r="L555" s="31" t="s">
        <v>598</v>
      </c>
      <c r="M555" s="32">
        <v>0.38</v>
      </c>
      <c r="N555" s="27" t="s">
        <v>33</v>
      </c>
      <c r="O555" s="27" t="s">
        <v>111</v>
      </c>
      <c r="P555" s="27" t="s">
        <v>320</v>
      </c>
      <c r="Q555" s="27" t="s">
        <v>321</v>
      </c>
      <c r="R555" s="33">
        <v>19140</v>
      </c>
      <c r="S555" s="34">
        <v>42051</v>
      </c>
      <c r="T555" s="34">
        <v>42051</v>
      </c>
      <c r="U555" s="29">
        <v>33.01</v>
      </c>
      <c r="V555" s="26">
        <v>24</v>
      </c>
      <c r="W555" s="29">
        <v>129.53</v>
      </c>
      <c r="X555" s="26">
        <v>55874</v>
      </c>
      <c r="Y555" s="35">
        <v>5.62</v>
      </c>
      <c r="Z555" s="1" t="s">
        <v>3014</v>
      </c>
      <c r="AA555" s="36">
        <v>8.1791999999999998</v>
      </c>
      <c r="AB555" s="54">
        <v>80.308599999999998</v>
      </c>
      <c r="AC555" s="54">
        <v>2.0508916666666668</v>
      </c>
      <c r="AD555" s="36">
        <v>86.950800000000001</v>
      </c>
    </row>
    <row r="556" spans="1:30" s="37" customFormat="1" ht="15.75" customHeight="1" x14ac:dyDescent="0.2">
      <c r="A556" s="26">
        <v>1132</v>
      </c>
      <c r="B556" s="27" t="s">
        <v>1093</v>
      </c>
      <c r="C556" s="27" t="s">
        <v>48</v>
      </c>
      <c r="D556" s="28">
        <v>0.04</v>
      </c>
      <c r="E556" s="29">
        <v>8.6</v>
      </c>
      <c r="F556" s="29">
        <v>6.19</v>
      </c>
      <c r="G556" s="30" t="s">
        <v>39</v>
      </c>
      <c r="H556" s="27" t="s">
        <v>71</v>
      </c>
      <c r="I556" s="27" t="s">
        <v>49</v>
      </c>
      <c r="J556" s="27" t="s">
        <v>72</v>
      </c>
      <c r="K556" s="27" t="s">
        <v>73</v>
      </c>
      <c r="L556" s="31" t="s">
        <v>532</v>
      </c>
      <c r="M556" s="32">
        <v>0.38</v>
      </c>
      <c r="N556" s="27" t="s">
        <v>33</v>
      </c>
      <c r="O556" s="27" t="s">
        <v>53</v>
      </c>
      <c r="P556" s="27" t="s">
        <v>187</v>
      </c>
      <c r="Q556" s="27" t="s">
        <v>1094</v>
      </c>
      <c r="R556" s="33">
        <v>76039</v>
      </c>
      <c r="S556" s="34">
        <v>42051</v>
      </c>
      <c r="T556" s="34">
        <v>42058</v>
      </c>
      <c r="U556" s="29">
        <v>-63.813499999999998</v>
      </c>
      <c r="V556" s="26">
        <v>9</v>
      </c>
      <c r="W556" s="29">
        <v>75.81</v>
      </c>
      <c r="X556" s="26">
        <v>88102</v>
      </c>
      <c r="Y556" s="35">
        <v>4.9700000000000006</v>
      </c>
      <c r="Z556" s="1" t="s">
        <v>3012</v>
      </c>
      <c r="AA556" s="36">
        <v>3.0959999999999996</v>
      </c>
      <c r="AB556" s="54">
        <v>47.002200000000002</v>
      </c>
      <c r="AC556" s="54">
        <v>3.2008666666666667</v>
      </c>
      <c r="AD556" s="36">
        <v>130.33750000000001</v>
      </c>
    </row>
    <row r="557" spans="1:30" s="37" customFormat="1" ht="15.75" customHeight="1" x14ac:dyDescent="0.2">
      <c r="A557" s="26">
        <v>1229</v>
      </c>
      <c r="B557" s="27" t="s">
        <v>1222</v>
      </c>
      <c r="C557" s="27" t="s">
        <v>116</v>
      </c>
      <c r="D557" s="28">
        <v>0.01</v>
      </c>
      <c r="E557" s="29">
        <v>4.9800000000000004</v>
      </c>
      <c r="F557" s="29">
        <v>4.62</v>
      </c>
      <c r="G557" s="30" t="s">
        <v>87</v>
      </c>
      <c r="H557" s="27" t="s">
        <v>3095</v>
      </c>
      <c r="I557" s="27" t="s">
        <v>41</v>
      </c>
      <c r="J557" s="27" t="s">
        <v>42</v>
      </c>
      <c r="K557" s="27" t="s">
        <v>43</v>
      </c>
      <c r="L557" s="31" t="s">
        <v>1221</v>
      </c>
      <c r="M557" s="32">
        <v>0.64</v>
      </c>
      <c r="N557" s="27" t="s">
        <v>33</v>
      </c>
      <c r="O557" s="27" t="s">
        <v>53</v>
      </c>
      <c r="P557" s="27" t="s">
        <v>187</v>
      </c>
      <c r="Q557" s="27" t="s">
        <v>1140</v>
      </c>
      <c r="R557" s="33">
        <v>75482</v>
      </c>
      <c r="S557" s="34">
        <v>42051</v>
      </c>
      <c r="T557" s="34">
        <v>42053</v>
      </c>
      <c r="U557" s="29">
        <v>-111.72</v>
      </c>
      <c r="V557" s="26">
        <v>10</v>
      </c>
      <c r="W557" s="29">
        <v>55.68</v>
      </c>
      <c r="X557" s="26">
        <v>90378</v>
      </c>
      <c r="Y557" s="35">
        <v>209.37</v>
      </c>
      <c r="Z557" s="1" t="s">
        <v>3012</v>
      </c>
      <c r="AA557" s="36">
        <v>0.49800000000000005</v>
      </c>
      <c r="AB557" s="54">
        <v>20.044799999999999</v>
      </c>
      <c r="AC557" s="54">
        <v>3.56352</v>
      </c>
      <c r="AD557" s="36">
        <v>162.28199999999998</v>
      </c>
    </row>
    <row r="558" spans="1:30" s="37" customFormat="1" ht="15.75" customHeight="1" x14ac:dyDescent="0.2">
      <c r="A558" s="26">
        <v>1580</v>
      </c>
      <c r="B558" s="27" t="s">
        <v>1216</v>
      </c>
      <c r="C558" s="27" t="s">
        <v>48</v>
      </c>
      <c r="D558" s="28">
        <v>0.1</v>
      </c>
      <c r="E558" s="29">
        <v>11.58</v>
      </c>
      <c r="F558" s="29">
        <v>6.97</v>
      </c>
      <c r="G558" s="30" t="s">
        <v>39</v>
      </c>
      <c r="H558" s="27" t="s">
        <v>94</v>
      </c>
      <c r="I558" s="27" t="s">
        <v>49</v>
      </c>
      <c r="J558" s="27" t="s">
        <v>345</v>
      </c>
      <c r="K558" s="27" t="s">
        <v>73</v>
      </c>
      <c r="L558" s="31" t="s">
        <v>624</v>
      </c>
      <c r="M558" s="32">
        <v>0.35</v>
      </c>
      <c r="N558" s="27" t="s">
        <v>33</v>
      </c>
      <c r="O558" s="27" t="s">
        <v>111</v>
      </c>
      <c r="P558" s="27" t="s">
        <v>331</v>
      </c>
      <c r="Q558" s="27" t="s">
        <v>1217</v>
      </c>
      <c r="R558" s="33">
        <v>4901</v>
      </c>
      <c r="S558" s="34">
        <v>42051</v>
      </c>
      <c r="T558" s="34">
        <v>42055</v>
      </c>
      <c r="U558" s="29">
        <v>-8.3979999999999997</v>
      </c>
      <c r="V558" s="26">
        <v>1</v>
      </c>
      <c r="W558" s="29">
        <v>14.53</v>
      </c>
      <c r="X558" s="26">
        <v>90934</v>
      </c>
      <c r="Y558" s="35">
        <v>25.939999999999998</v>
      </c>
      <c r="Z558" s="1" t="s">
        <v>3014</v>
      </c>
      <c r="AA558" s="36">
        <v>1.1580000000000001</v>
      </c>
      <c r="AB558" s="54">
        <v>9.4444999999999997</v>
      </c>
      <c r="AC558" s="54">
        <v>5.0854999999999997</v>
      </c>
      <c r="AD558" s="36">
        <v>14.799999999999999</v>
      </c>
    </row>
    <row r="559" spans="1:30" s="37" customFormat="1" ht="15.75" customHeight="1" x14ac:dyDescent="0.2">
      <c r="A559" s="26">
        <v>2427</v>
      </c>
      <c r="B559" s="27" t="s">
        <v>1233</v>
      </c>
      <c r="C559" s="27" t="s">
        <v>38</v>
      </c>
      <c r="D559" s="28">
        <v>0.03</v>
      </c>
      <c r="E559" s="29">
        <v>40.99</v>
      </c>
      <c r="F559" s="29">
        <v>19.989999999999998</v>
      </c>
      <c r="G559" s="30" t="s">
        <v>39</v>
      </c>
      <c r="H559" s="27" t="s">
        <v>94</v>
      </c>
      <c r="I559" s="27" t="s">
        <v>49</v>
      </c>
      <c r="J559" s="27" t="s">
        <v>88</v>
      </c>
      <c r="K559" s="27" t="s">
        <v>73</v>
      </c>
      <c r="L559" s="31" t="s">
        <v>1234</v>
      </c>
      <c r="M559" s="32">
        <v>0.36</v>
      </c>
      <c r="N559" s="27" t="s">
        <v>33</v>
      </c>
      <c r="O559" s="27" t="s">
        <v>53</v>
      </c>
      <c r="P559" s="27" t="s">
        <v>187</v>
      </c>
      <c r="Q559" s="27" t="s">
        <v>1235</v>
      </c>
      <c r="R559" s="33">
        <v>76248</v>
      </c>
      <c r="S559" s="34">
        <v>42052</v>
      </c>
      <c r="T559" s="34">
        <v>42053</v>
      </c>
      <c r="U559" s="29">
        <v>395.30799999999999</v>
      </c>
      <c r="V559" s="26">
        <v>21</v>
      </c>
      <c r="W559" s="29">
        <v>885.65</v>
      </c>
      <c r="X559" s="26">
        <v>90860</v>
      </c>
      <c r="Y559" s="35">
        <v>5.99</v>
      </c>
      <c r="Z559" s="1" t="s">
        <v>3012</v>
      </c>
      <c r="AA559" s="36">
        <v>25.823699999999999</v>
      </c>
      <c r="AB559" s="54">
        <v>566.81600000000003</v>
      </c>
      <c r="AC559" s="54">
        <v>15.182571428571428</v>
      </c>
      <c r="AD559" s="36">
        <v>444.5283</v>
      </c>
    </row>
    <row r="560" spans="1:30" s="37" customFormat="1" ht="15.75" customHeight="1" x14ac:dyDescent="0.2">
      <c r="A560" s="26">
        <v>1305</v>
      </c>
      <c r="B560" s="27" t="s">
        <v>1230</v>
      </c>
      <c r="C560" s="27" t="s">
        <v>38</v>
      </c>
      <c r="D560" s="28">
        <v>0.04</v>
      </c>
      <c r="E560" s="29">
        <v>62.18</v>
      </c>
      <c r="F560" s="29">
        <v>10.84</v>
      </c>
      <c r="G560" s="30" t="s">
        <v>39</v>
      </c>
      <c r="H560" s="27" t="s">
        <v>40</v>
      </c>
      <c r="I560" s="27" t="s">
        <v>29</v>
      </c>
      <c r="J560" s="27" t="s">
        <v>126</v>
      </c>
      <c r="K560" s="27" t="s">
        <v>144</v>
      </c>
      <c r="L560" s="31" t="s">
        <v>1231</v>
      </c>
      <c r="M560" s="32">
        <v>0.63</v>
      </c>
      <c r="N560" s="27" t="s">
        <v>33</v>
      </c>
      <c r="O560" s="27" t="s">
        <v>60</v>
      </c>
      <c r="P560" s="27" t="s">
        <v>146</v>
      </c>
      <c r="Q560" s="27" t="s">
        <v>1232</v>
      </c>
      <c r="R560" s="33">
        <v>84120</v>
      </c>
      <c r="S560" s="34">
        <v>42052</v>
      </c>
      <c r="T560" s="34">
        <v>42054</v>
      </c>
      <c r="U560" s="29">
        <v>125.8077</v>
      </c>
      <c r="V560" s="26">
        <v>3</v>
      </c>
      <c r="W560" s="29">
        <v>182.33</v>
      </c>
      <c r="X560" s="26">
        <v>87002</v>
      </c>
      <c r="Y560" s="35">
        <v>62.14</v>
      </c>
      <c r="Z560" s="1" t="s">
        <v>3013</v>
      </c>
      <c r="AA560" s="36">
        <v>7.4616000000000007</v>
      </c>
      <c r="AB560" s="54">
        <v>67.462100000000007</v>
      </c>
      <c r="AC560" s="54">
        <v>38.289300000000004</v>
      </c>
      <c r="AD560" s="36">
        <v>38.220700000000022</v>
      </c>
    </row>
    <row r="561" spans="1:30" s="37" customFormat="1" ht="15.75" customHeight="1" x14ac:dyDescent="0.2">
      <c r="A561" s="26">
        <v>936</v>
      </c>
      <c r="B561" s="27" t="s">
        <v>1227</v>
      </c>
      <c r="C561" s="27" t="s">
        <v>26</v>
      </c>
      <c r="D561" s="28">
        <v>0.05</v>
      </c>
      <c r="E561" s="29">
        <v>6.04</v>
      </c>
      <c r="F561" s="29">
        <v>2.14</v>
      </c>
      <c r="G561" s="30" t="s">
        <v>87</v>
      </c>
      <c r="H561" s="27" t="s">
        <v>94</v>
      </c>
      <c r="I561" s="27" t="s">
        <v>49</v>
      </c>
      <c r="J561" s="27" t="s">
        <v>88</v>
      </c>
      <c r="K561" s="27" t="s">
        <v>51</v>
      </c>
      <c r="L561" s="31" t="s">
        <v>1228</v>
      </c>
      <c r="M561" s="32">
        <v>0.38</v>
      </c>
      <c r="N561" s="27" t="s">
        <v>33</v>
      </c>
      <c r="O561" s="27" t="s">
        <v>60</v>
      </c>
      <c r="P561" s="27" t="s">
        <v>90</v>
      </c>
      <c r="Q561" s="27" t="s">
        <v>1229</v>
      </c>
      <c r="R561" s="33">
        <v>92374</v>
      </c>
      <c r="S561" s="34">
        <v>42052</v>
      </c>
      <c r="T561" s="34">
        <v>42054</v>
      </c>
      <c r="U561" s="29">
        <v>-4.1399999999999997</v>
      </c>
      <c r="V561" s="26">
        <v>1</v>
      </c>
      <c r="W561" s="29">
        <v>8.41</v>
      </c>
      <c r="X561" s="26">
        <v>90588</v>
      </c>
      <c r="Y561" s="35">
        <v>40.96</v>
      </c>
      <c r="Z561" s="1" t="s">
        <v>3013</v>
      </c>
      <c r="AA561" s="36">
        <v>0.30200000000000005</v>
      </c>
      <c r="AB561" s="54">
        <v>5.2141999999999999</v>
      </c>
      <c r="AC561" s="54">
        <v>3.1958000000000002</v>
      </c>
      <c r="AD561" s="36">
        <v>10.108000000000001</v>
      </c>
    </row>
    <row r="562" spans="1:30" s="37" customFormat="1" ht="15.75" customHeight="1" x14ac:dyDescent="0.2">
      <c r="A562" s="26">
        <v>2498</v>
      </c>
      <c r="B562" s="27" t="s">
        <v>929</v>
      </c>
      <c r="C562" s="27" t="s">
        <v>3094</v>
      </c>
      <c r="D562" s="28">
        <v>0.09</v>
      </c>
      <c r="E562" s="29">
        <v>355.98</v>
      </c>
      <c r="F562" s="29">
        <v>58.92</v>
      </c>
      <c r="G562" s="30" t="s">
        <v>27</v>
      </c>
      <c r="H562" s="27" t="s">
        <v>94</v>
      </c>
      <c r="I562" s="27" t="s">
        <v>29</v>
      </c>
      <c r="J562" s="27" t="s">
        <v>109</v>
      </c>
      <c r="K562" s="27" t="s">
        <v>58</v>
      </c>
      <c r="L562" s="31" t="s">
        <v>694</v>
      </c>
      <c r="M562" s="32">
        <v>0.64</v>
      </c>
      <c r="N562" s="27" t="s">
        <v>33</v>
      </c>
      <c r="O562" s="27" t="s">
        <v>60</v>
      </c>
      <c r="P562" s="27" t="s">
        <v>90</v>
      </c>
      <c r="Q562" s="27" t="s">
        <v>890</v>
      </c>
      <c r="R562" s="33">
        <v>92024</v>
      </c>
      <c r="S562" s="34">
        <v>42053</v>
      </c>
      <c r="T562" s="34">
        <v>42055</v>
      </c>
      <c r="U562" s="29">
        <v>1240.25</v>
      </c>
      <c r="V562" s="26">
        <v>30</v>
      </c>
      <c r="W562" s="29">
        <v>10554.63</v>
      </c>
      <c r="X562" s="26">
        <v>16547</v>
      </c>
      <c r="Y562" s="35">
        <v>15.98</v>
      </c>
      <c r="Z562" s="1" t="s">
        <v>3013</v>
      </c>
      <c r="AA562" s="36">
        <v>961.14600000000007</v>
      </c>
      <c r="AB562" s="54">
        <v>3799.6667999999995</v>
      </c>
      <c r="AC562" s="54">
        <v>225.16543999999999</v>
      </c>
      <c r="AD562" s="36">
        <v>8294.3139999999985</v>
      </c>
    </row>
    <row r="563" spans="1:30" s="37" customFormat="1" ht="15.75" customHeight="1" x14ac:dyDescent="0.2">
      <c r="A563" s="26">
        <v>2141</v>
      </c>
      <c r="B563" s="27" t="s">
        <v>1241</v>
      </c>
      <c r="C563" s="27" t="s">
        <v>38</v>
      </c>
      <c r="D563" s="28">
        <v>0.02</v>
      </c>
      <c r="E563" s="29">
        <v>549.99</v>
      </c>
      <c r="F563" s="29">
        <v>49</v>
      </c>
      <c r="G563" s="30" t="s">
        <v>27</v>
      </c>
      <c r="H563" s="27" t="s">
        <v>71</v>
      </c>
      <c r="I563" s="27" t="s">
        <v>41</v>
      </c>
      <c r="J563" s="27" t="s">
        <v>64</v>
      </c>
      <c r="K563" s="27" t="s">
        <v>58</v>
      </c>
      <c r="L563" s="31" t="s">
        <v>1244</v>
      </c>
      <c r="M563" s="32">
        <v>0.35</v>
      </c>
      <c r="N563" s="27" t="s">
        <v>33</v>
      </c>
      <c r="O563" s="27" t="s">
        <v>60</v>
      </c>
      <c r="P563" s="27" t="s">
        <v>61</v>
      </c>
      <c r="Q563" s="27" t="s">
        <v>1243</v>
      </c>
      <c r="R563" s="33">
        <v>81301</v>
      </c>
      <c r="S563" s="34">
        <v>42053</v>
      </c>
      <c r="T563" s="34">
        <v>42055</v>
      </c>
      <c r="U563" s="29">
        <v>-381.84120000000001</v>
      </c>
      <c r="V563" s="26">
        <v>18</v>
      </c>
      <c r="W563" s="29">
        <v>9798.84</v>
      </c>
      <c r="X563" s="26">
        <v>87570</v>
      </c>
      <c r="Y563" s="35">
        <v>47.919999999999995</v>
      </c>
      <c r="Z563" s="1" t="s">
        <v>3013</v>
      </c>
      <c r="AA563" s="36">
        <v>197.99639999999999</v>
      </c>
      <c r="AB563" s="54">
        <v>6369.2460000000001</v>
      </c>
      <c r="AC563" s="54">
        <v>190.53299999999999</v>
      </c>
      <c r="AD563" s="36">
        <v>9933.6848000000009</v>
      </c>
    </row>
    <row r="564" spans="1:30" s="37" customFormat="1" ht="15.75" customHeight="1" x14ac:dyDescent="0.2">
      <c r="A564" s="26">
        <v>2499</v>
      </c>
      <c r="B564" s="27" t="s">
        <v>1251</v>
      </c>
      <c r="C564" s="27" t="s">
        <v>3094</v>
      </c>
      <c r="D564" s="28">
        <v>0.09</v>
      </c>
      <c r="E564" s="29">
        <v>355.98</v>
      </c>
      <c r="F564" s="29">
        <v>58.92</v>
      </c>
      <c r="G564" s="30" t="s">
        <v>27</v>
      </c>
      <c r="H564" s="27" t="s">
        <v>94</v>
      </c>
      <c r="I564" s="27" t="s">
        <v>29</v>
      </c>
      <c r="J564" s="27" t="s">
        <v>109</v>
      </c>
      <c r="K564" s="27" t="s">
        <v>58</v>
      </c>
      <c r="L564" s="31" t="s">
        <v>694</v>
      </c>
      <c r="M564" s="32">
        <v>0.64</v>
      </c>
      <c r="N564" s="27" t="s">
        <v>33</v>
      </c>
      <c r="O564" s="27" t="s">
        <v>53</v>
      </c>
      <c r="P564" s="27" t="s">
        <v>103</v>
      </c>
      <c r="Q564" s="27" t="s">
        <v>1252</v>
      </c>
      <c r="R564" s="33">
        <v>60901</v>
      </c>
      <c r="S564" s="34">
        <v>42053</v>
      </c>
      <c r="T564" s="34">
        <v>42055</v>
      </c>
      <c r="U564" s="29">
        <v>1240.25</v>
      </c>
      <c r="V564" s="26">
        <v>8</v>
      </c>
      <c r="W564" s="29">
        <v>2814.57</v>
      </c>
      <c r="X564" s="26">
        <v>88319</v>
      </c>
      <c r="Y564" s="35">
        <v>5.4300000000000006</v>
      </c>
      <c r="Z564" s="1" t="s">
        <v>3012</v>
      </c>
      <c r="AA564" s="36">
        <v>256.30560000000003</v>
      </c>
      <c r="AB564" s="54">
        <v>1013.2452000000001</v>
      </c>
      <c r="AC564" s="54">
        <v>225.16560000000001</v>
      </c>
      <c r="AD564" s="36">
        <v>1259.0944</v>
      </c>
    </row>
    <row r="565" spans="1:30" s="37" customFormat="1" ht="15.75" customHeight="1" x14ac:dyDescent="0.2">
      <c r="A565" s="26">
        <v>2521</v>
      </c>
      <c r="B565" s="27" t="s">
        <v>1248</v>
      </c>
      <c r="C565" s="27" t="s">
        <v>116</v>
      </c>
      <c r="D565" s="28">
        <v>0</v>
      </c>
      <c r="E565" s="29">
        <v>175.99</v>
      </c>
      <c r="F565" s="29">
        <v>4.99</v>
      </c>
      <c r="G565" s="30" t="s">
        <v>39</v>
      </c>
      <c r="H565" s="27" t="s">
        <v>71</v>
      </c>
      <c r="I565" s="27" t="s">
        <v>41</v>
      </c>
      <c r="J565" s="27" t="s">
        <v>135</v>
      </c>
      <c r="K565" s="27" t="s">
        <v>73</v>
      </c>
      <c r="L565" s="31" t="s">
        <v>1249</v>
      </c>
      <c r="M565" s="32">
        <v>0.59</v>
      </c>
      <c r="N565" s="27" t="s">
        <v>33</v>
      </c>
      <c r="O565" s="27" t="s">
        <v>53</v>
      </c>
      <c r="P565" s="27" t="s">
        <v>187</v>
      </c>
      <c r="Q565" s="27" t="s">
        <v>1250</v>
      </c>
      <c r="R565" s="33">
        <v>75109</v>
      </c>
      <c r="S565" s="34">
        <v>42053</v>
      </c>
      <c r="T565" s="34">
        <v>42056</v>
      </c>
      <c r="U565" s="29">
        <v>1656.6555000000001</v>
      </c>
      <c r="V565" s="26">
        <v>15</v>
      </c>
      <c r="W565" s="29">
        <v>2400.9499999999998</v>
      </c>
      <c r="X565" s="26">
        <v>87032</v>
      </c>
      <c r="Y565" s="35">
        <v>549.97</v>
      </c>
      <c r="Z565" s="1" t="s">
        <v>3012</v>
      </c>
      <c r="AA565" s="36">
        <v>0</v>
      </c>
      <c r="AB565" s="54">
        <v>984.3895</v>
      </c>
      <c r="AC565" s="54">
        <v>94.437366666666662</v>
      </c>
      <c r="AD565" s="36">
        <v>739.30449999999973</v>
      </c>
    </row>
    <row r="566" spans="1:30" s="37" customFormat="1" ht="15.75" customHeight="1" x14ac:dyDescent="0.2">
      <c r="A566" s="26">
        <v>2498</v>
      </c>
      <c r="B566" s="27" t="s">
        <v>929</v>
      </c>
      <c r="C566" s="27" t="s">
        <v>3094</v>
      </c>
      <c r="D566" s="28">
        <v>0.04</v>
      </c>
      <c r="E566" s="29">
        <v>218.75</v>
      </c>
      <c r="F566" s="29">
        <v>69.64</v>
      </c>
      <c r="G566" s="30" t="s">
        <v>27</v>
      </c>
      <c r="H566" s="27" t="s">
        <v>94</v>
      </c>
      <c r="I566" s="27" t="s">
        <v>29</v>
      </c>
      <c r="J566" s="27" t="s">
        <v>30</v>
      </c>
      <c r="K566" s="27" t="s">
        <v>31</v>
      </c>
      <c r="L566" s="31" t="s">
        <v>874</v>
      </c>
      <c r="M566" s="32">
        <v>0.77</v>
      </c>
      <c r="N566" s="27" t="s">
        <v>33</v>
      </c>
      <c r="O566" s="27" t="s">
        <v>60</v>
      </c>
      <c r="P566" s="27" t="s">
        <v>90</v>
      </c>
      <c r="Q566" s="27" t="s">
        <v>890</v>
      </c>
      <c r="R566" s="33">
        <v>92024</v>
      </c>
      <c r="S566" s="34">
        <v>42053</v>
      </c>
      <c r="T566" s="34">
        <v>42053</v>
      </c>
      <c r="U566" s="29">
        <v>-533.23199999999997</v>
      </c>
      <c r="V566" s="26">
        <v>8</v>
      </c>
      <c r="W566" s="29">
        <v>1749.64</v>
      </c>
      <c r="X566" s="26">
        <v>16547</v>
      </c>
      <c r="Y566" s="35">
        <v>21.98</v>
      </c>
      <c r="Z566" s="1" t="s">
        <v>3013</v>
      </c>
      <c r="AA566" s="36">
        <v>70</v>
      </c>
      <c r="AB566" s="54">
        <v>402.41719999999998</v>
      </c>
      <c r="AC566" s="54">
        <v>168.40285</v>
      </c>
      <c r="AD566" s="36">
        <v>2143.232</v>
      </c>
    </row>
    <row r="567" spans="1:30" s="37" customFormat="1" ht="15.75" customHeight="1" x14ac:dyDescent="0.2">
      <c r="A567" s="26">
        <v>1065</v>
      </c>
      <c r="B567" s="27" t="s">
        <v>1236</v>
      </c>
      <c r="C567" s="27" t="s">
        <v>26</v>
      </c>
      <c r="D567" s="28">
        <v>0.01</v>
      </c>
      <c r="E567" s="29">
        <v>15.99</v>
      </c>
      <c r="F567" s="29">
        <v>13.18</v>
      </c>
      <c r="G567" s="30" t="s">
        <v>39</v>
      </c>
      <c r="H567" s="27" t="s">
        <v>94</v>
      </c>
      <c r="I567" s="27" t="s">
        <v>49</v>
      </c>
      <c r="J567" s="27" t="s">
        <v>72</v>
      </c>
      <c r="K567" s="27" t="s">
        <v>73</v>
      </c>
      <c r="L567" s="31" t="s">
        <v>295</v>
      </c>
      <c r="M567" s="32">
        <v>0.37</v>
      </c>
      <c r="N567" s="27" t="s">
        <v>33</v>
      </c>
      <c r="O567" s="27" t="s">
        <v>53</v>
      </c>
      <c r="P567" s="27" t="s">
        <v>103</v>
      </c>
      <c r="Q567" s="27" t="s">
        <v>1237</v>
      </c>
      <c r="R567" s="33">
        <v>60459</v>
      </c>
      <c r="S567" s="34">
        <v>42053</v>
      </c>
      <c r="T567" s="34">
        <v>42055</v>
      </c>
      <c r="U567" s="29">
        <v>-99.43544</v>
      </c>
      <c r="V567" s="26">
        <v>23</v>
      </c>
      <c r="W567" s="29">
        <v>377.44</v>
      </c>
      <c r="X567" s="26">
        <v>88899</v>
      </c>
      <c r="Y567" s="35">
        <v>34.669999999999995</v>
      </c>
      <c r="Z567" s="1" t="s">
        <v>3012</v>
      </c>
      <c r="AA567" s="36">
        <v>3.6777000000000002</v>
      </c>
      <c r="AB567" s="54">
        <v>237.78720000000001</v>
      </c>
      <c r="AC567" s="54">
        <v>6.0718608695652172</v>
      </c>
      <c r="AD567" s="36">
        <v>460.01774</v>
      </c>
    </row>
    <row r="568" spans="1:30" s="37" customFormat="1" ht="15.75" customHeight="1" x14ac:dyDescent="0.2">
      <c r="A568" s="26">
        <v>2141</v>
      </c>
      <c r="B568" s="27" t="s">
        <v>1241</v>
      </c>
      <c r="C568" s="27" t="s">
        <v>38</v>
      </c>
      <c r="D568" s="28">
        <v>0.09</v>
      </c>
      <c r="E568" s="29">
        <v>34.76</v>
      </c>
      <c r="F568" s="29">
        <v>8.2200000000000006</v>
      </c>
      <c r="G568" s="30" t="s">
        <v>39</v>
      </c>
      <c r="H568" s="27" t="s">
        <v>71</v>
      </c>
      <c r="I568" s="27" t="s">
        <v>49</v>
      </c>
      <c r="J568" s="27" t="s">
        <v>78</v>
      </c>
      <c r="K568" s="27" t="s">
        <v>73</v>
      </c>
      <c r="L568" s="31" t="s">
        <v>1245</v>
      </c>
      <c r="M568" s="32">
        <v>0.56999999999999995</v>
      </c>
      <c r="N568" s="27" t="s">
        <v>33</v>
      </c>
      <c r="O568" s="27" t="s">
        <v>60</v>
      </c>
      <c r="P568" s="27" t="s">
        <v>61</v>
      </c>
      <c r="Q568" s="27" t="s">
        <v>1243</v>
      </c>
      <c r="R568" s="33">
        <v>81301</v>
      </c>
      <c r="S568" s="34">
        <v>42053</v>
      </c>
      <c r="T568" s="34">
        <v>42055</v>
      </c>
      <c r="U568" s="29">
        <v>45.3324</v>
      </c>
      <c r="V568" s="26">
        <v>7</v>
      </c>
      <c r="W568" s="29">
        <v>242.97</v>
      </c>
      <c r="X568" s="26">
        <v>87570</v>
      </c>
      <c r="Y568" s="35">
        <v>5.13</v>
      </c>
      <c r="Z568" s="1" t="s">
        <v>3013</v>
      </c>
      <c r="AA568" s="36">
        <v>21.898799999999998</v>
      </c>
      <c r="AB568" s="54">
        <v>104.47710000000001</v>
      </c>
      <c r="AC568" s="54">
        <v>19.784699999999997</v>
      </c>
      <c r="AD568" s="36">
        <v>167.5188</v>
      </c>
    </row>
    <row r="569" spans="1:30" s="37" customFormat="1" ht="15.75" customHeight="1" x14ac:dyDescent="0.2">
      <c r="A569" s="26">
        <v>2141</v>
      </c>
      <c r="B569" s="27" t="s">
        <v>1241</v>
      </c>
      <c r="C569" s="27" t="s">
        <v>38</v>
      </c>
      <c r="D569" s="28">
        <v>0.03</v>
      </c>
      <c r="E569" s="29">
        <v>22.01</v>
      </c>
      <c r="F569" s="29">
        <v>5.53</v>
      </c>
      <c r="G569" s="30" t="s">
        <v>87</v>
      </c>
      <c r="H569" s="27" t="s">
        <v>71</v>
      </c>
      <c r="I569" s="27" t="s">
        <v>49</v>
      </c>
      <c r="J569" s="27" t="s">
        <v>50</v>
      </c>
      <c r="K569" s="27" t="s">
        <v>43</v>
      </c>
      <c r="L569" s="31" t="s">
        <v>496</v>
      </c>
      <c r="M569" s="32">
        <v>0.59</v>
      </c>
      <c r="N569" s="27" t="s">
        <v>33</v>
      </c>
      <c r="O569" s="27" t="s">
        <v>60</v>
      </c>
      <c r="P569" s="27" t="s">
        <v>61</v>
      </c>
      <c r="Q569" s="27" t="s">
        <v>1243</v>
      </c>
      <c r="R569" s="33">
        <v>81301</v>
      </c>
      <c r="S569" s="34">
        <v>42053</v>
      </c>
      <c r="T569" s="34">
        <v>42054</v>
      </c>
      <c r="U569" s="29">
        <v>12.5504</v>
      </c>
      <c r="V569" s="26">
        <v>7</v>
      </c>
      <c r="W569" s="29">
        <v>154.11000000000001</v>
      </c>
      <c r="X569" s="26">
        <v>87570</v>
      </c>
      <c r="Y569" s="35">
        <v>175.99</v>
      </c>
      <c r="Z569" s="1" t="s">
        <v>3013</v>
      </c>
      <c r="AA569" s="36">
        <v>4.6220999999999997</v>
      </c>
      <c r="AB569" s="54">
        <v>63.185100000000013</v>
      </c>
      <c r="AC569" s="54">
        <v>12.989271428571429</v>
      </c>
      <c r="AD569" s="36">
        <v>131.40750000000003</v>
      </c>
    </row>
    <row r="570" spans="1:30" s="37" customFormat="1" ht="15.75" customHeight="1" x14ac:dyDescent="0.2">
      <c r="A570" s="26">
        <v>3255</v>
      </c>
      <c r="B570" s="27" t="s">
        <v>1238</v>
      </c>
      <c r="C570" s="27" t="s">
        <v>26</v>
      </c>
      <c r="D570" s="28">
        <v>0.06</v>
      </c>
      <c r="E570" s="29">
        <v>47.98</v>
      </c>
      <c r="F570" s="29">
        <v>3.61</v>
      </c>
      <c r="G570" s="30" t="s">
        <v>39</v>
      </c>
      <c r="H570" s="27" t="s">
        <v>71</v>
      </c>
      <c r="I570" s="27" t="s">
        <v>41</v>
      </c>
      <c r="J570" s="27" t="s">
        <v>42</v>
      </c>
      <c r="K570" s="27" t="s">
        <v>43</v>
      </c>
      <c r="L570" s="31" t="s">
        <v>1239</v>
      </c>
      <c r="M570" s="32">
        <v>0.71</v>
      </c>
      <c r="N570" s="27" t="s">
        <v>33</v>
      </c>
      <c r="O570" s="27" t="s">
        <v>34</v>
      </c>
      <c r="P570" s="27" t="s">
        <v>123</v>
      </c>
      <c r="Q570" s="27" t="s">
        <v>1240</v>
      </c>
      <c r="R570" s="33">
        <v>33319</v>
      </c>
      <c r="S570" s="34">
        <v>42053</v>
      </c>
      <c r="T570" s="34">
        <v>42055</v>
      </c>
      <c r="U570" s="29">
        <v>596.80799999999999</v>
      </c>
      <c r="V570" s="26">
        <v>2</v>
      </c>
      <c r="W570" s="29">
        <v>97.96</v>
      </c>
      <c r="X570" s="26">
        <v>90488</v>
      </c>
      <c r="Y570" s="35">
        <v>355.89000000000004</v>
      </c>
      <c r="Z570" s="1" t="s">
        <v>3011</v>
      </c>
      <c r="AA570" s="36">
        <v>5.7575999999999992</v>
      </c>
      <c r="AB570" s="54">
        <v>28.4084</v>
      </c>
      <c r="AC570" s="54">
        <v>34.775799999999997</v>
      </c>
      <c r="AD570" s="36">
        <v>-508.21560000000005</v>
      </c>
    </row>
    <row r="571" spans="1:30" s="37" customFormat="1" ht="15.75" customHeight="1" x14ac:dyDescent="0.2">
      <c r="A571" s="26">
        <v>91</v>
      </c>
      <c r="B571" s="27" t="s">
        <v>1246</v>
      </c>
      <c r="C571" s="27" t="s">
        <v>116</v>
      </c>
      <c r="D571" s="28">
        <v>0.05</v>
      </c>
      <c r="E571" s="29">
        <v>5.18</v>
      </c>
      <c r="F571" s="29">
        <v>2.04</v>
      </c>
      <c r="G571" s="30" t="s">
        <v>39</v>
      </c>
      <c r="H571" s="27" t="s">
        <v>71</v>
      </c>
      <c r="I571" s="27" t="s">
        <v>49</v>
      </c>
      <c r="J571" s="27" t="s">
        <v>88</v>
      </c>
      <c r="K571" s="27" t="s">
        <v>51</v>
      </c>
      <c r="L571" s="31" t="s">
        <v>833</v>
      </c>
      <c r="M571" s="32">
        <v>0.36</v>
      </c>
      <c r="N571" s="27" t="s">
        <v>33</v>
      </c>
      <c r="O571" s="27" t="s">
        <v>60</v>
      </c>
      <c r="P571" s="27" t="s">
        <v>90</v>
      </c>
      <c r="Q571" s="27" t="s">
        <v>1247</v>
      </c>
      <c r="R571" s="33">
        <v>94591</v>
      </c>
      <c r="S571" s="34">
        <v>42053</v>
      </c>
      <c r="T571" s="34">
        <v>42055</v>
      </c>
      <c r="U571" s="29">
        <v>34.010399999999997</v>
      </c>
      <c r="V571" s="26">
        <v>10</v>
      </c>
      <c r="W571" s="29">
        <v>53.54</v>
      </c>
      <c r="X571" s="26">
        <v>87176</v>
      </c>
      <c r="Y571" s="35">
        <v>218.71</v>
      </c>
      <c r="Z571" s="1" t="s">
        <v>3013</v>
      </c>
      <c r="AA571" s="36">
        <v>2.59</v>
      </c>
      <c r="AB571" s="54">
        <v>34.265599999999999</v>
      </c>
      <c r="AC571" s="54">
        <v>1.92744</v>
      </c>
      <c r="AD571" s="36">
        <v>14.8996</v>
      </c>
    </row>
    <row r="572" spans="1:30" s="37" customFormat="1" ht="15.75" customHeight="1" x14ac:dyDescent="0.2">
      <c r="A572" s="26">
        <v>2141</v>
      </c>
      <c r="B572" s="27" t="s">
        <v>1241</v>
      </c>
      <c r="C572" s="27" t="s">
        <v>38</v>
      </c>
      <c r="D572" s="28">
        <v>0.01</v>
      </c>
      <c r="E572" s="29">
        <v>5.44</v>
      </c>
      <c r="F572" s="29">
        <v>7.46</v>
      </c>
      <c r="G572" s="30" t="s">
        <v>39</v>
      </c>
      <c r="H572" s="27" t="s">
        <v>71</v>
      </c>
      <c r="I572" s="27" t="s">
        <v>49</v>
      </c>
      <c r="J572" s="27" t="s">
        <v>72</v>
      </c>
      <c r="K572" s="27" t="s">
        <v>73</v>
      </c>
      <c r="L572" s="31" t="s">
        <v>1242</v>
      </c>
      <c r="M572" s="32">
        <v>0.36</v>
      </c>
      <c r="N572" s="27" t="s">
        <v>33</v>
      </c>
      <c r="O572" s="27" t="s">
        <v>60</v>
      </c>
      <c r="P572" s="27" t="s">
        <v>61</v>
      </c>
      <c r="Q572" s="27" t="s">
        <v>1243</v>
      </c>
      <c r="R572" s="33">
        <v>81301</v>
      </c>
      <c r="S572" s="34">
        <v>42053</v>
      </c>
      <c r="T572" s="34">
        <v>42054</v>
      </c>
      <c r="U572" s="29">
        <v>-18.478200000000001</v>
      </c>
      <c r="V572" s="26">
        <v>3</v>
      </c>
      <c r="W572" s="29">
        <v>19.68</v>
      </c>
      <c r="X572" s="26">
        <v>87570</v>
      </c>
      <c r="Y572" s="35">
        <v>355.89000000000004</v>
      </c>
      <c r="Z572" s="1" t="s">
        <v>3013</v>
      </c>
      <c r="AA572" s="36">
        <v>0.16320000000000001</v>
      </c>
      <c r="AB572" s="54">
        <v>12.5952</v>
      </c>
      <c r="AC572" s="54">
        <v>2.3615999999999997</v>
      </c>
      <c r="AD572" s="36">
        <v>30.535</v>
      </c>
    </row>
    <row r="573" spans="1:30" s="37" customFormat="1" ht="15.75" customHeight="1" x14ac:dyDescent="0.2">
      <c r="A573" s="26">
        <v>2052</v>
      </c>
      <c r="B573" s="27" t="s">
        <v>1268</v>
      </c>
      <c r="C573" s="27" t="s">
        <v>3094</v>
      </c>
      <c r="D573" s="28">
        <v>0.1</v>
      </c>
      <c r="E573" s="29">
        <v>35.99</v>
      </c>
      <c r="F573" s="29">
        <v>1.1000000000000001</v>
      </c>
      <c r="G573" s="30" t="s">
        <v>87</v>
      </c>
      <c r="H573" s="27" t="s">
        <v>71</v>
      </c>
      <c r="I573" s="27" t="s">
        <v>41</v>
      </c>
      <c r="J573" s="27" t="s">
        <v>135</v>
      </c>
      <c r="K573" s="27" t="s">
        <v>73</v>
      </c>
      <c r="L573" s="31" t="s">
        <v>274</v>
      </c>
      <c r="M573" s="32">
        <v>0.55000000000000004</v>
      </c>
      <c r="N573" s="27" t="s">
        <v>33</v>
      </c>
      <c r="O573" s="27" t="s">
        <v>60</v>
      </c>
      <c r="P573" s="27" t="s">
        <v>640</v>
      </c>
      <c r="Q573" s="27" t="s">
        <v>1269</v>
      </c>
      <c r="R573" s="33">
        <v>87105</v>
      </c>
      <c r="S573" s="34">
        <v>42054</v>
      </c>
      <c r="T573" s="34">
        <v>42055</v>
      </c>
      <c r="U573" s="29">
        <v>390.09840000000003</v>
      </c>
      <c r="V573" s="26">
        <v>19</v>
      </c>
      <c r="W573" s="29">
        <v>565.36</v>
      </c>
      <c r="X573" s="26">
        <v>87234</v>
      </c>
      <c r="Y573" s="35">
        <v>4.2300000000000004</v>
      </c>
      <c r="Z573" s="1" t="s">
        <v>3013</v>
      </c>
      <c r="AA573" s="36">
        <v>68.381</v>
      </c>
      <c r="AB573" s="54">
        <v>254.41199999999998</v>
      </c>
      <c r="AC573" s="54">
        <v>16.365684210526318</v>
      </c>
      <c r="AD573" s="36">
        <v>105.78059999999994</v>
      </c>
    </row>
    <row r="574" spans="1:30" s="37" customFormat="1" ht="15.75" customHeight="1" x14ac:dyDescent="0.2">
      <c r="A574" s="26">
        <v>1303</v>
      </c>
      <c r="B574" s="27" t="s">
        <v>1256</v>
      </c>
      <c r="C574" s="27" t="s">
        <v>48</v>
      </c>
      <c r="D574" s="28">
        <v>0.01</v>
      </c>
      <c r="E574" s="29">
        <v>65.989999999999995</v>
      </c>
      <c r="F574" s="29">
        <v>5.31</v>
      </c>
      <c r="G574" s="30" t="s">
        <v>39</v>
      </c>
      <c r="H574" s="27" t="s">
        <v>40</v>
      </c>
      <c r="I574" s="27" t="s">
        <v>41</v>
      </c>
      <c r="J574" s="27" t="s">
        <v>135</v>
      </c>
      <c r="K574" s="27" t="s">
        <v>73</v>
      </c>
      <c r="L574" s="31" t="s">
        <v>1262</v>
      </c>
      <c r="M574" s="32">
        <v>0.56999999999999995</v>
      </c>
      <c r="N574" s="27" t="s">
        <v>33</v>
      </c>
      <c r="O574" s="27" t="s">
        <v>60</v>
      </c>
      <c r="P574" s="27" t="s">
        <v>146</v>
      </c>
      <c r="Q574" s="27" t="s">
        <v>1258</v>
      </c>
      <c r="R574" s="33">
        <v>84074</v>
      </c>
      <c r="S574" s="34">
        <v>42054</v>
      </c>
      <c r="T574" s="34">
        <v>42061</v>
      </c>
      <c r="U574" s="29">
        <v>250.36272</v>
      </c>
      <c r="V574" s="26">
        <v>9</v>
      </c>
      <c r="W574" s="29">
        <v>536.9</v>
      </c>
      <c r="X574" s="26">
        <v>87005</v>
      </c>
      <c r="Y574" s="35">
        <v>39.449999999999996</v>
      </c>
      <c r="Z574" s="1" t="s">
        <v>3013</v>
      </c>
      <c r="AA574" s="36">
        <v>5.9390999999999998</v>
      </c>
      <c r="AB574" s="54">
        <v>230.86700000000002</v>
      </c>
      <c r="AC574" s="54">
        <v>34.00366666666666</v>
      </c>
      <c r="AD574" s="36">
        <v>275.28817999999995</v>
      </c>
    </row>
    <row r="575" spans="1:30" s="37" customFormat="1" ht="15.75" customHeight="1" x14ac:dyDescent="0.2">
      <c r="A575" s="26">
        <v>2287</v>
      </c>
      <c r="B575" s="27" t="s">
        <v>1263</v>
      </c>
      <c r="C575" s="27" t="s">
        <v>48</v>
      </c>
      <c r="D575" s="28">
        <v>0.1</v>
      </c>
      <c r="E575" s="29">
        <v>54.1</v>
      </c>
      <c r="F575" s="29">
        <v>19.989999999999998</v>
      </c>
      <c r="G575" s="30" t="s">
        <v>39</v>
      </c>
      <c r="H575" s="27" t="s">
        <v>94</v>
      </c>
      <c r="I575" s="27" t="s">
        <v>49</v>
      </c>
      <c r="J575" s="27" t="s">
        <v>78</v>
      </c>
      <c r="K575" s="27" t="s">
        <v>73</v>
      </c>
      <c r="L575" s="31" t="s">
        <v>1264</v>
      </c>
      <c r="M575" s="32">
        <v>0.59</v>
      </c>
      <c r="N575" s="27" t="s">
        <v>33</v>
      </c>
      <c r="O575" s="27" t="s">
        <v>34</v>
      </c>
      <c r="P575" s="27" t="s">
        <v>271</v>
      </c>
      <c r="Q575" s="27" t="s">
        <v>1265</v>
      </c>
      <c r="R575" s="33">
        <v>29483</v>
      </c>
      <c r="S575" s="34">
        <v>42054</v>
      </c>
      <c r="T575" s="34">
        <v>42059</v>
      </c>
      <c r="U575" s="29">
        <v>34.067999999999998</v>
      </c>
      <c r="V575" s="26">
        <v>9</v>
      </c>
      <c r="W575" s="29">
        <v>469.59</v>
      </c>
      <c r="X575" s="26">
        <v>90147</v>
      </c>
      <c r="Y575" s="35">
        <v>11.239999999999998</v>
      </c>
      <c r="Z575" s="1" t="s">
        <v>3011</v>
      </c>
      <c r="AA575" s="36">
        <v>48.69</v>
      </c>
      <c r="AB575" s="54">
        <v>192.53190000000001</v>
      </c>
      <c r="AC575" s="54">
        <v>30.784233333333329</v>
      </c>
      <c r="AD575" s="36">
        <v>366.84199999999998</v>
      </c>
    </row>
    <row r="576" spans="1:30" s="37" customFormat="1" ht="15.75" customHeight="1" x14ac:dyDescent="0.2">
      <c r="A576" s="26">
        <v>1303</v>
      </c>
      <c r="B576" s="27" t="s">
        <v>1256</v>
      </c>
      <c r="C576" s="27" t="s">
        <v>38</v>
      </c>
      <c r="D576" s="28">
        <v>0.03</v>
      </c>
      <c r="E576" s="29">
        <v>39.479999999999997</v>
      </c>
      <c r="F576" s="29">
        <v>1.99</v>
      </c>
      <c r="G576" s="30" t="s">
        <v>39</v>
      </c>
      <c r="H576" s="27" t="s">
        <v>40</v>
      </c>
      <c r="I576" s="27" t="s">
        <v>41</v>
      </c>
      <c r="J576" s="27" t="s">
        <v>42</v>
      </c>
      <c r="K576" s="27" t="s">
        <v>43</v>
      </c>
      <c r="L576" s="31" t="s">
        <v>1257</v>
      </c>
      <c r="M576" s="32">
        <v>0.54</v>
      </c>
      <c r="N576" s="27" t="s">
        <v>33</v>
      </c>
      <c r="O576" s="27" t="s">
        <v>60</v>
      </c>
      <c r="P576" s="27" t="s">
        <v>146</v>
      </c>
      <c r="Q576" s="27" t="s">
        <v>1258</v>
      </c>
      <c r="R576" s="33">
        <v>84074</v>
      </c>
      <c r="S576" s="34">
        <v>42054</v>
      </c>
      <c r="T576" s="34">
        <v>42056</v>
      </c>
      <c r="U576" s="29">
        <v>317.08949999999999</v>
      </c>
      <c r="V576" s="26">
        <v>12</v>
      </c>
      <c r="W576" s="29">
        <v>459.55</v>
      </c>
      <c r="X576" s="26">
        <v>87003</v>
      </c>
      <c r="Y576" s="35">
        <v>65.97999999999999</v>
      </c>
      <c r="Z576" s="1" t="s">
        <v>3013</v>
      </c>
      <c r="AA576" s="36">
        <v>14.212799999999998</v>
      </c>
      <c r="AB576" s="54">
        <v>211.393</v>
      </c>
      <c r="AC576" s="54">
        <v>20.679750000000002</v>
      </c>
      <c r="AD576" s="36">
        <v>126.2577</v>
      </c>
    </row>
    <row r="577" spans="1:30" s="37" customFormat="1" ht="15.75" customHeight="1" x14ac:dyDescent="0.2">
      <c r="A577" s="26">
        <v>2052</v>
      </c>
      <c r="B577" s="27" t="s">
        <v>1268</v>
      </c>
      <c r="C577" s="27" t="s">
        <v>3094</v>
      </c>
      <c r="D577" s="28">
        <v>7.0000000000000007E-2</v>
      </c>
      <c r="E577" s="29">
        <v>31.78</v>
      </c>
      <c r="F577" s="29">
        <v>1.99</v>
      </c>
      <c r="G577" s="30" t="s">
        <v>39</v>
      </c>
      <c r="H577" s="27" t="s">
        <v>71</v>
      </c>
      <c r="I577" s="27" t="s">
        <v>41</v>
      </c>
      <c r="J577" s="27" t="s">
        <v>42</v>
      </c>
      <c r="K577" s="27" t="s">
        <v>43</v>
      </c>
      <c r="L577" s="31" t="s">
        <v>870</v>
      </c>
      <c r="M577" s="32">
        <v>0.42</v>
      </c>
      <c r="N577" s="27" t="s">
        <v>33</v>
      </c>
      <c r="O577" s="27" t="s">
        <v>60</v>
      </c>
      <c r="P577" s="27" t="s">
        <v>640</v>
      </c>
      <c r="Q577" s="27" t="s">
        <v>1269</v>
      </c>
      <c r="R577" s="33">
        <v>87105</v>
      </c>
      <c r="S577" s="34">
        <v>42054</v>
      </c>
      <c r="T577" s="34">
        <v>42056</v>
      </c>
      <c r="U577" s="29">
        <v>265.11180000000002</v>
      </c>
      <c r="V577" s="26">
        <v>13</v>
      </c>
      <c r="W577" s="29">
        <v>384.22</v>
      </c>
      <c r="X577" s="26">
        <v>87234</v>
      </c>
      <c r="Y577" s="35">
        <v>54</v>
      </c>
      <c r="Z577" s="1" t="s">
        <v>3013</v>
      </c>
      <c r="AA577" s="36">
        <v>28.919800000000002</v>
      </c>
      <c r="AB577" s="54">
        <v>222.84760000000006</v>
      </c>
      <c r="AC577" s="54">
        <v>12.413261538461539</v>
      </c>
      <c r="AD577" s="36">
        <v>88.198399999999992</v>
      </c>
    </row>
    <row r="578" spans="1:30" s="37" customFormat="1" ht="15.75" customHeight="1" x14ac:dyDescent="0.2">
      <c r="A578" s="26">
        <v>2828</v>
      </c>
      <c r="B578" s="27" t="s">
        <v>1259</v>
      </c>
      <c r="C578" s="27" t="s">
        <v>38</v>
      </c>
      <c r="D578" s="28">
        <v>0.05</v>
      </c>
      <c r="E578" s="29">
        <v>11.29</v>
      </c>
      <c r="F578" s="29">
        <v>5.03</v>
      </c>
      <c r="G578" s="30" t="s">
        <v>39</v>
      </c>
      <c r="H578" s="27" t="s">
        <v>94</v>
      </c>
      <c r="I578" s="27" t="s">
        <v>49</v>
      </c>
      <c r="J578" s="27" t="s">
        <v>78</v>
      </c>
      <c r="K578" s="27" t="s">
        <v>73</v>
      </c>
      <c r="L578" s="31" t="s">
        <v>1260</v>
      </c>
      <c r="M578" s="32">
        <v>0.59</v>
      </c>
      <c r="N578" s="27" t="s">
        <v>33</v>
      </c>
      <c r="O578" s="27" t="s">
        <v>60</v>
      </c>
      <c r="P578" s="27" t="s">
        <v>90</v>
      </c>
      <c r="Q578" s="27" t="s">
        <v>1261</v>
      </c>
      <c r="R578" s="33">
        <v>92243</v>
      </c>
      <c r="S578" s="34">
        <v>42054</v>
      </c>
      <c r="T578" s="34">
        <v>42056</v>
      </c>
      <c r="U578" s="29">
        <v>-35.26</v>
      </c>
      <c r="V578" s="26">
        <v>8</v>
      </c>
      <c r="W578" s="29">
        <v>90.46</v>
      </c>
      <c r="X578" s="26">
        <v>87720</v>
      </c>
      <c r="Y578" s="35">
        <v>5.98</v>
      </c>
      <c r="Z578" s="1" t="s">
        <v>3013</v>
      </c>
      <c r="AA578" s="36">
        <v>4.516</v>
      </c>
      <c r="AB578" s="54">
        <v>37.0886</v>
      </c>
      <c r="AC578" s="54">
        <v>6.6714249999999993</v>
      </c>
      <c r="AD578" s="36">
        <v>116.17399999999999</v>
      </c>
    </row>
    <row r="579" spans="1:30" s="37" customFormat="1" ht="15.75" customHeight="1" x14ac:dyDescent="0.2">
      <c r="A579" s="26">
        <v>1827</v>
      </c>
      <c r="B579" s="27" t="s">
        <v>1266</v>
      </c>
      <c r="C579" s="27" t="s">
        <v>3094</v>
      </c>
      <c r="D579" s="28">
        <v>0</v>
      </c>
      <c r="E579" s="29">
        <v>5.98</v>
      </c>
      <c r="F579" s="29">
        <v>0.96</v>
      </c>
      <c r="G579" s="30" t="s">
        <v>39</v>
      </c>
      <c r="H579" s="27" t="s">
        <v>94</v>
      </c>
      <c r="I579" s="27" t="s">
        <v>49</v>
      </c>
      <c r="J579" s="27" t="s">
        <v>50</v>
      </c>
      <c r="K579" s="27" t="s">
        <v>51</v>
      </c>
      <c r="L579" s="31" t="s">
        <v>1267</v>
      </c>
      <c r="M579" s="32">
        <v>0.6</v>
      </c>
      <c r="N579" s="27" t="s">
        <v>33</v>
      </c>
      <c r="O579" s="27" t="s">
        <v>53</v>
      </c>
      <c r="P579" s="27" t="s">
        <v>213</v>
      </c>
      <c r="Q579" s="27" t="s">
        <v>928</v>
      </c>
      <c r="R579" s="33">
        <v>52601</v>
      </c>
      <c r="S579" s="34">
        <v>42054</v>
      </c>
      <c r="T579" s="34">
        <v>42055</v>
      </c>
      <c r="U579" s="29">
        <v>38.039700000000003</v>
      </c>
      <c r="V579" s="26">
        <v>9</v>
      </c>
      <c r="W579" s="29">
        <v>55.13</v>
      </c>
      <c r="X579" s="26">
        <v>86956</v>
      </c>
      <c r="Y579" s="35">
        <v>5.9600000000000009</v>
      </c>
      <c r="Z579" s="1" t="s">
        <v>3012</v>
      </c>
      <c r="AA579" s="36">
        <v>0</v>
      </c>
      <c r="AB579" s="54">
        <v>22.052000000000003</v>
      </c>
      <c r="AC579" s="54">
        <v>3.6753333333333331</v>
      </c>
      <c r="AD579" s="36">
        <v>16.130299999999998</v>
      </c>
    </row>
    <row r="580" spans="1:30" s="37" customFormat="1" ht="15.75" customHeight="1" x14ac:dyDescent="0.2">
      <c r="A580" s="26">
        <v>1828</v>
      </c>
      <c r="B580" s="27" t="s">
        <v>250</v>
      </c>
      <c r="C580" s="27" t="s">
        <v>3094</v>
      </c>
      <c r="D580" s="28">
        <v>0.02</v>
      </c>
      <c r="E580" s="29">
        <v>5.98</v>
      </c>
      <c r="F580" s="29">
        <v>5.46</v>
      </c>
      <c r="G580" s="30" t="s">
        <v>39</v>
      </c>
      <c r="H580" s="27" t="s">
        <v>94</v>
      </c>
      <c r="I580" s="27" t="s">
        <v>49</v>
      </c>
      <c r="J580" s="27" t="s">
        <v>88</v>
      </c>
      <c r="K580" s="27" t="s">
        <v>73</v>
      </c>
      <c r="L580" s="31" t="s">
        <v>1156</v>
      </c>
      <c r="M580" s="32">
        <v>0.36</v>
      </c>
      <c r="N580" s="27" t="s">
        <v>33</v>
      </c>
      <c r="O580" s="27" t="s">
        <v>53</v>
      </c>
      <c r="P580" s="27" t="s">
        <v>213</v>
      </c>
      <c r="Q580" s="27" t="s">
        <v>252</v>
      </c>
      <c r="R580" s="33">
        <v>50613</v>
      </c>
      <c r="S580" s="34">
        <v>42054</v>
      </c>
      <c r="T580" s="34">
        <v>42055</v>
      </c>
      <c r="U580" s="29">
        <v>-47.12</v>
      </c>
      <c r="V580" s="26">
        <v>7</v>
      </c>
      <c r="W580" s="29">
        <v>44.8</v>
      </c>
      <c r="X580" s="26">
        <v>86956</v>
      </c>
      <c r="Y580" s="35">
        <v>31.71</v>
      </c>
      <c r="Z580" s="1" t="s">
        <v>3012</v>
      </c>
      <c r="AA580" s="36">
        <v>0.83720000000000006</v>
      </c>
      <c r="AB580" s="54">
        <v>28.671999999999997</v>
      </c>
      <c r="AC580" s="54">
        <v>2.3039999999999998</v>
      </c>
      <c r="AD580" s="36">
        <v>85.622799999999984</v>
      </c>
    </row>
    <row r="581" spans="1:30" s="37" customFormat="1" ht="15.75" customHeight="1" x14ac:dyDescent="0.2">
      <c r="A581" s="26">
        <v>993</v>
      </c>
      <c r="B581" s="27" t="s">
        <v>1253</v>
      </c>
      <c r="C581" s="27" t="s">
        <v>38</v>
      </c>
      <c r="D581" s="28">
        <v>0.05</v>
      </c>
      <c r="E581" s="29">
        <v>4.28</v>
      </c>
      <c r="F581" s="29">
        <v>5.17</v>
      </c>
      <c r="G581" s="30" t="s">
        <v>39</v>
      </c>
      <c r="H581" s="27" t="s">
        <v>3095</v>
      </c>
      <c r="I581" s="27" t="s">
        <v>49</v>
      </c>
      <c r="J581" s="27" t="s">
        <v>88</v>
      </c>
      <c r="K581" s="27" t="s">
        <v>73</v>
      </c>
      <c r="L581" s="31" t="s">
        <v>1254</v>
      </c>
      <c r="M581" s="32">
        <v>0.4</v>
      </c>
      <c r="N581" s="27" t="s">
        <v>33</v>
      </c>
      <c r="O581" s="27" t="s">
        <v>60</v>
      </c>
      <c r="P581" s="27" t="s">
        <v>90</v>
      </c>
      <c r="Q581" s="27" t="s">
        <v>1255</v>
      </c>
      <c r="R581" s="33">
        <v>93030</v>
      </c>
      <c r="S581" s="34">
        <v>42054</v>
      </c>
      <c r="T581" s="34">
        <v>42054</v>
      </c>
      <c r="U581" s="29">
        <v>-104.57</v>
      </c>
      <c r="V581" s="26">
        <v>9</v>
      </c>
      <c r="W581" s="29">
        <v>38.58</v>
      </c>
      <c r="X581" s="26">
        <v>89432</v>
      </c>
      <c r="Y581" s="35">
        <v>5.98</v>
      </c>
      <c r="Z581" s="1" t="s">
        <v>3013</v>
      </c>
      <c r="AA581" s="36">
        <v>1.9260000000000002</v>
      </c>
      <c r="AB581" s="54">
        <v>23.148</v>
      </c>
      <c r="AC581" s="54">
        <v>1.7146666666666666</v>
      </c>
      <c r="AD581" s="36">
        <v>136.05399999999997</v>
      </c>
    </row>
    <row r="582" spans="1:30" s="37" customFormat="1" ht="15.75" customHeight="1" x14ac:dyDescent="0.2">
      <c r="A582" s="26">
        <v>2052</v>
      </c>
      <c r="B582" s="27" t="s">
        <v>1268</v>
      </c>
      <c r="C582" s="27" t="s">
        <v>3094</v>
      </c>
      <c r="D582" s="28">
        <v>0</v>
      </c>
      <c r="E582" s="29">
        <v>5.98</v>
      </c>
      <c r="F582" s="29">
        <v>2.5</v>
      </c>
      <c r="G582" s="30" t="s">
        <v>39</v>
      </c>
      <c r="H582" s="27" t="s">
        <v>71</v>
      </c>
      <c r="I582" s="27" t="s">
        <v>49</v>
      </c>
      <c r="J582" s="27" t="s">
        <v>345</v>
      </c>
      <c r="K582" s="27" t="s">
        <v>73</v>
      </c>
      <c r="L582" s="31" t="s">
        <v>1270</v>
      </c>
      <c r="M582" s="32">
        <v>0.36</v>
      </c>
      <c r="N582" s="27" t="s">
        <v>33</v>
      </c>
      <c r="O582" s="27" t="s">
        <v>60</v>
      </c>
      <c r="P582" s="27" t="s">
        <v>640</v>
      </c>
      <c r="Q582" s="27" t="s">
        <v>1269</v>
      </c>
      <c r="R582" s="33">
        <v>87105</v>
      </c>
      <c r="S582" s="34">
        <v>42054</v>
      </c>
      <c r="T582" s="34">
        <v>42055</v>
      </c>
      <c r="U582" s="29">
        <v>9.5608000000000004</v>
      </c>
      <c r="V582" s="26">
        <v>5</v>
      </c>
      <c r="W582" s="29">
        <v>31.64</v>
      </c>
      <c r="X582" s="26">
        <v>87234</v>
      </c>
      <c r="Y582" s="35">
        <v>35.89</v>
      </c>
      <c r="Z582" s="1" t="s">
        <v>3013</v>
      </c>
      <c r="AA582" s="36">
        <v>0</v>
      </c>
      <c r="AB582" s="54">
        <v>20.249600000000001</v>
      </c>
      <c r="AC582" s="54">
        <v>2.2780800000000001</v>
      </c>
      <c r="AD582" s="36">
        <v>19.5792</v>
      </c>
    </row>
    <row r="583" spans="1:30" s="37" customFormat="1" ht="15.75" customHeight="1" x14ac:dyDescent="0.2">
      <c r="A583" s="26">
        <v>1485</v>
      </c>
      <c r="B583" s="27" t="s">
        <v>1282</v>
      </c>
      <c r="C583" s="27" t="s">
        <v>3094</v>
      </c>
      <c r="D583" s="28">
        <v>0.05</v>
      </c>
      <c r="E583" s="29">
        <v>225.02</v>
      </c>
      <c r="F583" s="29">
        <v>28.66</v>
      </c>
      <c r="G583" s="30" t="s">
        <v>27</v>
      </c>
      <c r="H583" s="27" t="s">
        <v>71</v>
      </c>
      <c r="I583" s="27" t="s">
        <v>49</v>
      </c>
      <c r="J583" s="27" t="s">
        <v>78</v>
      </c>
      <c r="K583" s="27" t="s">
        <v>58</v>
      </c>
      <c r="L583" s="31" t="s">
        <v>1286</v>
      </c>
      <c r="M583" s="32">
        <v>0.72</v>
      </c>
      <c r="N583" s="27" t="s">
        <v>33</v>
      </c>
      <c r="O583" s="27" t="s">
        <v>53</v>
      </c>
      <c r="P583" s="27" t="s">
        <v>103</v>
      </c>
      <c r="Q583" s="27" t="s">
        <v>1284</v>
      </c>
      <c r="R583" s="33">
        <v>60516</v>
      </c>
      <c r="S583" s="34">
        <v>42055</v>
      </c>
      <c r="T583" s="34">
        <v>42057</v>
      </c>
      <c r="U583" s="29">
        <v>1428.9104</v>
      </c>
      <c r="V583" s="26">
        <v>21</v>
      </c>
      <c r="W583" s="29">
        <v>4636.63</v>
      </c>
      <c r="X583" s="26">
        <v>91236</v>
      </c>
      <c r="Y583" s="35">
        <v>4.0299999999999994</v>
      </c>
      <c r="Z583" s="1" t="s">
        <v>3012</v>
      </c>
      <c r="AA583" s="36">
        <v>236.27100000000002</v>
      </c>
      <c r="AB583" s="54">
        <v>1298.2564000000002</v>
      </c>
      <c r="AC583" s="54">
        <v>158.97017142857143</v>
      </c>
      <c r="AD583" s="36">
        <v>2942.7885999999999</v>
      </c>
    </row>
    <row r="584" spans="1:30" s="37" customFormat="1" ht="15.75" customHeight="1" x14ac:dyDescent="0.2">
      <c r="A584" s="26">
        <v>2882</v>
      </c>
      <c r="B584" s="27" t="s">
        <v>671</v>
      </c>
      <c r="C584" s="27" t="s">
        <v>38</v>
      </c>
      <c r="D584" s="28">
        <v>0.02</v>
      </c>
      <c r="E584" s="29">
        <v>10.68</v>
      </c>
      <c r="F584" s="29">
        <v>13.04</v>
      </c>
      <c r="G584" s="30" t="s">
        <v>39</v>
      </c>
      <c r="H584" s="27" t="s">
        <v>40</v>
      </c>
      <c r="I584" s="27" t="s">
        <v>29</v>
      </c>
      <c r="J584" s="27" t="s">
        <v>126</v>
      </c>
      <c r="K584" s="27" t="s">
        <v>65</v>
      </c>
      <c r="L584" s="31" t="s">
        <v>1273</v>
      </c>
      <c r="M584" s="32">
        <v>0.6</v>
      </c>
      <c r="N584" s="27" t="s">
        <v>33</v>
      </c>
      <c r="O584" s="27" t="s">
        <v>34</v>
      </c>
      <c r="P584" s="27" t="s">
        <v>97</v>
      </c>
      <c r="Q584" s="27" t="s">
        <v>673</v>
      </c>
      <c r="R584" s="33">
        <v>28206</v>
      </c>
      <c r="S584" s="34">
        <v>42055</v>
      </c>
      <c r="T584" s="34">
        <v>42057</v>
      </c>
      <c r="U584" s="29">
        <v>-307.29649999999998</v>
      </c>
      <c r="V584" s="26">
        <v>31</v>
      </c>
      <c r="W584" s="29">
        <v>350.48</v>
      </c>
      <c r="X584" s="26">
        <v>55300</v>
      </c>
      <c r="Y584" s="35">
        <v>3.74</v>
      </c>
      <c r="Z584" s="1" t="s">
        <v>3011</v>
      </c>
      <c r="AA584" s="36">
        <v>6.6216000000000008</v>
      </c>
      <c r="AB584" s="54">
        <v>140.19200000000001</v>
      </c>
      <c r="AC584" s="54">
        <v>6.7834838709677419</v>
      </c>
      <c r="AD584" s="36">
        <v>638.11490000000003</v>
      </c>
    </row>
    <row r="585" spans="1:30" s="37" customFormat="1" ht="15.75" customHeight="1" x14ac:dyDescent="0.2">
      <c r="A585" s="26">
        <v>2882</v>
      </c>
      <c r="B585" s="27" t="s">
        <v>671</v>
      </c>
      <c r="C585" s="27" t="s">
        <v>38</v>
      </c>
      <c r="D585" s="28">
        <v>0.01</v>
      </c>
      <c r="E585" s="29">
        <v>3.75</v>
      </c>
      <c r="F585" s="29">
        <v>0.5</v>
      </c>
      <c r="G585" s="30" t="s">
        <v>39</v>
      </c>
      <c r="H585" s="27" t="s">
        <v>40</v>
      </c>
      <c r="I585" s="27" t="s">
        <v>49</v>
      </c>
      <c r="J585" s="27" t="s">
        <v>152</v>
      </c>
      <c r="K585" s="27" t="s">
        <v>73</v>
      </c>
      <c r="L585" s="31" t="s">
        <v>1272</v>
      </c>
      <c r="M585" s="32">
        <v>0.37</v>
      </c>
      <c r="N585" s="27" t="s">
        <v>33</v>
      </c>
      <c r="O585" s="27" t="s">
        <v>34</v>
      </c>
      <c r="P585" s="27" t="s">
        <v>97</v>
      </c>
      <c r="Q585" s="27" t="s">
        <v>673</v>
      </c>
      <c r="R585" s="33">
        <v>28206</v>
      </c>
      <c r="S585" s="34">
        <v>42055</v>
      </c>
      <c r="T585" s="34">
        <v>42056</v>
      </c>
      <c r="U585" s="29">
        <v>55.194600000000001</v>
      </c>
      <c r="V585" s="26">
        <v>48</v>
      </c>
      <c r="W585" s="29">
        <v>180.48</v>
      </c>
      <c r="X585" s="26">
        <v>55300</v>
      </c>
      <c r="Y585" s="35">
        <v>10.66</v>
      </c>
      <c r="Z585" s="1" t="s">
        <v>3011</v>
      </c>
      <c r="AA585" s="36">
        <v>1.7999999999999998</v>
      </c>
      <c r="AB585" s="54">
        <v>113.7024</v>
      </c>
      <c r="AC585" s="54">
        <v>1.3912</v>
      </c>
      <c r="AD585" s="36">
        <v>122.9854</v>
      </c>
    </row>
    <row r="586" spans="1:30" s="37" customFormat="1" ht="15.75" customHeight="1" x14ac:dyDescent="0.2">
      <c r="A586" s="26">
        <v>2882</v>
      </c>
      <c r="B586" s="27" t="s">
        <v>671</v>
      </c>
      <c r="C586" s="27" t="s">
        <v>38</v>
      </c>
      <c r="D586" s="28">
        <v>0.03</v>
      </c>
      <c r="E586" s="29">
        <v>4.0599999999999996</v>
      </c>
      <c r="F586" s="29">
        <v>6.89</v>
      </c>
      <c r="G586" s="30" t="s">
        <v>39</v>
      </c>
      <c r="H586" s="27" t="s">
        <v>40</v>
      </c>
      <c r="I586" s="27" t="s">
        <v>49</v>
      </c>
      <c r="J586" s="27" t="s">
        <v>95</v>
      </c>
      <c r="K586" s="27" t="s">
        <v>73</v>
      </c>
      <c r="L586" s="31" t="s">
        <v>1271</v>
      </c>
      <c r="M586" s="32">
        <v>0.6</v>
      </c>
      <c r="N586" s="27" t="s">
        <v>33</v>
      </c>
      <c r="O586" s="27" t="s">
        <v>34</v>
      </c>
      <c r="P586" s="27" t="s">
        <v>97</v>
      </c>
      <c r="Q586" s="27" t="s">
        <v>673</v>
      </c>
      <c r="R586" s="33">
        <v>28206</v>
      </c>
      <c r="S586" s="34">
        <v>42055</v>
      </c>
      <c r="T586" s="34">
        <v>42057</v>
      </c>
      <c r="U586" s="29">
        <v>-246.27610000000001</v>
      </c>
      <c r="V586" s="26">
        <v>37</v>
      </c>
      <c r="W586" s="29">
        <v>159.88999999999999</v>
      </c>
      <c r="X586" s="26">
        <v>55300</v>
      </c>
      <c r="Y586" s="35">
        <v>4.0299999999999994</v>
      </c>
      <c r="Z586" s="1" t="s">
        <v>3011</v>
      </c>
      <c r="AA586" s="36">
        <v>4.5065999999999988</v>
      </c>
      <c r="AB586" s="54">
        <v>63.955999999999996</v>
      </c>
      <c r="AC586" s="54">
        <v>2.5928108108108101</v>
      </c>
      <c r="AD586" s="36">
        <v>394.76949999999999</v>
      </c>
    </row>
    <row r="587" spans="1:30" s="37" customFormat="1" ht="15.75" customHeight="1" x14ac:dyDescent="0.2">
      <c r="A587" s="26">
        <v>1485</v>
      </c>
      <c r="B587" s="27" t="s">
        <v>1282</v>
      </c>
      <c r="C587" s="27" t="s">
        <v>3094</v>
      </c>
      <c r="D587" s="28">
        <v>0.04</v>
      </c>
      <c r="E587" s="29">
        <v>11.5</v>
      </c>
      <c r="F587" s="29">
        <v>7.19</v>
      </c>
      <c r="G587" s="30" t="s">
        <v>39</v>
      </c>
      <c r="H587" s="27" t="s">
        <v>71</v>
      </c>
      <c r="I587" s="27" t="s">
        <v>49</v>
      </c>
      <c r="J587" s="27" t="s">
        <v>72</v>
      </c>
      <c r="K587" s="27" t="s">
        <v>73</v>
      </c>
      <c r="L587" s="31" t="s">
        <v>1283</v>
      </c>
      <c r="M587" s="32">
        <v>0.4</v>
      </c>
      <c r="N587" s="27" t="s">
        <v>33</v>
      </c>
      <c r="O587" s="27" t="s">
        <v>53</v>
      </c>
      <c r="P587" s="27" t="s">
        <v>103</v>
      </c>
      <c r="Q587" s="27" t="s">
        <v>1284</v>
      </c>
      <c r="R587" s="33">
        <v>60516</v>
      </c>
      <c r="S587" s="34">
        <v>42055</v>
      </c>
      <c r="T587" s="34">
        <v>42058</v>
      </c>
      <c r="U587" s="29">
        <v>-23.357880000000002</v>
      </c>
      <c r="V587" s="26">
        <v>14</v>
      </c>
      <c r="W587" s="29">
        <v>157.81</v>
      </c>
      <c r="X587" s="26">
        <v>91236</v>
      </c>
      <c r="Y587" s="35">
        <v>3.74</v>
      </c>
      <c r="Z587" s="1" t="s">
        <v>3012</v>
      </c>
      <c r="AA587" s="36">
        <v>6.44</v>
      </c>
      <c r="AB587" s="54">
        <v>94.685999999999993</v>
      </c>
      <c r="AC587" s="54">
        <v>4.5088571428571429</v>
      </c>
      <c r="AD587" s="36">
        <v>167.53788</v>
      </c>
    </row>
    <row r="588" spans="1:30" s="37" customFormat="1" ht="15.75" customHeight="1" x14ac:dyDescent="0.2">
      <c r="A588" s="26">
        <v>233</v>
      </c>
      <c r="B588" s="27" t="s">
        <v>1279</v>
      </c>
      <c r="C588" s="27" t="s">
        <v>116</v>
      </c>
      <c r="D588" s="28">
        <v>0.04</v>
      </c>
      <c r="E588" s="29">
        <v>9.65</v>
      </c>
      <c r="F588" s="29">
        <v>6.22</v>
      </c>
      <c r="G588" s="30" t="s">
        <v>39</v>
      </c>
      <c r="H588" s="27" t="s">
        <v>3095</v>
      </c>
      <c r="I588" s="27" t="s">
        <v>29</v>
      </c>
      <c r="J588" s="27" t="s">
        <v>126</v>
      </c>
      <c r="K588" s="27" t="s">
        <v>73</v>
      </c>
      <c r="L588" s="31" t="s">
        <v>1281</v>
      </c>
      <c r="M588" s="32">
        <v>0.55000000000000004</v>
      </c>
      <c r="N588" s="27" t="s">
        <v>33</v>
      </c>
      <c r="O588" s="27" t="s">
        <v>53</v>
      </c>
      <c r="P588" s="27" t="s">
        <v>103</v>
      </c>
      <c r="Q588" s="27" t="s">
        <v>1280</v>
      </c>
      <c r="R588" s="33">
        <v>60462</v>
      </c>
      <c r="S588" s="34">
        <v>42055</v>
      </c>
      <c r="T588" s="34">
        <v>42056</v>
      </c>
      <c r="U588" s="29">
        <v>-53.62</v>
      </c>
      <c r="V588" s="26">
        <v>12</v>
      </c>
      <c r="W588" s="29">
        <v>120.47</v>
      </c>
      <c r="X588" s="26">
        <v>90237</v>
      </c>
      <c r="Y588" s="35">
        <v>10.66</v>
      </c>
      <c r="Z588" s="1" t="s">
        <v>3012</v>
      </c>
      <c r="AA588" s="36">
        <v>4.6319999999999997</v>
      </c>
      <c r="AB588" s="54">
        <v>54.211499999999994</v>
      </c>
      <c r="AC588" s="54">
        <v>5.5215416666666668</v>
      </c>
      <c r="AD588" s="36">
        <v>163.238</v>
      </c>
    </row>
    <row r="589" spans="1:30" s="37" customFormat="1" ht="15.75" customHeight="1" x14ac:dyDescent="0.2">
      <c r="A589" s="26">
        <v>3284</v>
      </c>
      <c r="B589" s="27" t="s">
        <v>1276</v>
      </c>
      <c r="C589" s="27" t="s">
        <v>38</v>
      </c>
      <c r="D589" s="28">
        <v>0.05</v>
      </c>
      <c r="E589" s="29">
        <v>19.23</v>
      </c>
      <c r="F589" s="29">
        <v>6.15</v>
      </c>
      <c r="G589" s="30" t="s">
        <v>87</v>
      </c>
      <c r="H589" s="27" t="s">
        <v>94</v>
      </c>
      <c r="I589" s="27" t="s">
        <v>29</v>
      </c>
      <c r="J589" s="27" t="s">
        <v>126</v>
      </c>
      <c r="K589" s="27" t="s">
        <v>43</v>
      </c>
      <c r="L589" s="31" t="s">
        <v>1277</v>
      </c>
      <c r="M589" s="32">
        <v>0.44</v>
      </c>
      <c r="N589" s="27" t="s">
        <v>33</v>
      </c>
      <c r="O589" s="27" t="s">
        <v>34</v>
      </c>
      <c r="P589" s="27" t="s">
        <v>123</v>
      </c>
      <c r="Q589" s="27" t="s">
        <v>1278</v>
      </c>
      <c r="R589" s="33">
        <v>34741</v>
      </c>
      <c r="S589" s="34">
        <v>42055</v>
      </c>
      <c r="T589" s="34">
        <v>42057</v>
      </c>
      <c r="U589" s="29">
        <v>-2133.2779999999998</v>
      </c>
      <c r="V589" s="26">
        <v>6</v>
      </c>
      <c r="W589" s="29">
        <v>119.78</v>
      </c>
      <c r="X589" s="26">
        <v>90751</v>
      </c>
      <c r="Y589" s="35">
        <v>19.18</v>
      </c>
      <c r="Z589" s="1" t="s">
        <v>3011</v>
      </c>
      <c r="AA589" s="36">
        <v>5.7690000000000001</v>
      </c>
      <c r="AB589" s="54">
        <v>67.076800000000006</v>
      </c>
      <c r="AC589" s="54">
        <v>8.7838666666666665</v>
      </c>
      <c r="AD589" s="36">
        <v>2241.1390000000001</v>
      </c>
    </row>
    <row r="590" spans="1:30" s="37" customFormat="1" ht="15.75" customHeight="1" x14ac:dyDescent="0.2">
      <c r="A590" s="26">
        <v>2886</v>
      </c>
      <c r="B590" s="27" t="s">
        <v>1274</v>
      </c>
      <c r="C590" s="27" t="s">
        <v>38</v>
      </c>
      <c r="D590" s="28">
        <v>0.02</v>
      </c>
      <c r="E590" s="29">
        <v>10.68</v>
      </c>
      <c r="F590" s="29">
        <v>13.04</v>
      </c>
      <c r="G590" s="30" t="s">
        <v>39</v>
      </c>
      <c r="H590" s="27" t="s">
        <v>40</v>
      </c>
      <c r="I590" s="27" t="s">
        <v>29</v>
      </c>
      <c r="J590" s="27" t="s">
        <v>126</v>
      </c>
      <c r="K590" s="27" t="s">
        <v>65</v>
      </c>
      <c r="L590" s="31" t="s">
        <v>1273</v>
      </c>
      <c r="M590" s="32">
        <v>0.6</v>
      </c>
      <c r="N590" s="27" t="s">
        <v>33</v>
      </c>
      <c r="O590" s="27" t="s">
        <v>111</v>
      </c>
      <c r="P590" s="27" t="s">
        <v>317</v>
      </c>
      <c r="Q590" s="27" t="s">
        <v>1275</v>
      </c>
      <c r="R590" s="33">
        <v>44134</v>
      </c>
      <c r="S590" s="34">
        <v>42055</v>
      </c>
      <c r="T590" s="34">
        <v>42057</v>
      </c>
      <c r="U590" s="29">
        <v>-231.05</v>
      </c>
      <c r="V590" s="26">
        <v>8</v>
      </c>
      <c r="W590" s="29">
        <v>90.45</v>
      </c>
      <c r="X590" s="26">
        <v>87630</v>
      </c>
      <c r="Y590" s="35">
        <v>5.7399999999999993</v>
      </c>
      <c r="Z590" s="1" t="s">
        <v>3014</v>
      </c>
      <c r="AA590" s="36">
        <v>1.7088000000000001</v>
      </c>
      <c r="AB590" s="54">
        <v>36.18</v>
      </c>
      <c r="AC590" s="54">
        <v>6.7837500000000004</v>
      </c>
      <c r="AD590" s="36">
        <v>306.75120000000004</v>
      </c>
    </row>
    <row r="591" spans="1:30" s="37" customFormat="1" ht="15.75" customHeight="1" x14ac:dyDescent="0.2">
      <c r="A591" s="26">
        <v>233</v>
      </c>
      <c r="B591" s="27" t="s">
        <v>1279</v>
      </c>
      <c r="C591" s="27" t="s">
        <v>116</v>
      </c>
      <c r="D591" s="28">
        <v>7.0000000000000007E-2</v>
      </c>
      <c r="E591" s="29">
        <v>5.81</v>
      </c>
      <c r="F591" s="29">
        <v>8.49</v>
      </c>
      <c r="G591" s="30" t="s">
        <v>39</v>
      </c>
      <c r="H591" s="27" t="s">
        <v>3095</v>
      </c>
      <c r="I591" s="27" t="s">
        <v>49</v>
      </c>
      <c r="J591" s="27" t="s">
        <v>72</v>
      </c>
      <c r="K591" s="27" t="s">
        <v>73</v>
      </c>
      <c r="L591" s="31" t="s">
        <v>330</v>
      </c>
      <c r="M591" s="32">
        <v>0.39</v>
      </c>
      <c r="N591" s="27" t="s">
        <v>33</v>
      </c>
      <c r="O591" s="27" t="s">
        <v>53</v>
      </c>
      <c r="P591" s="27" t="s">
        <v>103</v>
      </c>
      <c r="Q591" s="27" t="s">
        <v>1280</v>
      </c>
      <c r="R591" s="33">
        <v>60462</v>
      </c>
      <c r="S591" s="34">
        <v>42055</v>
      </c>
      <c r="T591" s="34">
        <v>42057</v>
      </c>
      <c r="U591" s="29">
        <v>-243.23650000000001</v>
      </c>
      <c r="V591" s="26">
        <v>10</v>
      </c>
      <c r="W591" s="29">
        <v>58.8</v>
      </c>
      <c r="X591" s="26">
        <v>90237</v>
      </c>
      <c r="Y591" s="35">
        <v>9.6100000000000012</v>
      </c>
      <c r="Z591" s="1" t="s">
        <v>3012</v>
      </c>
      <c r="AA591" s="36">
        <v>4.0670000000000002</v>
      </c>
      <c r="AB591" s="54">
        <v>35.867999999999995</v>
      </c>
      <c r="AC591" s="54">
        <v>2.2932000000000001</v>
      </c>
      <c r="AD591" s="36">
        <v>289.47949999999997</v>
      </c>
    </row>
    <row r="592" spans="1:30" s="37" customFormat="1" ht="15.75" customHeight="1" x14ac:dyDescent="0.2">
      <c r="A592" s="26">
        <v>2886</v>
      </c>
      <c r="B592" s="27" t="s">
        <v>1274</v>
      </c>
      <c r="C592" s="27" t="s">
        <v>38</v>
      </c>
      <c r="D592" s="28">
        <v>0.01</v>
      </c>
      <c r="E592" s="29">
        <v>3.75</v>
      </c>
      <c r="F592" s="29">
        <v>0.5</v>
      </c>
      <c r="G592" s="30" t="s">
        <v>39</v>
      </c>
      <c r="H592" s="27" t="s">
        <v>40</v>
      </c>
      <c r="I592" s="27" t="s">
        <v>49</v>
      </c>
      <c r="J592" s="27" t="s">
        <v>152</v>
      </c>
      <c r="K592" s="27" t="s">
        <v>73</v>
      </c>
      <c r="L592" s="31" t="s">
        <v>1272</v>
      </c>
      <c r="M592" s="32">
        <v>0.37</v>
      </c>
      <c r="N592" s="27" t="s">
        <v>33</v>
      </c>
      <c r="O592" s="27" t="s">
        <v>111</v>
      </c>
      <c r="P592" s="27" t="s">
        <v>317</v>
      </c>
      <c r="Q592" s="27" t="s">
        <v>1275</v>
      </c>
      <c r="R592" s="33">
        <v>44134</v>
      </c>
      <c r="S592" s="34">
        <v>42055</v>
      </c>
      <c r="T592" s="34">
        <v>42056</v>
      </c>
      <c r="U592" s="29">
        <v>31.1328</v>
      </c>
      <c r="V592" s="26">
        <v>12</v>
      </c>
      <c r="W592" s="29">
        <v>45.12</v>
      </c>
      <c r="X592" s="26">
        <v>87630</v>
      </c>
      <c r="Y592" s="35">
        <v>11.46</v>
      </c>
      <c r="Z592" s="1" t="s">
        <v>3014</v>
      </c>
      <c r="AA592" s="36">
        <v>0.44999999999999996</v>
      </c>
      <c r="AB592" s="54">
        <v>28.425599999999999</v>
      </c>
      <c r="AC592" s="54">
        <v>1.3912</v>
      </c>
      <c r="AD592" s="36">
        <v>13.037199999999999</v>
      </c>
    </row>
    <row r="593" spans="1:30" s="37" customFormat="1" ht="15.75" customHeight="1" x14ac:dyDescent="0.2">
      <c r="A593" s="26">
        <v>2886</v>
      </c>
      <c r="B593" s="27" t="s">
        <v>1274</v>
      </c>
      <c r="C593" s="27" t="s">
        <v>38</v>
      </c>
      <c r="D593" s="28">
        <v>0.03</v>
      </c>
      <c r="E593" s="29">
        <v>4.0599999999999996</v>
      </c>
      <c r="F593" s="29">
        <v>6.89</v>
      </c>
      <c r="G593" s="30" t="s">
        <v>39</v>
      </c>
      <c r="H593" s="27" t="s">
        <v>40</v>
      </c>
      <c r="I593" s="27" t="s">
        <v>49</v>
      </c>
      <c r="J593" s="27" t="s">
        <v>95</v>
      </c>
      <c r="K593" s="27" t="s">
        <v>73</v>
      </c>
      <c r="L593" s="31" t="s">
        <v>1271</v>
      </c>
      <c r="M593" s="32">
        <v>0.6</v>
      </c>
      <c r="N593" s="27" t="s">
        <v>33</v>
      </c>
      <c r="O593" s="27" t="s">
        <v>111</v>
      </c>
      <c r="P593" s="27" t="s">
        <v>317</v>
      </c>
      <c r="Q593" s="27" t="s">
        <v>1275</v>
      </c>
      <c r="R593" s="33">
        <v>44134</v>
      </c>
      <c r="S593" s="34">
        <v>42055</v>
      </c>
      <c r="T593" s="34">
        <v>42057</v>
      </c>
      <c r="U593" s="29">
        <v>-185.17</v>
      </c>
      <c r="V593" s="26">
        <v>9</v>
      </c>
      <c r="W593" s="29">
        <v>38.89</v>
      </c>
      <c r="X593" s="26">
        <v>87630</v>
      </c>
      <c r="Y593" s="35">
        <v>15.68</v>
      </c>
      <c r="Z593" s="1" t="s">
        <v>3014</v>
      </c>
      <c r="AA593" s="36">
        <v>1.0961999999999998</v>
      </c>
      <c r="AB593" s="54">
        <v>15.556000000000001</v>
      </c>
      <c r="AC593" s="54">
        <v>2.5926666666666667</v>
      </c>
      <c r="AD593" s="36">
        <v>216.07380000000001</v>
      </c>
    </row>
    <row r="594" spans="1:30" s="37" customFormat="1" ht="15.75" customHeight="1" x14ac:dyDescent="0.2">
      <c r="A594" s="26">
        <v>1485</v>
      </c>
      <c r="B594" s="27" t="s">
        <v>1282</v>
      </c>
      <c r="C594" s="27" t="s">
        <v>3094</v>
      </c>
      <c r="D594" s="28">
        <v>0.02</v>
      </c>
      <c r="E594" s="29">
        <v>15.7</v>
      </c>
      <c r="F594" s="29">
        <v>11.25</v>
      </c>
      <c r="G594" s="30" t="s">
        <v>39</v>
      </c>
      <c r="H594" s="27" t="s">
        <v>71</v>
      </c>
      <c r="I594" s="27" t="s">
        <v>49</v>
      </c>
      <c r="J594" s="27" t="s">
        <v>78</v>
      </c>
      <c r="K594" s="27" t="s">
        <v>73</v>
      </c>
      <c r="L594" s="31" t="s">
        <v>1285</v>
      </c>
      <c r="M594" s="32">
        <v>0.6</v>
      </c>
      <c r="N594" s="27" t="s">
        <v>33</v>
      </c>
      <c r="O594" s="27" t="s">
        <v>53</v>
      </c>
      <c r="P594" s="27" t="s">
        <v>103</v>
      </c>
      <c r="Q594" s="27" t="s">
        <v>1284</v>
      </c>
      <c r="R594" s="33">
        <v>60516</v>
      </c>
      <c r="S594" s="34">
        <v>42055</v>
      </c>
      <c r="T594" s="34">
        <v>42056</v>
      </c>
      <c r="U594" s="29">
        <v>-18.241599999999998</v>
      </c>
      <c r="V594" s="26">
        <v>1</v>
      </c>
      <c r="W594" s="29">
        <v>19.440000000000001</v>
      </c>
      <c r="X594" s="26">
        <v>91236</v>
      </c>
      <c r="Y594" s="35">
        <v>224.97</v>
      </c>
      <c r="Z594" s="1" t="s">
        <v>3012</v>
      </c>
      <c r="AA594" s="36">
        <v>0.314</v>
      </c>
      <c r="AB594" s="54">
        <v>7.7760000000000007</v>
      </c>
      <c r="AC594" s="54">
        <v>11.664</v>
      </c>
      <c r="AD594" s="36">
        <v>26.117599999999999</v>
      </c>
    </row>
    <row r="595" spans="1:30" s="37" customFormat="1" ht="15.75" customHeight="1" x14ac:dyDescent="0.2">
      <c r="A595" s="26">
        <v>553</v>
      </c>
      <c r="B595" s="27" t="s">
        <v>851</v>
      </c>
      <c r="C595" s="27" t="s">
        <v>3094</v>
      </c>
      <c r="D595" s="28">
        <v>7.0000000000000007E-2</v>
      </c>
      <c r="E595" s="29">
        <v>2036.48</v>
      </c>
      <c r="F595" s="29">
        <v>14.7</v>
      </c>
      <c r="G595" s="30" t="s">
        <v>27</v>
      </c>
      <c r="H595" s="27" t="s">
        <v>94</v>
      </c>
      <c r="I595" s="27" t="s">
        <v>41</v>
      </c>
      <c r="J595" s="27" t="s">
        <v>57</v>
      </c>
      <c r="K595" s="27" t="s">
        <v>58</v>
      </c>
      <c r="L595" s="31" t="s">
        <v>59</v>
      </c>
      <c r="M595" s="32">
        <v>0.55000000000000004</v>
      </c>
      <c r="N595" s="27" t="s">
        <v>33</v>
      </c>
      <c r="O595" s="27" t="s">
        <v>60</v>
      </c>
      <c r="P595" s="27" t="s">
        <v>90</v>
      </c>
      <c r="Q595" s="27" t="s">
        <v>100</v>
      </c>
      <c r="R595" s="33">
        <v>90008</v>
      </c>
      <c r="S595" s="34">
        <v>42056</v>
      </c>
      <c r="T595" s="34">
        <v>42056</v>
      </c>
      <c r="U595" s="29">
        <v>4073.25</v>
      </c>
      <c r="V595" s="26">
        <v>25</v>
      </c>
      <c r="W595" s="29">
        <v>43046.2</v>
      </c>
      <c r="X595" s="26">
        <v>2433</v>
      </c>
      <c r="Y595" s="35">
        <v>49.97</v>
      </c>
      <c r="Z595" s="1" t="s">
        <v>3013</v>
      </c>
      <c r="AA595" s="36">
        <v>3563.8400000000006</v>
      </c>
      <c r="AB595" s="54">
        <v>19370.789999999997</v>
      </c>
      <c r="AC595" s="54">
        <v>947.01640000000009</v>
      </c>
      <c r="AD595" s="36">
        <v>35394.409999999996</v>
      </c>
    </row>
    <row r="596" spans="1:30" s="37" customFormat="1" ht="15.75" customHeight="1" x14ac:dyDescent="0.2">
      <c r="A596" s="26">
        <v>555</v>
      </c>
      <c r="B596" s="27" t="s">
        <v>1300</v>
      </c>
      <c r="C596" s="27" t="s">
        <v>3094</v>
      </c>
      <c r="D596" s="28">
        <v>7.0000000000000007E-2</v>
      </c>
      <c r="E596" s="29">
        <v>2036.48</v>
      </c>
      <c r="F596" s="29">
        <v>14.7</v>
      </c>
      <c r="G596" s="30" t="s">
        <v>27</v>
      </c>
      <c r="H596" s="27" t="s">
        <v>94</v>
      </c>
      <c r="I596" s="27" t="s">
        <v>41</v>
      </c>
      <c r="J596" s="27" t="s">
        <v>57</v>
      </c>
      <c r="K596" s="27" t="s">
        <v>58</v>
      </c>
      <c r="L596" s="31" t="s">
        <v>59</v>
      </c>
      <c r="M596" s="32">
        <v>0.55000000000000004</v>
      </c>
      <c r="N596" s="27" t="s">
        <v>33</v>
      </c>
      <c r="O596" s="27" t="s">
        <v>60</v>
      </c>
      <c r="P596" s="27" t="s">
        <v>146</v>
      </c>
      <c r="Q596" s="27" t="s">
        <v>1301</v>
      </c>
      <c r="R596" s="33">
        <v>84062</v>
      </c>
      <c r="S596" s="34">
        <v>42056</v>
      </c>
      <c r="T596" s="34">
        <v>42056</v>
      </c>
      <c r="U596" s="29">
        <v>6028.41</v>
      </c>
      <c r="V596" s="26">
        <v>6</v>
      </c>
      <c r="W596" s="29">
        <v>10331.09</v>
      </c>
      <c r="X596" s="26">
        <v>86190</v>
      </c>
      <c r="Y596" s="35">
        <v>49.97</v>
      </c>
      <c r="Z596" s="1" t="s">
        <v>3013</v>
      </c>
      <c r="AA596" s="36">
        <v>855.3216000000001</v>
      </c>
      <c r="AB596" s="54">
        <v>4648.9904999999999</v>
      </c>
      <c r="AC596" s="54">
        <v>947.01658333333341</v>
      </c>
      <c r="AD596" s="36">
        <v>3432.6584000000003</v>
      </c>
    </row>
    <row r="597" spans="1:30" s="37" customFormat="1" ht="15.75" customHeight="1" x14ac:dyDescent="0.2">
      <c r="A597" s="26">
        <v>2225</v>
      </c>
      <c r="B597" s="27" t="s">
        <v>1291</v>
      </c>
      <c r="C597" s="27" t="s">
        <v>26</v>
      </c>
      <c r="D597" s="28">
        <v>0</v>
      </c>
      <c r="E597" s="29">
        <v>100.89</v>
      </c>
      <c r="F597" s="29">
        <v>42</v>
      </c>
      <c r="G597" s="30" t="s">
        <v>27</v>
      </c>
      <c r="H597" s="27" t="s">
        <v>3095</v>
      </c>
      <c r="I597" s="27" t="s">
        <v>29</v>
      </c>
      <c r="J597" s="27" t="s">
        <v>109</v>
      </c>
      <c r="K597" s="27" t="s">
        <v>58</v>
      </c>
      <c r="L597" s="31" t="s">
        <v>1292</v>
      </c>
      <c r="M597" s="32">
        <v>0.61</v>
      </c>
      <c r="N597" s="27" t="s">
        <v>33</v>
      </c>
      <c r="O597" s="27" t="s">
        <v>60</v>
      </c>
      <c r="P597" s="27" t="s">
        <v>640</v>
      </c>
      <c r="Q597" s="27" t="s">
        <v>1293</v>
      </c>
      <c r="R597" s="33">
        <v>88240</v>
      </c>
      <c r="S597" s="34">
        <v>42056</v>
      </c>
      <c r="T597" s="34">
        <v>42057</v>
      </c>
      <c r="U597" s="29">
        <v>1500.12</v>
      </c>
      <c r="V597" s="26">
        <v>15</v>
      </c>
      <c r="W597" s="29">
        <v>1608.11</v>
      </c>
      <c r="X597" s="26">
        <v>89970</v>
      </c>
      <c r="Y597" s="35">
        <v>100.89</v>
      </c>
      <c r="Z597" s="1" t="s">
        <v>3013</v>
      </c>
      <c r="AA597" s="36">
        <v>0</v>
      </c>
      <c r="AB597" s="54">
        <v>627.16290000000004</v>
      </c>
      <c r="AC597" s="54">
        <v>65.396473333333333</v>
      </c>
      <c r="AD597" s="36">
        <v>65.990000000000009</v>
      </c>
    </row>
    <row r="598" spans="1:30" s="37" customFormat="1" ht="15.75" customHeight="1" x14ac:dyDescent="0.2">
      <c r="A598" s="26">
        <v>181</v>
      </c>
      <c r="B598" s="27" t="s">
        <v>1287</v>
      </c>
      <c r="C598" s="27" t="s">
        <v>26</v>
      </c>
      <c r="D598" s="28">
        <v>0.02</v>
      </c>
      <c r="E598" s="29">
        <v>49.99</v>
      </c>
      <c r="F598" s="29">
        <v>19.989999999999998</v>
      </c>
      <c r="G598" s="30" t="s">
        <v>39</v>
      </c>
      <c r="H598" s="27" t="s">
        <v>3095</v>
      </c>
      <c r="I598" s="27" t="s">
        <v>41</v>
      </c>
      <c r="J598" s="27" t="s">
        <v>42</v>
      </c>
      <c r="K598" s="27" t="s">
        <v>73</v>
      </c>
      <c r="L598" s="31" t="s">
        <v>1288</v>
      </c>
      <c r="M598" s="32">
        <v>0.41</v>
      </c>
      <c r="N598" s="27" t="s">
        <v>33</v>
      </c>
      <c r="O598" s="27" t="s">
        <v>60</v>
      </c>
      <c r="P598" s="27" t="s">
        <v>90</v>
      </c>
      <c r="Q598" s="27" t="s">
        <v>941</v>
      </c>
      <c r="R598" s="33">
        <v>94122</v>
      </c>
      <c r="S598" s="34">
        <v>42056</v>
      </c>
      <c r="T598" s="34">
        <v>42056</v>
      </c>
      <c r="U598" s="29">
        <v>-76.89</v>
      </c>
      <c r="V598" s="26">
        <v>18</v>
      </c>
      <c r="W598" s="29">
        <v>901.81</v>
      </c>
      <c r="X598" s="26">
        <v>38087</v>
      </c>
      <c r="Y598" s="35">
        <v>4.33</v>
      </c>
      <c r="Z598" s="1" t="s">
        <v>3013</v>
      </c>
      <c r="AA598" s="36">
        <v>17.996400000000001</v>
      </c>
      <c r="AB598" s="54">
        <v>532.06790000000001</v>
      </c>
      <c r="AC598" s="54">
        <v>20.541227777777774</v>
      </c>
      <c r="AD598" s="36">
        <v>940.71359999999993</v>
      </c>
    </row>
    <row r="599" spans="1:30" s="37" customFormat="1" ht="15.75" customHeight="1" x14ac:dyDescent="0.2">
      <c r="A599" s="26">
        <v>875</v>
      </c>
      <c r="B599" s="27" t="s">
        <v>1294</v>
      </c>
      <c r="C599" s="27" t="s">
        <v>38</v>
      </c>
      <c r="D599" s="28">
        <v>0.09</v>
      </c>
      <c r="E599" s="29">
        <v>155.99</v>
      </c>
      <c r="F599" s="29">
        <v>8.99</v>
      </c>
      <c r="G599" s="30" t="s">
        <v>39</v>
      </c>
      <c r="H599" s="27" t="s">
        <v>3095</v>
      </c>
      <c r="I599" s="27" t="s">
        <v>41</v>
      </c>
      <c r="J599" s="27" t="s">
        <v>135</v>
      </c>
      <c r="K599" s="27" t="s">
        <v>73</v>
      </c>
      <c r="L599" s="31" t="s">
        <v>1297</v>
      </c>
      <c r="M599" s="32">
        <v>0.57999999999999996</v>
      </c>
      <c r="N599" s="27" t="s">
        <v>33</v>
      </c>
      <c r="O599" s="27" t="s">
        <v>60</v>
      </c>
      <c r="P599" s="27" t="s">
        <v>146</v>
      </c>
      <c r="Q599" s="27" t="s">
        <v>1296</v>
      </c>
      <c r="R599" s="33">
        <v>84106</v>
      </c>
      <c r="S599" s="34">
        <v>42056</v>
      </c>
      <c r="T599" s="34">
        <v>42058</v>
      </c>
      <c r="U599" s="29">
        <v>-232.22056000000001</v>
      </c>
      <c r="V599" s="26">
        <v>4</v>
      </c>
      <c r="W599" s="29">
        <v>497.11</v>
      </c>
      <c r="X599" s="26">
        <v>89059</v>
      </c>
      <c r="Y599" s="35">
        <v>155.9</v>
      </c>
      <c r="Z599" s="1" t="s">
        <v>3013</v>
      </c>
      <c r="AA599" s="36">
        <v>56.156399999999998</v>
      </c>
      <c r="AB599" s="54">
        <v>208.78620000000004</v>
      </c>
      <c r="AC599" s="54">
        <v>72.080950000000001</v>
      </c>
      <c r="AD599" s="36">
        <v>664.18416000000002</v>
      </c>
    </row>
    <row r="600" spans="1:30" s="37" customFormat="1" ht="15.75" customHeight="1" x14ac:dyDescent="0.2">
      <c r="A600" s="26">
        <v>184</v>
      </c>
      <c r="B600" s="27" t="s">
        <v>1289</v>
      </c>
      <c r="C600" s="27" t="s">
        <v>26</v>
      </c>
      <c r="D600" s="28">
        <v>0.02</v>
      </c>
      <c r="E600" s="29">
        <v>49.99</v>
      </c>
      <c r="F600" s="29">
        <v>19.989999999999998</v>
      </c>
      <c r="G600" s="30" t="s">
        <v>39</v>
      </c>
      <c r="H600" s="27" t="s">
        <v>3095</v>
      </c>
      <c r="I600" s="27" t="s">
        <v>41</v>
      </c>
      <c r="J600" s="27" t="s">
        <v>42</v>
      </c>
      <c r="K600" s="27" t="s">
        <v>73</v>
      </c>
      <c r="L600" s="31" t="s">
        <v>1288</v>
      </c>
      <c r="M600" s="32">
        <v>0.41</v>
      </c>
      <c r="N600" s="27" t="s">
        <v>33</v>
      </c>
      <c r="O600" s="27" t="s">
        <v>111</v>
      </c>
      <c r="P600" s="27" t="s">
        <v>403</v>
      </c>
      <c r="Q600" s="27" t="s">
        <v>1290</v>
      </c>
      <c r="R600" s="33">
        <v>2474</v>
      </c>
      <c r="S600" s="34">
        <v>42056</v>
      </c>
      <c r="T600" s="34">
        <v>42056</v>
      </c>
      <c r="U600" s="29">
        <v>-76.89</v>
      </c>
      <c r="V600" s="26">
        <v>5</v>
      </c>
      <c r="W600" s="29">
        <v>250.5</v>
      </c>
      <c r="X600" s="26">
        <v>88360</v>
      </c>
      <c r="Y600" s="35">
        <v>4.8100000000000005</v>
      </c>
      <c r="Z600" s="1" t="s">
        <v>3014</v>
      </c>
      <c r="AA600" s="36">
        <v>4.9990000000000006</v>
      </c>
      <c r="AB600" s="54">
        <v>147.79500000000002</v>
      </c>
      <c r="AC600" s="54">
        <v>20.541</v>
      </c>
      <c r="AD600" s="36">
        <v>302.40100000000001</v>
      </c>
    </row>
    <row r="601" spans="1:30" s="37" customFormat="1" ht="15.75" customHeight="1" x14ac:dyDescent="0.2">
      <c r="A601" s="26">
        <v>875</v>
      </c>
      <c r="B601" s="27" t="s">
        <v>1294</v>
      </c>
      <c r="C601" s="27" t="s">
        <v>38</v>
      </c>
      <c r="D601" s="28">
        <v>0.04</v>
      </c>
      <c r="E601" s="29">
        <v>4.37</v>
      </c>
      <c r="F601" s="29">
        <v>5.15</v>
      </c>
      <c r="G601" s="30" t="s">
        <v>39</v>
      </c>
      <c r="H601" s="27" t="s">
        <v>3095</v>
      </c>
      <c r="I601" s="27" t="s">
        <v>49</v>
      </c>
      <c r="J601" s="27" t="s">
        <v>95</v>
      </c>
      <c r="K601" s="27" t="s">
        <v>73</v>
      </c>
      <c r="L601" s="31" t="s">
        <v>1295</v>
      </c>
      <c r="M601" s="32">
        <v>0.59</v>
      </c>
      <c r="N601" s="27" t="s">
        <v>33</v>
      </c>
      <c r="O601" s="27" t="s">
        <v>60</v>
      </c>
      <c r="P601" s="27" t="s">
        <v>146</v>
      </c>
      <c r="Q601" s="27" t="s">
        <v>1296</v>
      </c>
      <c r="R601" s="33">
        <v>84106</v>
      </c>
      <c r="S601" s="34">
        <v>42056</v>
      </c>
      <c r="T601" s="34">
        <v>42057</v>
      </c>
      <c r="U601" s="29">
        <v>-74.479600000000005</v>
      </c>
      <c r="V601" s="26">
        <v>18</v>
      </c>
      <c r="W601" s="29">
        <v>78.59</v>
      </c>
      <c r="X601" s="26">
        <v>89059</v>
      </c>
      <c r="Y601" s="35">
        <v>2036.41</v>
      </c>
      <c r="Z601" s="1" t="s">
        <v>3013</v>
      </c>
      <c r="AA601" s="36">
        <v>3.1464000000000003</v>
      </c>
      <c r="AB601" s="54">
        <v>32.221900000000005</v>
      </c>
      <c r="AC601" s="54">
        <v>2.5760055555555557</v>
      </c>
      <c r="AD601" s="36">
        <v>144.7732</v>
      </c>
    </row>
    <row r="602" spans="1:30" s="37" customFormat="1" ht="15.75" customHeight="1" x14ac:dyDescent="0.2">
      <c r="A602" s="26">
        <v>2472</v>
      </c>
      <c r="B602" s="27" t="s">
        <v>1298</v>
      </c>
      <c r="C602" s="27" t="s">
        <v>48</v>
      </c>
      <c r="D602" s="28">
        <v>0.1</v>
      </c>
      <c r="E602" s="29">
        <v>4.91</v>
      </c>
      <c r="F602" s="29">
        <v>0.5</v>
      </c>
      <c r="G602" s="30" t="s">
        <v>87</v>
      </c>
      <c r="H602" s="27" t="s">
        <v>71</v>
      </c>
      <c r="I602" s="27" t="s">
        <v>49</v>
      </c>
      <c r="J602" s="27" t="s">
        <v>152</v>
      </c>
      <c r="K602" s="27" t="s">
        <v>73</v>
      </c>
      <c r="L602" s="31" t="s">
        <v>973</v>
      </c>
      <c r="M602" s="32">
        <v>0.36</v>
      </c>
      <c r="N602" s="27" t="s">
        <v>33</v>
      </c>
      <c r="O602" s="27" t="s">
        <v>53</v>
      </c>
      <c r="P602" s="27" t="s">
        <v>103</v>
      </c>
      <c r="Q602" s="27" t="s">
        <v>1299</v>
      </c>
      <c r="R602" s="33">
        <v>60432</v>
      </c>
      <c r="S602" s="34">
        <v>42056</v>
      </c>
      <c r="T602" s="34">
        <v>42056</v>
      </c>
      <c r="U602" s="29">
        <v>35.279699999999998</v>
      </c>
      <c r="V602" s="26">
        <v>10</v>
      </c>
      <c r="W602" s="29">
        <v>51.13</v>
      </c>
      <c r="X602" s="26">
        <v>86514</v>
      </c>
      <c r="Y602" s="35">
        <v>2036.41</v>
      </c>
      <c r="Z602" s="1" t="s">
        <v>3012</v>
      </c>
      <c r="AA602" s="36">
        <v>4.91</v>
      </c>
      <c r="AB602" s="54">
        <v>32.723200000000006</v>
      </c>
      <c r="AC602" s="54">
        <v>1.8406800000000001</v>
      </c>
      <c r="AD602" s="36">
        <v>10.440300000000001</v>
      </c>
    </row>
    <row r="603" spans="1:30" s="37" customFormat="1" ht="15.75" customHeight="1" x14ac:dyDescent="0.2">
      <c r="A603" s="26">
        <v>236</v>
      </c>
      <c r="B603" s="27" t="s">
        <v>1311</v>
      </c>
      <c r="C603" s="27" t="s">
        <v>3094</v>
      </c>
      <c r="D603" s="28">
        <v>0</v>
      </c>
      <c r="E603" s="29">
        <v>442.14</v>
      </c>
      <c r="F603" s="29">
        <v>14.7</v>
      </c>
      <c r="G603" s="30" t="s">
        <v>27</v>
      </c>
      <c r="H603" s="27" t="s">
        <v>94</v>
      </c>
      <c r="I603" s="27" t="s">
        <v>41</v>
      </c>
      <c r="J603" s="27" t="s">
        <v>57</v>
      </c>
      <c r="K603" s="27" t="s">
        <v>58</v>
      </c>
      <c r="L603" s="31" t="s">
        <v>1312</v>
      </c>
      <c r="M603" s="32">
        <v>0.56000000000000005</v>
      </c>
      <c r="N603" s="27" t="s">
        <v>33</v>
      </c>
      <c r="O603" s="27" t="s">
        <v>60</v>
      </c>
      <c r="P603" s="27" t="s">
        <v>61</v>
      </c>
      <c r="Q603" s="27" t="s">
        <v>1313</v>
      </c>
      <c r="R603" s="33">
        <v>80027</v>
      </c>
      <c r="S603" s="34">
        <v>42057</v>
      </c>
      <c r="T603" s="34">
        <v>42057</v>
      </c>
      <c r="U603" s="29">
        <v>3294.8258999999998</v>
      </c>
      <c r="V603" s="26">
        <v>10</v>
      </c>
      <c r="W603" s="29">
        <v>4775.1099999999997</v>
      </c>
      <c r="X603" s="26">
        <v>86621</v>
      </c>
      <c r="Y603" s="35">
        <v>150.85999999999999</v>
      </c>
      <c r="Z603" s="1" t="s">
        <v>3013</v>
      </c>
      <c r="AA603" s="36">
        <v>0</v>
      </c>
      <c r="AB603" s="54">
        <v>2101.0483999999997</v>
      </c>
      <c r="AC603" s="54">
        <v>267.40616</v>
      </c>
      <c r="AD603" s="36">
        <v>1465.5841</v>
      </c>
    </row>
    <row r="604" spans="1:30" s="37" customFormat="1" ht="15.75" customHeight="1" x14ac:dyDescent="0.2">
      <c r="A604" s="26">
        <v>3136</v>
      </c>
      <c r="B604" s="27" t="s">
        <v>1302</v>
      </c>
      <c r="C604" s="27" t="s">
        <v>26</v>
      </c>
      <c r="D604" s="28">
        <v>0.03</v>
      </c>
      <c r="E604" s="29">
        <v>150.88999999999999</v>
      </c>
      <c r="F604" s="29">
        <v>60.2</v>
      </c>
      <c r="G604" s="30" t="s">
        <v>27</v>
      </c>
      <c r="H604" s="27" t="s">
        <v>40</v>
      </c>
      <c r="I604" s="27" t="s">
        <v>29</v>
      </c>
      <c r="J604" s="27" t="s">
        <v>109</v>
      </c>
      <c r="K604" s="27" t="s">
        <v>58</v>
      </c>
      <c r="L604" s="31" t="s">
        <v>1303</v>
      </c>
      <c r="M604" s="32">
        <v>0.77</v>
      </c>
      <c r="N604" s="27" t="s">
        <v>33</v>
      </c>
      <c r="O604" s="27" t="s">
        <v>111</v>
      </c>
      <c r="P604" s="27" t="s">
        <v>331</v>
      </c>
      <c r="Q604" s="27" t="s">
        <v>332</v>
      </c>
      <c r="R604" s="33">
        <v>4073</v>
      </c>
      <c r="S604" s="34">
        <v>42057</v>
      </c>
      <c r="T604" s="34">
        <v>42057</v>
      </c>
      <c r="U604" s="29">
        <v>-677.87199999999996</v>
      </c>
      <c r="V604" s="26">
        <v>23</v>
      </c>
      <c r="W604" s="29">
        <v>3596.03</v>
      </c>
      <c r="X604" s="26">
        <v>86791</v>
      </c>
      <c r="Y604" s="35">
        <v>34.910000000000004</v>
      </c>
      <c r="Z604" s="1" t="s">
        <v>3014</v>
      </c>
      <c r="AA604" s="36">
        <v>104.11409999999998</v>
      </c>
      <c r="AB604" s="54">
        <v>827.08690000000001</v>
      </c>
      <c r="AC604" s="54">
        <v>120.38883043478261</v>
      </c>
      <c r="AD604" s="36">
        <v>4109.5879000000004</v>
      </c>
    </row>
    <row r="605" spans="1:30" s="37" customFormat="1" ht="15.75" customHeight="1" x14ac:dyDescent="0.2">
      <c r="A605" s="26">
        <v>1991</v>
      </c>
      <c r="B605" s="27" t="s">
        <v>1308</v>
      </c>
      <c r="C605" s="27" t="s">
        <v>116</v>
      </c>
      <c r="D605" s="28">
        <v>0</v>
      </c>
      <c r="E605" s="29">
        <v>47.9</v>
      </c>
      <c r="F605" s="29">
        <v>5.86</v>
      </c>
      <c r="G605" s="30" t="s">
        <v>39</v>
      </c>
      <c r="H605" s="27" t="s">
        <v>71</v>
      </c>
      <c r="I605" s="27" t="s">
        <v>49</v>
      </c>
      <c r="J605" s="27" t="s">
        <v>88</v>
      </c>
      <c r="K605" s="27" t="s">
        <v>73</v>
      </c>
      <c r="L605" s="31" t="s">
        <v>1309</v>
      </c>
      <c r="M605" s="32">
        <v>0.37</v>
      </c>
      <c r="N605" s="27" t="s">
        <v>33</v>
      </c>
      <c r="O605" s="27" t="s">
        <v>60</v>
      </c>
      <c r="P605" s="27" t="s">
        <v>146</v>
      </c>
      <c r="Q605" s="27" t="s">
        <v>1310</v>
      </c>
      <c r="R605" s="33">
        <v>84118</v>
      </c>
      <c r="S605" s="34">
        <v>42057</v>
      </c>
      <c r="T605" s="34">
        <v>42059</v>
      </c>
      <c r="U605" s="29">
        <v>638.38109999999995</v>
      </c>
      <c r="V605" s="26">
        <v>18</v>
      </c>
      <c r="W605" s="29">
        <v>925.19</v>
      </c>
      <c r="X605" s="26">
        <v>90002</v>
      </c>
      <c r="Y605" s="35">
        <v>55.44</v>
      </c>
      <c r="Z605" s="1" t="s">
        <v>3013</v>
      </c>
      <c r="AA605" s="36">
        <v>0</v>
      </c>
      <c r="AB605" s="54">
        <v>582.86970000000008</v>
      </c>
      <c r="AC605" s="54">
        <v>19.017794444444444</v>
      </c>
      <c r="AD605" s="36">
        <v>280.94890000000009</v>
      </c>
    </row>
    <row r="606" spans="1:30" s="37" customFormat="1" ht="15.75" customHeight="1" x14ac:dyDescent="0.2">
      <c r="A606" s="26">
        <v>2968</v>
      </c>
      <c r="B606" s="27" t="s">
        <v>1319</v>
      </c>
      <c r="C606" s="27" t="s">
        <v>3094</v>
      </c>
      <c r="D606" s="28">
        <v>0.04</v>
      </c>
      <c r="E606" s="29">
        <v>150.97999999999999</v>
      </c>
      <c r="F606" s="29">
        <v>16.010000000000002</v>
      </c>
      <c r="G606" s="30" t="s">
        <v>27</v>
      </c>
      <c r="H606" s="27" t="s">
        <v>3095</v>
      </c>
      <c r="I606" s="27" t="s">
        <v>29</v>
      </c>
      <c r="J606" s="27" t="s">
        <v>30</v>
      </c>
      <c r="K606" s="27" t="s">
        <v>31</v>
      </c>
      <c r="L606" s="31" t="s">
        <v>1322</v>
      </c>
      <c r="M606" s="32">
        <v>0.7</v>
      </c>
      <c r="N606" s="27" t="s">
        <v>33</v>
      </c>
      <c r="O606" s="27" t="s">
        <v>34</v>
      </c>
      <c r="P606" s="27" t="s">
        <v>123</v>
      </c>
      <c r="Q606" s="27" t="s">
        <v>1321</v>
      </c>
      <c r="R606" s="33">
        <v>33021</v>
      </c>
      <c r="S606" s="34">
        <v>42057</v>
      </c>
      <c r="T606" s="34">
        <v>42058</v>
      </c>
      <c r="U606" s="29">
        <v>-125.86</v>
      </c>
      <c r="V606" s="26">
        <v>5</v>
      </c>
      <c r="W606" s="29">
        <v>731.38</v>
      </c>
      <c r="X606" s="26">
        <v>86085</v>
      </c>
      <c r="Y606" s="35">
        <v>47.9</v>
      </c>
      <c r="Z606" s="1" t="s">
        <v>3011</v>
      </c>
      <c r="AA606" s="36">
        <v>30.196000000000002</v>
      </c>
      <c r="AB606" s="54">
        <v>219.41400000000004</v>
      </c>
      <c r="AC606" s="54">
        <v>102.39320000000001</v>
      </c>
      <c r="AD606" s="36">
        <v>811.03399999999999</v>
      </c>
    </row>
    <row r="607" spans="1:30" s="37" customFormat="1" ht="15.75" customHeight="1" x14ac:dyDescent="0.2">
      <c r="A607" s="26">
        <v>1728</v>
      </c>
      <c r="B607" s="27" t="s">
        <v>1305</v>
      </c>
      <c r="C607" s="27" t="s">
        <v>38</v>
      </c>
      <c r="D607" s="28">
        <v>0.04</v>
      </c>
      <c r="E607" s="29">
        <v>55.48</v>
      </c>
      <c r="F607" s="29">
        <v>6.79</v>
      </c>
      <c r="G607" s="30" t="s">
        <v>39</v>
      </c>
      <c r="H607" s="27" t="s">
        <v>94</v>
      </c>
      <c r="I607" s="27" t="s">
        <v>49</v>
      </c>
      <c r="J607" s="27" t="s">
        <v>88</v>
      </c>
      <c r="K607" s="27" t="s">
        <v>73</v>
      </c>
      <c r="L607" s="31" t="s">
        <v>1306</v>
      </c>
      <c r="M607" s="32">
        <v>0.37</v>
      </c>
      <c r="N607" s="27" t="s">
        <v>33</v>
      </c>
      <c r="O607" s="27" t="s">
        <v>111</v>
      </c>
      <c r="P607" s="27" t="s">
        <v>317</v>
      </c>
      <c r="Q607" s="27" t="s">
        <v>1307</v>
      </c>
      <c r="R607" s="33">
        <v>45429</v>
      </c>
      <c r="S607" s="34">
        <v>42057</v>
      </c>
      <c r="T607" s="34">
        <v>42059</v>
      </c>
      <c r="U607" s="29">
        <v>376.88490000000002</v>
      </c>
      <c r="V607" s="26">
        <v>10</v>
      </c>
      <c r="W607" s="29">
        <v>546.21</v>
      </c>
      <c r="X607" s="26">
        <v>87195</v>
      </c>
      <c r="Y607" s="35">
        <v>442.14</v>
      </c>
      <c r="Z607" s="1" t="s">
        <v>3014</v>
      </c>
      <c r="AA607" s="36">
        <v>22.192</v>
      </c>
      <c r="AB607" s="54">
        <v>344.1123</v>
      </c>
      <c r="AC607" s="54">
        <v>20.209769999999999</v>
      </c>
      <c r="AD607" s="36">
        <v>140.34309999999999</v>
      </c>
    </row>
    <row r="608" spans="1:30" s="37" customFormat="1" ht="15.75" customHeight="1" x14ac:dyDescent="0.2">
      <c r="A608" s="26">
        <v>32</v>
      </c>
      <c r="B608" s="27" t="s">
        <v>644</v>
      </c>
      <c r="C608" s="27" t="s">
        <v>38</v>
      </c>
      <c r="D608" s="28">
        <v>0.08</v>
      </c>
      <c r="E608" s="29">
        <v>34.99</v>
      </c>
      <c r="F608" s="29">
        <v>7.73</v>
      </c>
      <c r="G608" s="30" t="s">
        <v>39</v>
      </c>
      <c r="H608" s="27" t="s">
        <v>94</v>
      </c>
      <c r="I608" s="27" t="s">
        <v>49</v>
      </c>
      <c r="J608" s="27" t="s">
        <v>50</v>
      </c>
      <c r="K608" s="27" t="s">
        <v>73</v>
      </c>
      <c r="L608" s="31" t="s">
        <v>1304</v>
      </c>
      <c r="M608" s="32">
        <v>0.59</v>
      </c>
      <c r="N608" s="27" t="s">
        <v>33</v>
      </c>
      <c r="O608" s="27" t="s">
        <v>60</v>
      </c>
      <c r="P608" s="27" t="s">
        <v>139</v>
      </c>
      <c r="Q608" s="27" t="s">
        <v>646</v>
      </c>
      <c r="R608" s="33">
        <v>97526</v>
      </c>
      <c r="S608" s="34">
        <v>42057</v>
      </c>
      <c r="T608" s="34">
        <v>42058</v>
      </c>
      <c r="U608" s="29">
        <v>144.69</v>
      </c>
      <c r="V608" s="26">
        <v>13</v>
      </c>
      <c r="W608" s="29">
        <v>424.68</v>
      </c>
      <c r="X608" s="26">
        <v>89199</v>
      </c>
      <c r="Y608" s="35">
        <v>5.17</v>
      </c>
      <c r="Z608" s="1" t="s">
        <v>3013</v>
      </c>
      <c r="AA608" s="36">
        <v>36.389600000000002</v>
      </c>
      <c r="AB608" s="54">
        <v>174.11880000000002</v>
      </c>
      <c r="AC608" s="54">
        <v>19.27393846153846</v>
      </c>
      <c r="AD608" s="36">
        <v>235.87040000000002</v>
      </c>
    </row>
    <row r="609" spans="1:30" s="37" customFormat="1" ht="15.75" customHeight="1" x14ac:dyDescent="0.2">
      <c r="A609" s="26">
        <v>2653</v>
      </c>
      <c r="B609" s="27" t="s">
        <v>1316</v>
      </c>
      <c r="C609" s="27" t="s">
        <v>3094</v>
      </c>
      <c r="D609" s="28">
        <v>0.02</v>
      </c>
      <c r="E609" s="29">
        <v>34.229999999999997</v>
      </c>
      <c r="F609" s="29">
        <v>5.0199999999999996</v>
      </c>
      <c r="G609" s="30" t="s">
        <v>39</v>
      </c>
      <c r="H609" s="27" t="s">
        <v>40</v>
      </c>
      <c r="I609" s="27" t="s">
        <v>29</v>
      </c>
      <c r="J609" s="27" t="s">
        <v>126</v>
      </c>
      <c r="K609" s="27" t="s">
        <v>73</v>
      </c>
      <c r="L609" s="31" t="s">
        <v>1318</v>
      </c>
      <c r="M609" s="32">
        <v>0.55000000000000004</v>
      </c>
      <c r="N609" s="27" t="s">
        <v>33</v>
      </c>
      <c r="O609" s="27" t="s">
        <v>53</v>
      </c>
      <c r="P609" s="27" t="s">
        <v>537</v>
      </c>
      <c r="Q609" s="27" t="s">
        <v>1317</v>
      </c>
      <c r="R609" s="33">
        <v>67037</v>
      </c>
      <c r="S609" s="34">
        <v>42057</v>
      </c>
      <c r="T609" s="34">
        <v>42059</v>
      </c>
      <c r="U609" s="29">
        <v>270.79050000000001</v>
      </c>
      <c r="V609" s="26">
        <v>11</v>
      </c>
      <c r="W609" s="29">
        <v>392.45</v>
      </c>
      <c r="X609" s="26">
        <v>89360</v>
      </c>
      <c r="Y609" s="35">
        <v>4.9300000000000006</v>
      </c>
      <c r="Z609" s="1" t="s">
        <v>3012</v>
      </c>
      <c r="AA609" s="36">
        <v>7.5305999999999997</v>
      </c>
      <c r="AB609" s="54">
        <v>176.60249999999996</v>
      </c>
      <c r="AC609" s="54">
        <v>19.622500000000002</v>
      </c>
      <c r="AD609" s="36">
        <v>109.10890000000001</v>
      </c>
    </row>
    <row r="610" spans="1:30" s="37" customFormat="1" ht="15.75" customHeight="1" x14ac:dyDescent="0.2">
      <c r="A610" s="26">
        <v>2653</v>
      </c>
      <c r="B610" s="27" t="s">
        <v>1316</v>
      </c>
      <c r="C610" s="27" t="s">
        <v>3094</v>
      </c>
      <c r="D610" s="28">
        <v>0.05</v>
      </c>
      <c r="E610" s="29">
        <v>4.9800000000000004</v>
      </c>
      <c r="F610" s="29">
        <v>4.62</v>
      </c>
      <c r="G610" s="30" t="s">
        <v>39</v>
      </c>
      <c r="H610" s="27" t="s">
        <v>40</v>
      </c>
      <c r="I610" s="27" t="s">
        <v>41</v>
      </c>
      <c r="J610" s="27" t="s">
        <v>42</v>
      </c>
      <c r="K610" s="27" t="s">
        <v>43</v>
      </c>
      <c r="L610" s="31" t="s">
        <v>1221</v>
      </c>
      <c r="M610" s="32">
        <v>0.64</v>
      </c>
      <c r="N610" s="27" t="s">
        <v>33</v>
      </c>
      <c r="O610" s="27" t="s">
        <v>53</v>
      </c>
      <c r="P610" s="27" t="s">
        <v>537</v>
      </c>
      <c r="Q610" s="27" t="s">
        <v>1317</v>
      </c>
      <c r="R610" s="33">
        <v>67037</v>
      </c>
      <c r="S610" s="34">
        <v>42057</v>
      </c>
      <c r="T610" s="34">
        <v>42058</v>
      </c>
      <c r="U610" s="29">
        <v>-98.35</v>
      </c>
      <c r="V610" s="26">
        <v>7</v>
      </c>
      <c r="W610" s="29">
        <v>34.32</v>
      </c>
      <c r="X610" s="26">
        <v>89360</v>
      </c>
      <c r="Y610" s="35">
        <v>34.209999999999994</v>
      </c>
      <c r="Z610" s="1" t="s">
        <v>3012</v>
      </c>
      <c r="AA610" s="36">
        <v>1.7430000000000001</v>
      </c>
      <c r="AB610" s="54">
        <v>12.3552</v>
      </c>
      <c r="AC610" s="54">
        <v>3.1378285714285714</v>
      </c>
      <c r="AD610" s="36">
        <v>126.30699999999999</v>
      </c>
    </row>
    <row r="611" spans="1:30" s="37" customFormat="1" ht="15.75" customHeight="1" x14ac:dyDescent="0.2">
      <c r="A611" s="26">
        <v>829</v>
      </c>
      <c r="B611" s="27" t="s">
        <v>1314</v>
      </c>
      <c r="C611" s="27" t="s">
        <v>3094</v>
      </c>
      <c r="D611" s="28">
        <v>0.01</v>
      </c>
      <c r="E611" s="29">
        <v>5.18</v>
      </c>
      <c r="F611" s="29">
        <v>2.04</v>
      </c>
      <c r="G611" s="30" t="s">
        <v>39</v>
      </c>
      <c r="H611" s="27" t="s">
        <v>94</v>
      </c>
      <c r="I611" s="27" t="s">
        <v>49</v>
      </c>
      <c r="J611" s="27" t="s">
        <v>88</v>
      </c>
      <c r="K611" s="27" t="s">
        <v>51</v>
      </c>
      <c r="L611" s="31" t="s">
        <v>833</v>
      </c>
      <c r="M611" s="32">
        <v>0.36</v>
      </c>
      <c r="N611" s="27" t="s">
        <v>33</v>
      </c>
      <c r="O611" s="27" t="s">
        <v>34</v>
      </c>
      <c r="P611" s="27" t="s">
        <v>45</v>
      </c>
      <c r="Q611" s="27" t="s">
        <v>1315</v>
      </c>
      <c r="R611" s="33">
        <v>71854</v>
      </c>
      <c r="S611" s="34">
        <v>42057</v>
      </c>
      <c r="T611" s="34">
        <v>42059</v>
      </c>
      <c r="U611" s="29">
        <v>-17.654</v>
      </c>
      <c r="V611" s="26">
        <v>5</v>
      </c>
      <c r="W611" s="29">
        <v>28.46</v>
      </c>
      <c r="X611" s="26">
        <v>90271</v>
      </c>
      <c r="Y611" s="35">
        <v>9.6</v>
      </c>
      <c r="Z611" s="1" t="s">
        <v>3011</v>
      </c>
      <c r="AA611" s="36">
        <v>0.25900000000000001</v>
      </c>
      <c r="AB611" s="54">
        <v>18.214400000000001</v>
      </c>
      <c r="AC611" s="54">
        <v>2.0491199999999998</v>
      </c>
      <c r="AD611" s="36">
        <v>43.814999999999998</v>
      </c>
    </row>
    <row r="612" spans="1:30" s="37" customFormat="1" ht="15.75" customHeight="1" x14ac:dyDescent="0.2">
      <c r="A612" s="26">
        <v>2968</v>
      </c>
      <c r="B612" s="27" t="s">
        <v>1319</v>
      </c>
      <c r="C612" s="27" t="s">
        <v>3094</v>
      </c>
      <c r="D612" s="28">
        <v>0.08</v>
      </c>
      <c r="E612" s="29">
        <v>9.68</v>
      </c>
      <c r="F612" s="29">
        <v>2.0299999999999998</v>
      </c>
      <c r="G612" s="30" t="s">
        <v>39</v>
      </c>
      <c r="H612" s="27" t="s">
        <v>3095</v>
      </c>
      <c r="I612" s="27" t="s">
        <v>49</v>
      </c>
      <c r="J612" s="27" t="s">
        <v>88</v>
      </c>
      <c r="K612" s="27" t="s">
        <v>51</v>
      </c>
      <c r="L612" s="31" t="s">
        <v>1320</v>
      </c>
      <c r="M612" s="32">
        <v>0.37</v>
      </c>
      <c r="N612" s="27" t="s">
        <v>33</v>
      </c>
      <c r="O612" s="27" t="s">
        <v>34</v>
      </c>
      <c r="P612" s="27" t="s">
        <v>123</v>
      </c>
      <c r="Q612" s="27" t="s">
        <v>1321</v>
      </c>
      <c r="R612" s="33">
        <v>33021</v>
      </c>
      <c r="S612" s="34">
        <v>42057</v>
      </c>
      <c r="T612" s="34">
        <v>42059</v>
      </c>
      <c r="U612" s="29">
        <v>-536.24199999999996</v>
      </c>
      <c r="V612" s="26">
        <v>1</v>
      </c>
      <c r="W612" s="29">
        <v>10.94</v>
      </c>
      <c r="X612" s="26">
        <v>86085</v>
      </c>
      <c r="Y612" s="35">
        <v>150.94</v>
      </c>
      <c r="Z612" s="1" t="s">
        <v>3011</v>
      </c>
      <c r="AA612" s="36">
        <v>0.77439999999999998</v>
      </c>
      <c r="AB612" s="54">
        <v>6.8921999999999999</v>
      </c>
      <c r="AC612" s="54">
        <v>4.0477999999999996</v>
      </c>
      <c r="AD612" s="36">
        <v>544.37760000000003</v>
      </c>
    </row>
    <row r="613" spans="1:30" s="37" customFormat="1" ht="15.75" customHeight="1" x14ac:dyDescent="0.2">
      <c r="A613" s="26">
        <v>2697</v>
      </c>
      <c r="B613" s="27" t="s">
        <v>1323</v>
      </c>
      <c r="C613" s="27" t="s">
        <v>26</v>
      </c>
      <c r="D613" s="28">
        <v>0.01</v>
      </c>
      <c r="E613" s="29">
        <v>119.99</v>
      </c>
      <c r="F613" s="29">
        <v>56.14</v>
      </c>
      <c r="G613" s="30" t="s">
        <v>27</v>
      </c>
      <c r="H613" s="27" t="s">
        <v>94</v>
      </c>
      <c r="I613" s="27" t="s">
        <v>41</v>
      </c>
      <c r="J613" s="27" t="s">
        <v>57</v>
      </c>
      <c r="K613" s="27" t="s">
        <v>31</v>
      </c>
      <c r="L613" s="31" t="s">
        <v>587</v>
      </c>
      <c r="M613" s="32">
        <v>0.39</v>
      </c>
      <c r="N613" s="27" t="s">
        <v>33</v>
      </c>
      <c r="O613" s="27" t="s">
        <v>34</v>
      </c>
      <c r="P613" s="27" t="s">
        <v>164</v>
      </c>
      <c r="Q613" s="27" t="s">
        <v>1324</v>
      </c>
      <c r="R613" s="33">
        <v>35216</v>
      </c>
      <c r="S613" s="34">
        <v>42058</v>
      </c>
      <c r="T613" s="34">
        <v>42059</v>
      </c>
      <c r="U613" s="29">
        <v>-1197.0419999999999</v>
      </c>
      <c r="V613" s="26">
        <v>21</v>
      </c>
      <c r="W613" s="29">
        <v>2569.5700000000002</v>
      </c>
      <c r="X613" s="26">
        <v>87678</v>
      </c>
      <c r="Y613" s="35">
        <v>1.7</v>
      </c>
      <c r="Z613" s="1" t="s">
        <v>3011</v>
      </c>
      <c r="AA613" s="36">
        <v>25.197900000000001</v>
      </c>
      <c r="AB613" s="54">
        <v>1567.4377000000002</v>
      </c>
      <c r="AC613" s="54">
        <v>47.720585714285718</v>
      </c>
      <c r="AD613" s="36">
        <v>3685.2741000000001</v>
      </c>
    </row>
    <row r="614" spans="1:30" s="37" customFormat="1" ht="15.75" customHeight="1" x14ac:dyDescent="0.2">
      <c r="A614" s="26">
        <v>2892</v>
      </c>
      <c r="B614" s="27" t="s">
        <v>1331</v>
      </c>
      <c r="C614" s="27" t="s">
        <v>38</v>
      </c>
      <c r="D614" s="28">
        <v>0.1</v>
      </c>
      <c r="E614" s="29">
        <v>209.37</v>
      </c>
      <c r="F614" s="29">
        <v>69</v>
      </c>
      <c r="G614" s="30" t="s">
        <v>39</v>
      </c>
      <c r="H614" s="27" t="s">
        <v>40</v>
      </c>
      <c r="I614" s="27" t="s">
        <v>29</v>
      </c>
      <c r="J614" s="27" t="s">
        <v>30</v>
      </c>
      <c r="K614" s="27" t="s">
        <v>65</v>
      </c>
      <c r="L614" s="31" t="s">
        <v>1224</v>
      </c>
      <c r="M614" s="32">
        <v>0.79</v>
      </c>
      <c r="N614" s="27" t="s">
        <v>33</v>
      </c>
      <c r="O614" s="27" t="s">
        <v>53</v>
      </c>
      <c r="P614" s="27" t="s">
        <v>289</v>
      </c>
      <c r="Q614" s="27" t="s">
        <v>1332</v>
      </c>
      <c r="R614" s="33">
        <v>48154</v>
      </c>
      <c r="S614" s="34">
        <v>42058</v>
      </c>
      <c r="T614" s="34">
        <v>42060</v>
      </c>
      <c r="U614" s="29">
        <v>-165.59492040000001</v>
      </c>
      <c r="V614" s="26">
        <v>11</v>
      </c>
      <c r="W614" s="29">
        <v>2125.12</v>
      </c>
      <c r="X614" s="26">
        <v>90011</v>
      </c>
      <c r="Y614" s="35">
        <v>119.97999999999999</v>
      </c>
      <c r="Z614" s="1" t="s">
        <v>3012</v>
      </c>
      <c r="AA614" s="36">
        <v>230.30700000000002</v>
      </c>
      <c r="AB614" s="54">
        <v>446.27519999999993</v>
      </c>
      <c r="AC614" s="54">
        <v>152.62225454545455</v>
      </c>
      <c r="AD614" s="36">
        <v>1991.4079204</v>
      </c>
    </row>
    <row r="615" spans="1:30" s="37" customFormat="1" ht="15.75" customHeight="1" x14ac:dyDescent="0.2">
      <c r="A615" s="26">
        <v>247</v>
      </c>
      <c r="B615" s="27" t="s">
        <v>1335</v>
      </c>
      <c r="C615" s="27" t="s">
        <v>116</v>
      </c>
      <c r="D615" s="28">
        <v>0.02</v>
      </c>
      <c r="E615" s="29">
        <v>146.05000000000001</v>
      </c>
      <c r="F615" s="29">
        <v>80.2</v>
      </c>
      <c r="G615" s="30" t="s">
        <v>27</v>
      </c>
      <c r="H615" s="27" t="s">
        <v>94</v>
      </c>
      <c r="I615" s="27" t="s">
        <v>29</v>
      </c>
      <c r="J615" s="27" t="s">
        <v>30</v>
      </c>
      <c r="K615" s="27" t="s">
        <v>31</v>
      </c>
      <c r="L615" s="31" t="s">
        <v>971</v>
      </c>
      <c r="M615" s="32">
        <v>0.71</v>
      </c>
      <c r="N615" s="27" t="s">
        <v>33</v>
      </c>
      <c r="O615" s="27" t="s">
        <v>34</v>
      </c>
      <c r="P615" s="27" t="s">
        <v>400</v>
      </c>
      <c r="Q615" s="27" t="s">
        <v>1336</v>
      </c>
      <c r="R615" s="33">
        <v>37804</v>
      </c>
      <c r="S615" s="34">
        <v>42058</v>
      </c>
      <c r="T615" s="34">
        <v>42058</v>
      </c>
      <c r="U615" s="29">
        <v>-101.19199999999999</v>
      </c>
      <c r="V615" s="26">
        <v>5</v>
      </c>
      <c r="W615" s="29">
        <v>798.69</v>
      </c>
      <c r="X615" s="26">
        <v>89139</v>
      </c>
      <c r="Y615" s="35">
        <v>13.78</v>
      </c>
      <c r="Z615" s="1" t="s">
        <v>3011</v>
      </c>
      <c r="AA615" s="36">
        <v>14.605</v>
      </c>
      <c r="AB615" s="54">
        <v>231.62010000000004</v>
      </c>
      <c r="AC615" s="54">
        <v>113.41398</v>
      </c>
      <c r="AD615" s="36">
        <v>805.077</v>
      </c>
    </row>
    <row r="616" spans="1:30" s="37" customFormat="1" ht="15.75" customHeight="1" x14ac:dyDescent="0.2">
      <c r="A616" s="26">
        <v>247</v>
      </c>
      <c r="B616" s="27" t="s">
        <v>1335</v>
      </c>
      <c r="C616" s="27" t="s">
        <v>116</v>
      </c>
      <c r="D616" s="28">
        <v>0.06</v>
      </c>
      <c r="E616" s="29">
        <v>65.989999999999995</v>
      </c>
      <c r="F616" s="29">
        <v>5.92</v>
      </c>
      <c r="G616" s="30" t="s">
        <v>39</v>
      </c>
      <c r="H616" s="27" t="s">
        <v>94</v>
      </c>
      <c r="I616" s="27" t="s">
        <v>41</v>
      </c>
      <c r="J616" s="27" t="s">
        <v>135</v>
      </c>
      <c r="K616" s="27" t="s">
        <v>73</v>
      </c>
      <c r="L616" s="31" t="s">
        <v>264</v>
      </c>
      <c r="M616" s="32">
        <v>0.55000000000000004</v>
      </c>
      <c r="N616" s="27" t="s">
        <v>33</v>
      </c>
      <c r="O616" s="27" t="s">
        <v>34</v>
      </c>
      <c r="P616" s="27" t="s">
        <v>400</v>
      </c>
      <c r="Q616" s="27" t="s">
        <v>1336</v>
      </c>
      <c r="R616" s="33">
        <v>37804</v>
      </c>
      <c r="S616" s="34">
        <v>42058</v>
      </c>
      <c r="T616" s="34">
        <v>42059</v>
      </c>
      <c r="U616" s="29">
        <v>-3.3319999999999999</v>
      </c>
      <c r="V616" s="26">
        <v>14</v>
      </c>
      <c r="W616" s="29">
        <v>792.11</v>
      </c>
      <c r="X616" s="26">
        <v>89139</v>
      </c>
      <c r="Y616" s="35">
        <v>33.25</v>
      </c>
      <c r="Z616" s="1" t="s">
        <v>3011</v>
      </c>
      <c r="AA616" s="36">
        <v>55.431599999999996</v>
      </c>
      <c r="AB616" s="54">
        <v>356.44949999999994</v>
      </c>
      <c r="AC616" s="54">
        <v>31.118607142857147</v>
      </c>
      <c r="AD616" s="36">
        <v>734.09040000000005</v>
      </c>
    </row>
    <row r="617" spans="1:30" s="37" customFormat="1" ht="15.75" customHeight="1" x14ac:dyDescent="0.2">
      <c r="A617" s="26">
        <v>2865</v>
      </c>
      <c r="B617" s="27" t="s">
        <v>1325</v>
      </c>
      <c r="C617" s="27" t="s">
        <v>26</v>
      </c>
      <c r="D617" s="28">
        <v>0.04</v>
      </c>
      <c r="E617" s="29">
        <v>33.29</v>
      </c>
      <c r="F617" s="29">
        <v>8.74</v>
      </c>
      <c r="G617" s="30" t="s">
        <v>39</v>
      </c>
      <c r="H617" s="27" t="s">
        <v>94</v>
      </c>
      <c r="I617" s="27" t="s">
        <v>49</v>
      </c>
      <c r="J617" s="27" t="s">
        <v>78</v>
      </c>
      <c r="K617" s="27" t="s">
        <v>73</v>
      </c>
      <c r="L617" s="31" t="s">
        <v>1328</v>
      </c>
      <c r="M617" s="32">
        <v>0.61</v>
      </c>
      <c r="N617" s="27" t="s">
        <v>33</v>
      </c>
      <c r="O617" s="27" t="s">
        <v>53</v>
      </c>
      <c r="P617" s="27" t="s">
        <v>187</v>
      </c>
      <c r="Q617" s="27" t="s">
        <v>1327</v>
      </c>
      <c r="R617" s="33">
        <v>75460</v>
      </c>
      <c r="S617" s="34">
        <v>42058</v>
      </c>
      <c r="T617" s="34">
        <v>42059</v>
      </c>
      <c r="U617" s="29">
        <v>87.03</v>
      </c>
      <c r="V617" s="26">
        <v>8</v>
      </c>
      <c r="W617" s="29">
        <v>273.33999999999997</v>
      </c>
      <c r="X617" s="26">
        <v>90871</v>
      </c>
      <c r="Y617" s="35">
        <v>20.97</v>
      </c>
      <c r="Z617" s="1" t="s">
        <v>3012</v>
      </c>
      <c r="AA617" s="36">
        <v>10.652799999999999</v>
      </c>
      <c r="AB617" s="54">
        <v>106.6026</v>
      </c>
      <c r="AC617" s="54">
        <v>20.842174999999997</v>
      </c>
      <c r="AD617" s="36">
        <v>166.91719999999998</v>
      </c>
    </row>
    <row r="618" spans="1:30" s="37" customFormat="1" ht="15.75" customHeight="1" x14ac:dyDescent="0.2">
      <c r="A618" s="26">
        <v>508</v>
      </c>
      <c r="B618" s="27" t="s">
        <v>1329</v>
      </c>
      <c r="C618" s="27" t="s">
        <v>38</v>
      </c>
      <c r="D618" s="28">
        <v>0.01</v>
      </c>
      <c r="E618" s="29">
        <v>20.98</v>
      </c>
      <c r="F618" s="29">
        <v>53.03</v>
      </c>
      <c r="G618" s="30" t="s">
        <v>27</v>
      </c>
      <c r="H618" s="27" t="s">
        <v>94</v>
      </c>
      <c r="I618" s="27" t="s">
        <v>49</v>
      </c>
      <c r="J618" s="27" t="s">
        <v>78</v>
      </c>
      <c r="K618" s="27" t="s">
        <v>58</v>
      </c>
      <c r="L618" s="31" t="s">
        <v>1090</v>
      </c>
      <c r="M618" s="32">
        <v>0.78</v>
      </c>
      <c r="N618" s="27" t="s">
        <v>33</v>
      </c>
      <c r="O618" s="27" t="s">
        <v>34</v>
      </c>
      <c r="P618" s="27" t="s">
        <v>388</v>
      </c>
      <c r="Q618" s="27" t="s">
        <v>1330</v>
      </c>
      <c r="R618" s="33">
        <v>41011</v>
      </c>
      <c r="S618" s="34">
        <v>42058</v>
      </c>
      <c r="T618" s="34">
        <v>42058</v>
      </c>
      <c r="U618" s="29">
        <v>-282.08179999999999</v>
      </c>
      <c r="V618" s="26">
        <v>5</v>
      </c>
      <c r="W618" s="29">
        <v>123</v>
      </c>
      <c r="X618" s="26">
        <v>87356</v>
      </c>
      <c r="Y618" s="35">
        <v>209.27</v>
      </c>
      <c r="Z618" s="1" t="s">
        <v>3011</v>
      </c>
      <c r="AA618" s="36">
        <v>1.0490000000000002</v>
      </c>
      <c r="AB618" s="54">
        <v>27.059999999999995</v>
      </c>
      <c r="AC618" s="54">
        <v>19.188000000000002</v>
      </c>
      <c r="AD618" s="36">
        <v>351.00279999999998</v>
      </c>
    </row>
    <row r="619" spans="1:30" s="37" customFormat="1" ht="15.75" customHeight="1" x14ac:dyDescent="0.2">
      <c r="A619" s="26">
        <v>2865</v>
      </c>
      <c r="B619" s="27" t="s">
        <v>1325</v>
      </c>
      <c r="C619" s="27" t="s">
        <v>26</v>
      </c>
      <c r="D619" s="28">
        <v>0.01</v>
      </c>
      <c r="E619" s="29">
        <v>13.79</v>
      </c>
      <c r="F619" s="29">
        <v>8.7799999999999994</v>
      </c>
      <c r="G619" s="30" t="s">
        <v>39</v>
      </c>
      <c r="H619" s="27" t="s">
        <v>94</v>
      </c>
      <c r="I619" s="27" t="s">
        <v>29</v>
      </c>
      <c r="J619" s="27" t="s">
        <v>126</v>
      </c>
      <c r="K619" s="27" t="s">
        <v>73</v>
      </c>
      <c r="L619" s="31" t="s">
        <v>1326</v>
      </c>
      <c r="M619" s="32">
        <v>0.43</v>
      </c>
      <c r="N619" s="27" t="s">
        <v>33</v>
      </c>
      <c r="O619" s="27" t="s">
        <v>53</v>
      </c>
      <c r="P619" s="27" t="s">
        <v>187</v>
      </c>
      <c r="Q619" s="27" t="s">
        <v>1327</v>
      </c>
      <c r="R619" s="33">
        <v>75460</v>
      </c>
      <c r="S619" s="34">
        <v>42058</v>
      </c>
      <c r="T619" s="34">
        <v>42060</v>
      </c>
      <c r="U619" s="29">
        <v>-36.770000000000003</v>
      </c>
      <c r="V619" s="26">
        <v>4</v>
      </c>
      <c r="W619" s="29">
        <v>56.68</v>
      </c>
      <c r="X619" s="26">
        <v>90871</v>
      </c>
      <c r="Y619" s="35">
        <v>4.91</v>
      </c>
      <c r="Z619" s="1" t="s">
        <v>3012</v>
      </c>
      <c r="AA619" s="36">
        <v>0.55159999999999998</v>
      </c>
      <c r="AB619" s="54">
        <v>32.307600000000001</v>
      </c>
      <c r="AC619" s="54">
        <v>6.0930999999999997</v>
      </c>
      <c r="AD619" s="36">
        <v>84.118400000000008</v>
      </c>
    </row>
    <row r="620" spans="1:30" s="37" customFormat="1" ht="15.75" customHeight="1" x14ac:dyDescent="0.2">
      <c r="A620" s="26">
        <v>2893</v>
      </c>
      <c r="B620" s="27" t="s">
        <v>1333</v>
      </c>
      <c r="C620" s="27" t="s">
        <v>38</v>
      </c>
      <c r="D620" s="28">
        <v>7.0000000000000007E-2</v>
      </c>
      <c r="E620" s="29">
        <v>4.9800000000000004</v>
      </c>
      <c r="F620" s="29">
        <v>4.7</v>
      </c>
      <c r="G620" s="30" t="s">
        <v>39</v>
      </c>
      <c r="H620" s="27" t="s">
        <v>40</v>
      </c>
      <c r="I620" s="27" t="s">
        <v>49</v>
      </c>
      <c r="J620" s="27" t="s">
        <v>88</v>
      </c>
      <c r="K620" s="27" t="s">
        <v>73</v>
      </c>
      <c r="L620" s="31" t="s">
        <v>1334</v>
      </c>
      <c r="M620" s="32">
        <v>0.38</v>
      </c>
      <c r="N620" s="27" t="s">
        <v>33</v>
      </c>
      <c r="O620" s="27" t="s">
        <v>53</v>
      </c>
      <c r="P620" s="27" t="s">
        <v>289</v>
      </c>
      <c r="Q620" s="27" t="s">
        <v>510</v>
      </c>
      <c r="R620" s="33">
        <v>48071</v>
      </c>
      <c r="S620" s="34">
        <v>42058</v>
      </c>
      <c r="T620" s="34">
        <v>42059</v>
      </c>
      <c r="U620" s="29">
        <v>-21.684000000000001</v>
      </c>
      <c r="V620" s="26">
        <v>9</v>
      </c>
      <c r="W620" s="29">
        <v>45.05</v>
      </c>
      <c r="X620" s="26">
        <v>90011</v>
      </c>
      <c r="Y620" s="35">
        <v>146.03</v>
      </c>
      <c r="Z620" s="1" t="s">
        <v>3012</v>
      </c>
      <c r="AA620" s="36">
        <v>3.1374000000000009</v>
      </c>
      <c r="AB620" s="54">
        <v>27.930999999999997</v>
      </c>
      <c r="AC620" s="54">
        <v>1.9021111111111111</v>
      </c>
      <c r="AD620" s="36">
        <v>58.896599999999999</v>
      </c>
    </row>
    <row r="621" spans="1:30" s="37" customFormat="1" ht="15.75" customHeight="1" x14ac:dyDescent="0.2">
      <c r="A621" s="26">
        <v>2697</v>
      </c>
      <c r="B621" s="27" t="s">
        <v>1323</v>
      </c>
      <c r="C621" s="27" t="s">
        <v>26</v>
      </c>
      <c r="D621" s="28">
        <v>0.04</v>
      </c>
      <c r="E621" s="29">
        <v>1.74</v>
      </c>
      <c r="F621" s="29">
        <v>4.08</v>
      </c>
      <c r="G621" s="30" t="s">
        <v>39</v>
      </c>
      <c r="H621" s="27" t="s">
        <v>94</v>
      </c>
      <c r="I621" s="27" t="s">
        <v>29</v>
      </c>
      <c r="J621" s="27" t="s">
        <v>126</v>
      </c>
      <c r="K621" s="27" t="s">
        <v>43</v>
      </c>
      <c r="L621" s="31" t="s">
        <v>770</v>
      </c>
      <c r="M621" s="32">
        <v>0.53</v>
      </c>
      <c r="N621" s="27" t="s">
        <v>33</v>
      </c>
      <c r="O621" s="27" t="s">
        <v>34</v>
      </c>
      <c r="P621" s="27" t="s">
        <v>164</v>
      </c>
      <c r="Q621" s="27" t="s">
        <v>1324</v>
      </c>
      <c r="R621" s="33">
        <v>35216</v>
      </c>
      <c r="S621" s="34">
        <v>42058</v>
      </c>
      <c r="T621" s="34">
        <v>42060</v>
      </c>
      <c r="U621" s="29">
        <v>9.2520000000000007</v>
      </c>
      <c r="V621" s="26">
        <v>16</v>
      </c>
      <c r="W621" s="29">
        <v>29.08</v>
      </c>
      <c r="X621" s="26">
        <v>87678</v>
      </c>
      <c r="Y621" s="35">
        <v>65.929999999999993</v>
      </c>
      <c r="Z621" s="1" t="s">
        <v>3011</v>
      </c>
      <c r="AA621" s="36">
        <v>1.1135999999999999</v>
      </c>
      <c r="AB621" s="54">
        <v>13.667599999999998</v>
      </c>
      <c r="AC621" s="54">
        <v>0.96327499999999999</v>
      </c>
      <c r="AD621" s="36">
        <v>14.634399999999998</v>
      </c>
    </row>
    <row r="622" spans="1:30" s="37" customFormat="1" ht="15.75" customHeight="1" x14ac:dyDescent="0.2">
      <c r="A622" s="26">
        <v>1894</v>
      </c>
      <c r="B622" s="27" t="s">
        <v>1339</v>
      </c>
      <c r="C622" s="27" t="s">
        <v>26</v>
      </c>
      <c r="D622" s="28">
        <v>0</v>
      </c>
      <c r="E622" s="29">
        <v>300.98</v>
      </c>
      <c r="F622" s="29">
        <v>164.73</v>
      </c>
      <c r="G622" s="30" t="s">
        <v>27</v>
      </c>
      <c r="H622" s="27" t="s">
        <v>71</v>
      </c>
      <c r="I622" s="27" t="s">
        <v>29</v>
      </c>
      <c r="J622" s="27" t="s">
        <v>109</v>
      </c>
      <c r="K622" s="27" t="s">
        <v>58</v>
      </c>
      <c r="L622" s="31" t="s">
        <v>1340</v>
      </c>
      <c r="M622" s="32">
        <v>0.56000000000000005</v>
      </c>
      <c r="N622" s="27" t="s">
        <v>33</v>
      </c>
      <c r="O622" s="27" t="s">
        <v>53</v>
      </c>
      <c r="P622" s="27" t="s">
        <v>357</v>
      </c>
      <c r="Q622" s="27" t="s">
        <v>1341</v>
      </c>
      <c r="R622" s="33">
        <v>54915</v>
      </c>
      <c r="S622" s="34">
        <v>42059</v>
      </c>
      <c r="T622" s="34">
        <v>42060</v>
      </c>
      <c r="U622" s="29">
        <v>2653.2914999999998</v>
      </c>
      <c r="V622" s="26">
        <v>12</v>
      </c>
      <c r="W622" s="29">
        <v>3845.35</v>
      </c>
      <c r="X622" s="26">
        <v>91261</v>
      </c>
      <c r="Y622" s="35">
        <v>48.55</v>
      </c>
      <c r="Z622" s="1" t="s">
        <v>3012</v>
      </c>
      <c r="AA622" s="36">
        <v>0</v>
      </c>
      <c r="AB622" s="54">
        <v>1691.9539999999997</v>
      </c>
      <c r="AC622" s="54">
        <v>179.44966666666667</v>
      </c>
      <c r="AD622" s="36">
        <v>1027.3285000000001</v>
      </c>
    </row>
    <row r="623" spans="1:30" s="37" customFormat="1" ht="15.75" customHeight="1" x14ac:dyDescent="0.2">
      <c r="A623" s="26">
        <v>1919</v>
      </c>
      <c r="B623" s="27" t="s">
        <v>1342</v>
      </c>
      <c r="C623" s="27" t="s">
        <v>38</v>
      </c>
      <c r="D623" s="28">
        <v>0</v>
      </c>
      <c r="E623" s="29">
        <v>195.99</v>
      </c>
      <c r="F623" s="29">
        <v>8.99</v>
      </c>
      <c r="G623" s="30" t="s">
        <v>39</v>
      </c>
      <c r="H623" s="27" t="s">
        <v>71</v>
      </c>
      <c r="I623" s="27" t="s">
        <v>41</v>
      </c>
      <c r="J623" s="27" t="s">
        <v>135</v>
      </c>
      <c r="K623" s="27" t="s">
        <v>73</v>
      </c>
      <c r="L623" s="31" t="s">
        <v>1343</v>
      </c>
      <c r="M623" s="32">
        <v>0.6</v>
      </c>
      <c r="N623" s="27" t="s">
        <v>33</v>
      </c>
      <c r="O623" s="27" t="s">
        <v>34</v>
      </c>
      <c r="P623" s="27" t="s">
        <v>45</v>
      </c>
      <c r="Q623" s="27" t="s">
        <v>1344</v>
      </c>
      <c r="R623" s="33">
        <v>71603</v>
      </c>
      <c r="S623" s="34">
        <v>42059</v>
      </c>
      <c r="T623" s="34">
        <v>42060</v>
      </c>
      <c r="U623" s="29">
        <v>114.88200000000001</v>
      </c>
      <c r="V623" s="26">
        <v>5</v>
      </c>
      <c r="W623" s="29">
        <v>882.93</v>
      </c>
      <c r="X623" s="26">
        <v>85896</v>
      </c>
      <c r="Y623" s="35">
        <v>300.98</v>
      </c>
      <c r="Z623" s="1" t="s">
        <v>3011</v>
      </c>
      <c r="AA623" s="36">
        <v>0</v>
      </c>
      <c r="AB623" s="54">
        <v>353.17200000000003</v>
      </c>
      <c r="AC623" s="54">
        <v>105.95159999999998</v>
      </c>
      <c r="AD623" s="36">
        <v>759.05799999999999</v>
      </c>
    </row>
    <row r="624" spans="1:30" s="37" customFormat="1" ht="15.75" customHeight="1" x14ac:dyDescent="0.2">
      <c r="A624" s="26">
        <v>1649</v>
      </c>
      <c r="B624" s="27" t="s">
        <v>1337</v>
      </c>
      <c r="C624" s="27" t="s">
        <v>26</v>
      </c>
      <c r="D624" s="28">
        <v>0.03</v>
      </c>
      <c r="E624" s="29">
        <v>48.58</v>
      </c>
      <c r="F624" s="29">
        <v>3.99</v>
      </c>
      <c r="G624" s="30" t="s">
        <v>87</v>
      </c>
      <c r="H624" s="27" t="s">
        <v>94</v>
      </c>
      <c r="I624" s="27" t="s">
        <v>49</v>
      </c>
      <c r="J624" s="27" t="s">
        <v>95</v>
      </c>
      <c r="K624" s="27" t="s">
        <v>73</v>
      </c>
      <c r="L624" s="31" t="s">
        <v>1338</v>
      </c>
      <c r="M624" s="32">
        <v>0.56000000000000005</v>
      </c>
      <c r="N624" s="27" t="s">
        <v>33</v>
      </c>
      <c r="O624" s="27" t="s">
        <v>111</v>
      </c>
      <c r="P624" s="27" t="s">
        <v>112</v>
      </c>
      <c r="Q624" s="27" t="s">
        <v>542</v>
      </c>
      <c r="R624" s="33">
        <v>11598</v>
      </c>
      <c r="S624" s="34">
        <v>42059</v>
      </c>
      <c r="T624" s="34">
        <v>42061</v>
      </c>
      <c r="U624" s="29">
        <v>100.1328</v>
      </c>
      <c r="V624" s="26">
        <v>3</v>
      </c>
      <c r="W624" s="29">
        <v>145.12</v>
      </c>
      <c r="X624" s="26">
        <v>91041</v>
      </c>
      <c r="Y624" s="35">
        <v>2.85</v>
      </c>
      <c r="Z624" s="1" t="s">
        <v>3014</v>
      </c>
      <c r="AA624" s="36">
        <v>4.3721999999999994</v>
      </c>
      <c r="AB624" s="54">
        <v>63.852799999999995</v>
      </c>
      <c r="AC624" s="54">
        <v>27.089066666666671</v>
      </c>
      <c r="AD624" s="36">
        <v>36.625</v>
      </c>
    </row>
    <row r="625" spans="1:30" s="37" customFormat="1" ht="15.75" customHeight="1" x14ac:dyDescent="0.2">
      <c r="A625" s="26">
        <v>961</v>
      </c>
      <c r="B625" s="27" t="s">
        <v>1347</v>
      </c>
      <c r="C625" s="27" t="s">
        <v>3094</v>
      </c>
      <c r="D625" s="28">
        <v>0.05</v>
      </c>
      <c r="E625" s="29">
        <v>124.49</v>
      </c>
      <c r="F625" s="29">
        <v>51.94</v>
      </c>
      <c r="G625" s="30" t="s">
        <v>27</v>
      </c>
      <c r="H625" s="27" t="s">
        <v>71</v>
      </c>
      <c r="I625" s="27" t="s">
        <v>29</v>
      </c>
      <c r="J625" s="27" t="s">
        <v>30</v>
      </c>
      <c r="K625" s="27" t="s">
        <v>31</v>
      </c>
      <c r="L625" s="31" t="s">
        <v>1149</v>
      </c>
      <c r="M625" s="32">
        <v>0.63</v>
      </c>
      <c r="N625" s="27" t="s">
        <v>33</v>
      </c>
      <c r="O625" s="27" t="s">
        <v>60</v>
      </c>
      <c r="P625" s="27" t="s">
        <v>90</v>
      </c>
      <c r="Q625" s="27" t="s">
        <v>1348</v>
      </c>
      <c r="R625" s="33">
        <v>94061</v>
      </c>
      <c r="S625" s="34">
        <v>42059</v>
      </c>
      <c r="T625" s="34">
        <v>42059</v>
      </c>
      <c r="U625" s="29">
        <v>-44.163600000000002</v>
      </c>
      <c r="V625" s="26">
        <v>1</v>
      </c>
      <c r="W625" s="29">
        <v>120.12</v>
      </c>
      <c r="X625" s="26">
        <v>89402</v>
      </c>
      <c r="Y625" s="35">
        <v>195.99</v>
      </c>
      <c r="Z625" s="1" t="s">
        <v>3013</v>
      </c>
      <c r="AA625" s="36">
        <v>6.2244999999999999</v>
      </c>
      <c r="AB625" s="54">
        <v>44.444400000000002</v>
      </c>
      <c r="AC625" s="54">
        <v>75.675600000000003</v>
      </c>
      <c r="AD625" s="36">
        <v>106.1191</v>
      </c>
    </row>
    <row r="626" spans="1:30" s="37" customFormat="1" ht="15.75" customHeight="1" x14ac:dyDescent="0.2">
      <c r="A626" s="26">
        <v>2398</v>
      </c>
      <c r="B626" s="27" t="s">
        <v>1349</v>
      </c>
      <c r="C626" s="27" t="s">
        <v>3094</v>
      </c>
      <c r="D626" s="28">
        <v>0.03</v>
      </c>
      <c r="E626" s="29">
        <v>7.64</v>
      </c>
      <c r="F626" s="29">
        <v>5.83</v>
      </c>
      <c r="G626" s="30" t="s">
        <v>39</v>
      </c>
      <c r="H626" s="27" t="s">
        <v>94</v>
      </c>
      <c r="I626" s="27" t="s">
        <v>49</v>
      </c>
      <c r="J626" s="27" t="s">
        <v>88</v>
      </c>
      <c r="K626" s="27" t="s">
        <v>51</v>
      </c>
      <c r="L626" s="31" t="s">
        <v>232</v>
      </c>
      <c r="M626" s="32">
        <v>0.36</v>
      </c>
      <c r="N626" s="27" t="s">
        <v>33</v>
      </c>
      <c r="O626" s="27" t="s">
        <v>53</v>
      </c>
      <c r="P626" s="27" t="s">
        <v>103</v>
      </c>
      <c r="Q626" s="27" t="s">
        <v>1350</v>
      </c>
      <c r="R626" s="33">
        <v>60103</v>
      </c>
      <c r="S626" s="34">
        <v>42059</v>
      </c>
      <c r="T626" s="34">
        <v>42061</v>
      </c>
      <c r="U626" s="29">
        <v>-15.090400000000001</v>
      </c>
      <c r="V626" s="26">
        <v>12</v>
      </c>
      <c r="W626" s="29">
        <v>96.86</v>
      </c>
      <c r="X626" s="26">
        <v>86373</v>
      </c>
      <c r="Y626" s="35">
        <v>4.04</v>
      </c>
      <c r="Z626" s="1" t="s">
        <v>3012</v>
      </c>
      <c r="AA626" s="36">
        <v>2.7504</v>
      </c>
      <c r="AB626" s="54">
        <v>61.990400000000001</v>
      </c>
      <c r="AC626" s="54">
        <v>2.9058000000000002</v>
      </c>
      <c r="AD626" s="36">
        <v>103.37</v>
      </c>
    </row>
    <row r="627" spans="1:30" s="37" customFormat="1" ht="15.75" customHeight="1" x14ac:dyDescent="0.2">
      <c r="A627" s="26">
        <v>1127</v>
      </c>
      <c r="B627" s="27" t="s">
        <v>1345</v>
      </c>
      <c r="C627" s="27" t="s">
        <v>116</v>
      </c>
      <c r="D627" s="28">
        <v>0.02</v>
      </c>
      <c r="E627" s="29">
        <v>4.0599999999999996</v>
      </c>
      <c r="F627" s="29">
        <v>6.89</v>
      </c>
      <c r="G627" s="30" t="s">
        <v>39</v>
      </c>
      <c r="H627" s="27" t="s">
        <v>40</v>
      </c>
      <c r="I627" s="27" t="s">
        <v>49</v>
      </c>
      <c r="J627" s="27" t="s">
        <v>95</v>
      </c>
      <c r="K627" s="27" t="s">
        <v>73</v>
      </c>
      <c r="L627" s="31" t="s">
        <v>1271</v>
      </c>
      <c r="M627" s="32">
        <v>0.6</v>
      </c>
      <c r="N627" s="27" t="s">
        <v>33</v>
      </c>
      <c r="O627" s="27" t="s">
        <v>53</v>
      </c>
      <c r="P627" s="27" t="s">
        <v>187</v>
      </c>
      <c r="Q627" s="27" t="s">
        <v>1346</v>
      </c>
      <c r="R627" s="33">
        <v>78852</v>
      </c>
      <c r="S627" s="34">
        <v>42059</v>
      </c>
      <c r="T627" s="34">
        <v>42061</v>
      </c>
      <c r="U627" s="29">
        <v>-93.735200000000006</v>
      </c>
      <c r="V627" s="26">
        <v>16</v>
      </c>
      <c r="W627" s="29">
        <v>66.81</v>
      </c>
      <c r="X627" s="26">
        <v>87221</v>
      </c>
      <c r="Y627" s="35">
        <v>124.44</v>
      </c>
      <c r="Z627" s="1" t="s">
        <v>3012</v>
      </c>
      <c r="AA627" s="36">
        <v>1.2991999999999999</v>
      </c>
      <c r="AB627" s="54">
        <v>26.724000000000004</v>
      </c>
      <c r="AC627" s="54">
        <v>2.5053749999999999</v>
      </c>
      <c r="AD627" s="36">
        <v>152.35599999999999</v>
      </c>
    </row>
    <row r="628" spans="1:30" s="37" customFormat="1" ht="15.75" customHeight="1" x14ac:dyDescent="0.2">
      <c r="A628" s="26">
        <v>1894</v>
      </c>
      <c r="B628" s="27" t="s">
        <v>1339</v>
      </c>
      <c r="C628" s="27" t="s">
        <v>26</v>
      </c>
      <c r="D628" s="28">
        <v>0.09</v>
      </c>
      <c r="E628" s="29">
        <v>2.94</v>
      </c>
      <c r="F628" s="29">
        <v>0.96</v>
      </c>
      <c r="G628" s="30" t="s">
        <v>39</v>
      </c>
      <c r="H628" s="27" t="s">
        <v>71</v>
      </c>
      <c r="I628" s="27" t="s">
        <v>49</v>
      </c>
      <c r="J628" s="27" t="s">
        <v>50</v>
      </c>
      <c r="K628" s="27" t="s">
        <v>51</v>
      </c>
      <c r="L628" s="31" t="s">
        <v>829</v>
      </c>
      <c r="M628" s="32">
        <v>0.57999999999999996</v>
      </c>
      <c r="N628" s="27" t="s">
        <v>33</v>
      </c>
      <c r="O628" s="27" t="s">
        <v>53</v>
      </c>
      <c r="P628" s="27" t="s">
        <v>357</v>
      </c>
      <c r="Q628" s="27" t="s">
        <v>1341</v>
      </c>
      <c r="R628" s="33">
        <v>54915</v>
      </c>
      <c r="S628" s="34">
        <v>42059</v>
      </c>
      <c r="T628" s="34">
        <v>42061</v>
      </c>
      <c r="U628" s="29">
        <v>-1.84</v>
      </c>
      <c r="V628" s="26">
        <v>1</v>
      </c>
      <c r="W628" s="29">
        <v>3.77</v>
      </c>
      <c r="X628" s="26">
        <v>91261</v>
      </c>
      <c r="Y628" s="35">
        <v>7.6099999999999994</v>
      </c>
      <c r="Z628" s="1" t="s">
        <v>3012</v>
      </c>
      <c r="AA628" s="36">
        <v>0.2646</v>
      </c>
      <c r="AB628" s="54">
        <v>1.5834000000000001</v>
      </c>
      <c r="AC628" s="54">
        <v>2.1865999999999999</v>
      </c>
      <c r="AD628" s="36">
        <v>4.3854000000000006</v>
      </c>
    </row>
    <row r="629" spans="1:30" s="37" customFormat="1" ht="15.75" customHeight="1" x14ac:dyDescent="0.2">
      <c r="A629" s="26">
        <v>1193</v>
      </c>
      <c r="B629" s="27" t="s">
        <v>1351</v>
      </c>
      <c r="C629" s="27" t="s">
        <v>38</v>
      </c>
      <c r="D629" s="28">
        <v>0.05</v>
      </c>
      <c r="E629" s="29">
        <v>52.4</v>
      </c>
      <c r="F629" s="29">
        <v>16.11</v>
      </c>
      <c r="G629" s="30" t="s">
        <v>39</v>
      </c>
      <c r="H629" s="27" t="s">
        <v>40</v>
      </c>
      <c r="I629" s="27" t="s">
        <v>49</v>
      </c>
      <c r="J629" s="27" t="s">
        <v>72</v>
      </c>
      <c r="K629" s="27" t="s">
        <v>73</v>
      </c>
      <c r="L629" s="31" t="s">
        <v>1352</v>
      </c>
      <c r="M629" s="32">
        <v>0.39</v>
      </c>
      <c r="N629" s="27" t="s">
        <v>33</v>
      </c>
      <c r="O629" s="27" t="s">
        <v>111</v>
      </c>
      <c r="P629" s="27" t="s">
        <v>374</v>
      </c>
      <c r="Q629" s="27" t="s">
        <v>67</v>
      </c>
      <c r="R629" s="33">
        <v>20016</v>
      </c>
      <c r="S629" s="34">
        <v>42060</v>
      </c>
      <c r="T629" s="34">
        <v>42062</v>
      </c>
      <c r="U629" s="29">
        <v>592.52650000000006</v>
      </c>
      <c r="V629" s="26">
        <v>85</v>
      </c>
      <c r="W629" s="29">
        <v>4556.63</v>
      </c>
      <c r="X629" s="26">
        <v>29350</v>
      </c>
      <c r="Y629" s="35">
        <v>52.35</v>
      </c>
      <c r="Z629" s="1" t="s">
        <v>3014</v>
      </c>
      <c r="AA629" s="36">
        <v>222.70000000000002</v>
      </c>
      <c r="AB629" s="54">
        <v>2779.5443</v>
      </c>
      <c r="AC629" s="54">
        <v>20.906890588235296</v>
      </c>
      <c r="AD629" s="36">
        <v>3725.2934999999998</v>
      </c>
    </row>
    <row r="630" spans="1:30" s="37" customFormat="1" ht="15.75" customHeight="1" x14ac:dyDescent="0.2">
      <c r="A630" s="26">
        <v>1193</v>
      </c>
      <c r="B630" s="27" t="s">
        <v>1351</v>
      </c>
      <c r="C630" s="27" t="s">
        <v>38</v>
      </c>
      <c r="D630" s="28">
        <v>0.05</v>
      </c>
      <c r="E630" s="29">
        <v>36.549999999999997</v>
      </c>
      <c r="F630" s="29">
        <v>13.89</v>
      </c>
      <c r="G630" s="30" t="s">
        <v>87</v>
      </c>
      <c r="H630" s="27" t="s">
        <v>40</v>
      </c>
      <c r="I630" s="27" t="s">
        <v>49</v>
      </c>
      <c r="J630" s="27" t="s">
        <v>50</v>
      </c>
      <c r="K630" s="27" t="s">
        <v>51</v>
      </c>
      <c r="L630" s="31" t="s">
        <v>1353</v>
      </c>
      <c r="M630" s="32">
        <v>0.41</v>
      </c>
      <c r="N630" s="27" t="s">
        <v>33</v>
      </c>
      <c r="O630" s="27" t="s">
        <v>111</v>
      </c>
      <c r="P630" s="27" t="s">
        <v>374</v>
      </c>
      <c r="Q630" s="27" t="s">
        <v>67</v>
      </c>
      <c r="R630" s="33">
        <v>20016</v>
      </c>
      <c r="S630" s="34">
        <v>42060</v>
      </c>
      <c r="T630" s="34">
        <v>42061</v>
      </c>
      <c r="U630" s="29">
        <v>232.8</v>
      </c>
      <c r="V630" s="26">
        <v>83</v>
      </c>
      <c r="W630" s="29">
        <v>2948.61</v>
      </c>
      <c r="X630" s="26">
        <v>29350</v>
      </c>
      <c r="Y630" s="35">
        <v>36.5</v>
      </c>
      <c r="Z630" s="1" t="s">
        <v>3014</v>
      </c>
      <c r="AA630" s="36">
        <v>151.6825</v>
      </c>
      <c r="AB630" s="54">
        <v>1739.6799000000003</v>
      </c>
      <c r="AC630" s="54">
        <v>14.565422891566264</v>
      </c>
      <c r="AD630" s="36">
        <v>2550.2375000000002</v>
      </c>
    </row>
    <row r="631" spans="1:30" s="37" customFormat="1" ht="15.75" customHeight="1" x14ac:dyDescent="0.2">
      <c r="A631" s="26">
        <v>1200</v>
      </c>
      <c r="B631" s="27" t="s">
        <v>1358</v>
      </c>
      <c r="C631" s="27" t="s">
        <v>38</v>
      </c>
      <c r="D631" s="28">
        <v>0.05</v>
      </c>
      <c r="E631" s="29">
        <v>52.4</v>
      </c>
      <c r="F631" s="29">
        <v>16.11</v>
      </c>
      <c r="G631" s="30" t="s">
        <v>39</v>
      </c>
      <c r="H631" s="27" t="s">
        <v>40</v>
      </c>
      <c r="I631" s="27" t="s">
        <v>49</v>
      </c>
      <c r="J631" s="27" t="s">
        <v>72</v>
      </c>
      <c r="K631" s="27" t="s">
        <v>73</v>
      </c>
      <c r="L631" s="31" t="s">
        <v>1352</v>
      </c>
      <c r="M631" s="32">
        <v>0.39</v>
      </c>
      <c r="N631" s="27" t="s">
        <v>33</v>
      </c>
      <c r="O631" s="27" t="s">
        <v>111</v>
      </c>
      <c r="P631" s="27" t="s">
        <v>397</v>
      </c>
      <c r="Q631" s="27" t="s">
        <v>1359</v>
      </c>
      <c r="R631" s="33">
        <v>7407</v>
      </c>
      <c r="S631" s="34">
        <v>42060</v>
      </c>
      <c r="T631" s="34">
        <v>42062</v>
      </c>
      <c r="U631" s="29">
        <v>776.77440000000001</v>
      </c>
      <c r="V631" s="26">
        <v>21</v>
      </c>
      <c r="W631" s="29">
        <v>1125.76</v>
      </c>
      <c r="X631" s="26">
        <v>87585</v>
      </c>
      <c r="Y631" s="35">
        <v>15.040000000000001</v>
      </c>
      <c r="Z631" s="1" t="s">
        <v>3014</v>
      </c>
      <c r="AA631" s="36">
        <v>55.02</v>
      </c>
      <c r="AB631" s="54">
        <v>686.71359999999993</v>
      </c>
      <c r="AC631" s="54">
        <v>20.906971428571428</v>
      </c>
      <c r="AD631" s="36">
        <v>277.85559999999998</v>
      </c>
    </row>
    <row r="632" spans="1:30" s="37" customFormat="1" ht="15.75" customHeight="1" x14ac:dyDescent="0.2">
      <c r="A632" s="26">
        <v>1202</v>
      </c>
      <c r="B632" s="27" t="s">
        <v>1360</v>
      </c>
      <c r="C632" s="27" t="s">
        <v>38</v>
      </c>
      <c r="D632" s="28">
        <v>0.05</v>
      </c>
      <c r="E632" s="29">
        <v>36.549999999999997</v>
      </c>
      <c r="F632" s="29">
        <v>13.89</v>
      </c>
      <c r="G632" s="30" t="s">
        <v>87</v>
      </c>
      <c r="H632" s="27" t="s">
        <v>40</v>
      </c>
      <c r="I632" s="27" t="s">
        <v>49</v>
      </c>
      <c r="J632" s="27" t="s">
        <v>50</v>
      </c>
      <c r="K632" s="27" t="s">
        <v>51</v>
      </c>
      <c r="L632" s="31" t="s">
        <v>1353</v>
      </c>
      <c r="M632" s="32">
        <v>0.41</v>
      </c>
      <c r="N632" s="27" t="s">
        <v>33</v>
      </c>
      <c r="O632" s="27" t="s">
        <v>111</v>
      </c>
      <c r="P632" s="27" t="s">
        <v>397</v>
      </c>
      <c r="Q632" s="27" t="s">
        <v>1361</v>
      </c>
      <c r="R632" s="33">
        <v>7079</v>
      </c>
      <c r="S632" s="34">
        <v>42060</v>
      </c>
      <c r="T632" s="34">
        <v>42061</v>
      </c>
      <c r="U632" s="29">
        <v>344.54399999999998</v>
      </c>
      <c r="V632" s="26">
        <v>21</v>
      </c>
      <c r="W632" s="29">
        <v>746.03</v>
      </c>
      <c r="X632" s="26">
        <v>87585</v>
      </c>
      <c r="Y632" s="35">
        <v>52.35</v>
      </c>
      <c r="Z632" s="1" t="s">
        <v>3014</v>
      </c>
      <c r="AA632" s="36">
        <v>38.377499999999998</v>
      </c>
      <c r="AB632" s="54">
        <v>440.15770000000003</v>
      </c>
      <c r="AC632" s="54">
        <v>14.565347619047618</v>
      </c>
      <c r="AD632" s="36">
        <v>349.21850000000001</v>
      </c>
    </row>
    <row r="633" spans="1:30" s="37" customFormat="1" ht="15.75" customHeight="1" x14ac:dyDescent="0.2">
      <c r="A633" s="26">
        <v>868</v>
      </c>
      <c r="B633" s="27" t="s">
        <v>1368</v>
      </c>
      <c r="C633" s="27" t="s">
        <v>3094</v>
      </c>
      <c r="D633" s="28">
        <v>0</v>
      </c>
      <c r="E633" s="29">
        <v>80.98</v>
      </c>
      <c r="F633" s="29">
        <v>35</v>
      </c>
      <c r="G633" s="30" t="s">
        <v>39</v>
      </c>
      <c r="H633" s="27" t="s">
        <v>94</v>
      </c>
      <c r="I633" s="27" t="s">
        <v>49</v>
      </c>
      <c r="J633" s="27" t="s">
        <v>78</v>
      </c>
      <c r="K633" s="27" t="s">
        <v>65</v>
      </c>
      <c r="L633" s="31" t="s">
        <v>707</v>
      </c>
      <c r="M633" s="32">
        <v>0.83</v>
      </c>
      <c r="N633" s="27" t="s">
        <v>33</v>
      </c>
      <c r="O633" s="27" t="s">
        <v>53</v>
      </c>
      <c r="P633" s="27" t="s">
        <v>84</v>
      </c>
      <c r="Q633" s="27" t="s">
        <v>1370</v>
      </c>
      <c r="R633" s="33">
        <v>55126</v>
      </c>
      <c r="S633" s="34">
        <v>42060</v>
      </c>
      <c r="T633" s="34">
        <v>42062</v>
      </c>
      <c r="U633" s="29">
        <v>-684.78</v>
      </c>
      <c r="V633" s="26">
        <v>8</v>
      </c>
      <c r="W633" s="29">
        <v>682.79</v>
      </c>
      <c r="X633" s="26">
        <v>91194</v>
      </c>
      <c r="Y633" s="35">
        <v>36.5</v>
      </c>
      <c r="Z633" s="1" t="s">
        <v>3012</v>
      </c>
      <c r="AA633" s="36">
        <v>0</v>
      </c>
      <c r="AB633" s="54">
        <v>116.07430000000002</v>
      </c>
      <c r="AC633" s="54">
        <v>70.839462499999996</v>
      </c>
      <c r="AD633" s="36">
        <v>1332.57</v>
      </c>
    </row>
    <row r="634" spans="1:30" s="37" customFormat="1" ht="15.75" customHeight="1" x14ac:dyDescent="0.2">
      <c r="A634" s="26">
        <v>851</v>
      </c>
      <c r="B634" s="27" t="s">
        <v>1364</v>
      </c>
      <c r="C634" s="27" t="s">
        <v>48</v>
      </c>
      <c r="D634" s="28">
        <v>0.1</v>
      </c>
      <c r="E634" s="29">
        <v>50.98</v>
      </c>
      <c r="F634" s="29">
        <v>22.24</v>
      </c>
      <c r="G634" s="30" t="s">
        <v>39</v>
      </c>
      <c r="H634" s="27" t="s">
        <v>94</v>
      </c>
      <c r="I634" s="27" t="s">
        <v>29</v>
      </c>
      <c r="J634" s="27" t="s">
        <v>126</v>
      </c>
      <c r="K634" s="27" t="s">
        <v>65</v>
      </c>
      <c r="L634" s="31" t="s">
        <v>1365</v>
      </c>
      <c r="M634" s="32">
        <v>0.55000000000000004</v>
      </c>
      <c r="N634" s="27" t="s">
        <v>33</v>
      </c>
      <c r="O634" s="27" t="s">
        <v>60</v>
      </c>
      <c r="P634" s="27" t="s">
        <v>90</v>
      </c>
      <c r="Q634" s="27" t="s">
        <v>1366</v>
      </c>
      <c r="R634" s="33">
        <v>91745</v>
      </c>
      <c r="S634" s="34">
        <v>42060</v>
      </c>
      <c r="T634" s="34">
        <v>42062</v>
      </c>
      <c r="U634" s="29">
        <v>98.12</v>
      </c>
      <c r="V634" s="26">
        <v>6</v>
      </c>
      <c r="W634" s="29">
        <v>300.63</v>
      </c>
      <c r="X634" s="26">
        <v>88568</v>
      </c>
      <c r="Y634" s="35">
        <v>8.27</v>
      </c>
      <c r="Z634" s="1" t="s">
        <v>3013</v>
      </c>
      <c r="AA634" s="36">
        <v>30.588000000000001</v>
      </c>
      <c r="AB634" s="54">
        <v>135.28349999999998</v>
      </c>
      <c r="AC634" s="54">
        <v>27.557750000000002</v>
      </c>
      <c r="AD634" s="36">
        <v>149.68199999999999</v>
      </c>
    </row>
    <row r="635" spans="1:30" s="37" customFormat="1" ht="15.75" customHeight="1" x14ac:dyDescent="0.2">
      <c r="A635" s="26">
        <v>868</v>
      </c>
      <c r="B635" s="27" t="s">
        <v>1368</v>
      </c>
      <c r="C635" s="27" t="s">
        <v>3094</v>
      </c>
      <c r="D635" s="28">
        <v>0.04</v>
      </c>
      <c r="E635" s="29">
        <v>29.18</v>
      </c>
      <c r="F635" s="29">
        <v>8.5500000000000007</v>
      </c>
      <c r="G635" s="30" t="s">
        <v>87</v>
      </c>
      <c r="H635" s="27" t="s">
        <v>94</v>
      </c>
      <c r="I635" s="27" t="s">
        <v>29</v>
      </c>
      <c r="J635" s="27" t="s">
        <v>126</v>
      </c>
      <c r="K635" s="27" t="s">
        <v>73</v>
      </c>
      <c r="L635" s="31" t="s">
        <v>1369</v>
      </c>
      <c r="M635" s="32">
        <v>0.42</v>
      </c>
      <c r="N635" s="27" t="s">
        <v>33</v>
      </c>
      <c r="O635" s="27" t="s">
        <v>53</v>
      </c>
      <c r="P635" s="27" t="s">
        <v>84</v>
      </c>
      <c r="Q635" s="27" t="s">
        <v>1370</v>
      </c>
      <c r="R635" s="33">
        <v>55126</v>
      </c>
      <c r="S635" s="34">
        <v>42060</v>
      </c>
      <c r="T635" s="34">
        <v>42062</v>
      </c>
      <c r="U635" s="29">
        <v>201.7353</v>
      </c>
      <c r="V635" s="26">
        <v>10</v>
      </c>
      <c r="W635" s="29">
        <v>292.37</v>
      </c>
      <c r="X635" s="26">
        <v>91194</v>
      </c>
      <c r="Y635" s="35">
        <v>50.879999999999995</v>
      </c>
      <c r="Z635" s="1" t="s">
        <v>3012</v>
      </c>
      <c r="AA635" s="36">
        <v>11.672000000000001</v>
      </c>
      <c r="AB635" s="54">
        <v>169.57460000000003</v>
      </c>
      <c r="AC635" s="54">
        <v>12.279540000000001</v>
      </c>
      <c r="AD635" s="36">
        <v>70.412700000000001</v>
      </c>
    </row>
    <row r="636" spans="1:30" s="37" customFormat="1" ht="15.75" customHeight="1" x14ac:dyDescent="0.2">
      <c r="A636" s="26">
        <v>1199</v>
      </c>
      <c r="B636" s="27" t="s">
        <v>1354</v>
      </c>
      <c r="C636" s="27" t="s">
        <v>38</v>
      </c>
      <c r="D636" s="28">
        <v>0.1</v>
      </c>
      <c r="E636" s="29">
        <v>15.14</v>
      </c>
      <c r="F636" s="29">
        <v>4.53</v>
      </c>
      <c r="G636" s="30" t="s">
        <v>39</v>
      </c>
      <c r="H636" s="27" t="s">
        <v>40</v>
      </c>
      <c r="I636" s="27" t="s">
        <v>49</v>
      </c>
      <c r="J636" s="27" t="s">
        <v>78</v>
      </c>
      <c r="K636" s="27" t="s">
        <v>73</v>
      </c>
      <c r="L636" s="31" t="s">
        <v>1355</v>
      </c>
      <c r="M636" s="32">
        <v>0.81</v>
      </c>
      <c r="N636" s="27" t="s">
        <v>33</v>
      </c>
      <c r="O636" s="27" t="s">
        <v>111</v>
      </c>
      <c r="P636" s="27" t="s">
        <v>1356</v>
      </c>
      <c r="Q636" s="27" t="s">
        <v>1357</v>
      </c>
      <c r="R636" s="33">
        <v>3060</v>
      </c>
      <c r="S636" s="34">
        <v>42060</v>
      </c>
      <c r="T636" s="34">
        <v>42063</v>
      </c>
      <c r="U636" s="29">
        <v>-24.897600000000001</v>
      </c>
      <c r="V636" s="26">
        <v>5</v>
      </c>
      <c r="W636" s="29">
        <v>75.17</v>
      </c>
      <c r="X636" s="26">
        <v>87585</v>
      </c>
      <c r="Y636" s="35">
        <v>2.54</v>
      </c>
      <c r="Z636" s="1" t="s">
        <v>3014</v>
      </c>
      <c r="AA636" s="36">
        <v>7.5700000000000012</v>
      </c>
      <c r="AB636" s="54">
        <v>14.282299999999996</v>
      </c>
      <c r="AC636" s="54">
        <v>12.177540000000002</v>
      </c>
      <c r="AD636" s="36">
        <v>87.967600000000004</v>
      </c>
    </row>
    <row r="637" spans="1:30" s="37" customFormat="1" ht="15.75" customHeight="1" x14ac:dyDescent="0.2">
      <c r="A637" s="26">
        <v>2980</v>
      </c>
      <c r="B637" s="27" t="s">
        <v>821</v>
      </c>
      <c r="C637" s="27" t="s">
        <v>116</v>
      </c>
      <c r="D637" s="28">
        <v>7.0000000000000007E-2</v>
      </c>
      <c r="E637" s="29">
        <v>2.61</v>
      </c>
      <c r="F637" s="29">
        <v>0.5</v>
      </c>
      <c r="G637" s="30" t="s">
        <v>39</v>
      </c>
      <c r="H637" s="27" t="s">
        <v>94</v>
      </c>
      <c r="I637" s="27" t="s">
        <v>49</v>
      </c>
      <c r="J637" s="27" t="s">
        <v>152</v>
      </c>
      <c r="K637" s="27" t="s">
        <v>73</v>
      </c>
      <c r="L637" s="31" t="s">
        <v>1367</v>
      </c>
      <c r="M637" s="32">
        <v>0.39</v>
      </c>
      <c r="N637" s="27" t="s">
        <v>33</v>
      </c>
      <c r="O637" s="27" t="s">
        <v>111</v>
      </c>
      <c r="P637" s="27" t="s">
        <v>317</v>
      </c>
      <c r="Q637" s="27" t="s">
        <v>823</v>
      </c>
      <c r="R637" s="33">
        <v>44870</v>
      </c>
      <c r="S637" s="34">
        <v>42060</v>
      </c>
      <c r="T637" s="34">
        <v>42062</v>
      </c>
      <c r="U637" s="29">
        <v>10.798500000000001</v>
      </c>
      <c r="V637" s="26">
        <v>6</v>
      </c>
      <c r="W637" s="29">
        <v>15.65</v>
      </c>
      <c r="X637" s="26">
        <v>86547</v>
      </c>
      <c r="Y637" s="35">
        <v>29.14</v>
      </c>
      <c r="Z637" s="1" t="s">
        <v>3014</v>
      </c>
      <c r="AA637" s="36">
        <v>1.0962000000000001</v>
      </c>
      <c r="AB637" s="54">
        <v>9.5465</v>
      </c>
      <c r="AC637" s="54">
        <v>1.01725</v>
      </c>
      <c r="AD637" s="36">
        <v>3.2553000000000001</v>
      </c>
    </row>
    <row r="638" spans="1:30" s="37" customFormat="1" ht="15.75" customHeight="1" x14ac:dyDescent="0.2">
      <c r="A638" s="26">
        <v>2361</v>
      </c>
      <c r="B638" s="27" t="s">
        <v>1362</v>
      </c>
      <c r="C638" s="27" t="s">
        <v>38</v>
      </c>
      <c r="D638" s="28">
        <v>0.06</v>
      </c>
      <c r="E638" s="29">
        <v>8.33</v>
      </c>
      <c r="F638" s="29">
        <v>1.99</v>
      </c>
      <c r="G638" s="30" t="s">
        <v>39</v>
      </c>
      <c r="H638" s="27" t="s">
        <v>94</v>
      </c>
      <c r="I638" s="27" t="s">
        <v>41</v>
      </c>
      <c r="J638" s="27" t="s">
        <v>42</v>
      </c>
      <c r="K638" s="27" t="s">
        <v>43</v>
      </c>
      <c r="L638" s="31" t="s">
        <v>1174</v>
      </c>
      <c r="M638" s="32">
        <v>0.52</v>
      </c>
      <c r="N638" s="27" t="s">
        <v>33</v>
      </c>
      <c r="O638" s="27" t="s">
        <v>34</v>
      </c>
      <c r="P638" s="27" t="s">
        <v>123</v>
      </c>
      <c r="Q638" s="27" t="s">
        <v>1363</v>
      </c>
      <c r="R638" s="33">
        <v>32259</v>
      </c>
      <c r="S638" s="34">
        <v>42060</v>
      </c>
      <c r="T638" s="34">
        <v>42061</v>
      </c>
      <c r="U638" s="29">
        <v>-344.82</v>
      </c>
      <c r="V638" s="26">
        <v>1</v>
      </c>
      <c r="W638" s="29">
        <v>8.49</v>
      </c>
      <c r="X638" s="26">
        <v>88266</v>
      </c>
      <c r="Y638" s="35">
        <v>80.98</v>
      </c>
      <c r="Z638" s="1" t="s">
        <v>3011</v>
      </c>
      <c r="AA638" s="36">
        <v>0.49979999999999997</v>
      </c>
      <c r="AB638" s="54">
        <v>4.0751999999999997</v>
      </c>
      <c r="AC638" s="54">
        <v>4.4148000000000005</v>
      </c>
      <c r="AD638" s="36">
        <v>350.8202</v>
      </c>
    </row>
    <row r="639" spans="1:30" s="37" customFormat="1" ht="15.75" customHeight="1" x14ac:dyDescent="0.2">
      <c r="A639" s="26">
        <v>3063</v>
      </c>
      <c r="B639" s="27" t="s">
        <v>1391</v>
      </c>
      <c r="C639" s="27" t="s">
        <v>116</v>
      </c>
      <c r="D639" s="28">
        <v>0.03</v>
      </c>
      <c r="E639" s="29">
        <v>499.99</v>
      </c>
      <c r="F639" s="29">
        <v>24.49</v>
      </c>
      <c r="G639" s="30" t="s">
        <v>39</v>
      </c>
      <c r="H639" s="27" t="s">
        <v>40</v>
      </c>
      <c r="I639" s="27" t="s">
        <v>41</v>
      </c>
      <c r="J639" s="27" t="s">
        <v>64</v>
      </c>
      <c r="K639" s="27" t="s">
        <v>65</v>
      </c>
      <c r="L639" s="31" t="s">
        <v>1393</v>
      </c>
      <c r="M639" s="32">
        <v>0.36</v>
      </c>
      <c r="N639" s="27" t="s">
        <v>33</v>
      </c>
      <c r="O639" s="27" t="s">
        <v>60</v>
      </c>
      <c r="P639" s="27" t="s">
        <v>67</v>
      </c>
      <c r="Q639" s="27" t="s">
        <v>1392</v>
      </c>
      <c r="R639" s="33">
        <v>98034</v>
      </c>
      <c r="S639" s="34">
        <v>42061</v>
      </c>
      <c r="T639" s="34">
        <v>42062</v>
      </c>
      <c r="U639" s="29">
        <v>1773.6105</v>
      </c>
      <c r="V639" s="26">
        <v>5</v>
      </c>
      <c r="W639" s="29">
        <v>2570.4499999999998</v>
      </c>
      <c r="X639" s="26">
        <v>88447</v>
      </c>
      <c r="Y639" s="35">
        <v>35.9</v>
      </c>
      <c r="Z639" s="1" t="s">
        <v>3013</v>
      </c>
      <c r="AA639" s="36">
        <v>74.998499999999993</v>
      </c>
      <c r="AB639" s="54">
        <v>1645.088</v>
      </c>
      <c r="AC639" s="54">
        <v>185.07239999999996</v>
      </c>
      <c r="AD639" s="36">
        <v>697.35099999999989</v>
      </c>
    </row>
    <row r="640" spans="1:30" s="37" customFormat="1" ht="15.75" customHeight="1" x14ac:dyDescent="0.2">
      <c r="A640" s="26">
        <v>622</v>
      </c>
      <c r="B640" s="27" t="s">
        <v>1390</v>
      </c>
      <c r="C640" s="27" t="s">
        <v>116</v>
      </c>
      <c r="D640" s="28">
        <v>0.06</v>
      </c>
      <c r="E640" s="29">
        <v>195.99</v>
      </c>
      <c r="F640" s="29">
        <v>8.99</v>
      </c>
      <c r="G640" s="30" t="s">
        <v>39</v>
      </c>
      <c r="H640" s="27" t="s">
        <v>71</v>
      </c>
      <c r="I640" s="27" t="s">
        <v>41</v>
      </c>
      <c r="J640" s="27" t="s">
        <v>135</v>
      </c>
      <c r="K640" s="27" t="s">
        <v>73</v>
      </c>
      <c r="L640" s="31" t="s">
        <v>1343</v>
      </c>
      <c r="M640" s="32">
        <v>0.6</v>
      </c>
      <c r="N640" s="27" t="s">
        <v>33</v>
      </c>
      <c r="O640" s="27" t="s">
        <v>111</v>
      </c>
      <c r="P640" s="27" t="s">
        <v>331</v>
      </c>
      <c r="Q640" s="27" t="s">
        <v>1204</v>
      </c>
      <c r="R640" s="33">
        <v>4210</v>
      </c>
      <c r="S640" s="34">
        <v>42061</v>
      </c>
      <c r="T640" s="34">
        <v>42063</v>
      </c>
      <c r="U640" s="29">
        <v>349.47</v>
      </c>
      <c r="V640" s="26">
        <v>6</v>
      </c>
      <c r="W640" s="29">
        <v>948.97</v>
      </c>
      <c r="X640" s="26">
        <v>91432</v>
      </c>
      <c r="Y640" s="35">
        <v>55.4</v>
      </c>
      <c r="Z640" s="1" t="s">
        <v>3014</v>
      </c>
      <c r="AA640" s="36">
        <v>70.556399999999996</v>
      </c>
      <c r="AB640" s="54">
        <v>379.58800000000002</v>
      </c>
      <c r="AC640" s="54">
        <v>94.896999999999991</v>
      </c>
      <c r="AD640" s="36">
        <v>519.95360000000005</v>
      </c>
    </row>
    <row r="641" spans="1:30" s="37" customFormat="1" ht="15.75" customHeight="1" x14ac:dyDescent="0.2">
      <c r="A641" s="26">
        <v>2114</v>
      </c>
      <c r="B641" s="27" t="s">
        <v>1375</v>
      </c>
      <c r="C641" s="27" t="s">
        <v>26</v>
      </c>
      <c r="D641" s="28">
        <v>0.08</v>
      </c>
      <c r="E641" s="29">
        <v>20.98</v>
      </c>
      <c r="F641" s="29">
        <v>53.03</v>
      </c>
      <c r="G641" s="30" t="s">
        <v>27</v>
      </c>
      <c r="H641" s="27" t="s">
        <v>94</v>
      </c>
      <c r="I641" s="27" t="s">
        <v>49</v>
      </c>
      <c r="J641" s="27" t="s">
        <v>78</v>
      </c>
      <c r="K641" s="27" t="s">
        <v>58</v>
      </c>
      <c r="L641" s="31" t="s">
        <v>1090</v>
      </c>
      <c r="M641" s="32">
        <v>0.78</v>
      </c>
      <c r="N641" s="27" t="s">
        <v>33</v>
      </c>
      <c r="O641" s="27" t="s">
        <v>34</v>
      </c>
      <c r="P641" s="27" t="s">
        <v>242</v>
      </c>
      <c r="Q641" s="27" t="s">
        <v>1377</v>
      </c>
      <c r="R641" s="33">
        <v>23518</v>
      </c>
      <c r="S641" s="34">
        <v>42061</v>
      </c>
      <c r="T641" s="34">
        <v>42063</v>
      </c>
      <c r="U641" s="29">
        <v>8.7420000000000009</v>
      </c>
      <c r="V641" s="26">
        <v>20</v>
      </c>
      <c r="W641" s="29">
        <v>421.18</v>
      </c>
      <c r="X641" s="26">
        <v>88405</v>
      </c>
      <c r="Y641" s="35">
        <v>226.6</v>
      </c>
      <c r="Z641" s="1" t="s">
        <v>3011</v>
      </c>
      <c r="AA641" s="36">
        <v>33.568000000000005</v>
      </c>
      <c r="AB641" s="54">
        <v>92.659599999999983</v>
      </c>
      <c r="AC641" s="54">
        <v>16.426020000000001</v>
      </c>
      <c r="AD641" s="36">
        <v>325.84000000000003</v>
      </c>
    </row>
    <row r="642" spans="1:30" s="37" customFormat="1" ht="15.75" customHeight="1" x14ac:dyDescent="0.2">
      <c r="A642" s="26">
        <v>573</v>
      </c>
      <c r="B642" s="27" t="s">
        <v>1380</v>
      </c>
      <c r="C642" s="27" t="s">
        <v>38</v>
      </c>
      <c r="D642" s="28">
        <v>0.08</v>
      </c>
      <c r="E642" s="29">
        <v>415.88</v>
      </c>
      <c r="F642" s="29">
        <v>11.37</v>
      </c>
      <c r="G642" s="30" t="s">
        <v>39</v>
      </c>
      <c r="H642" s="27" t="s">
        <v>94</v>
      </c>
      <c r="I642" s="27" t="s">
        <v>49</v>
      </c>
      <c r="J642" s="27" t="s">
        <v>78</v>
      </c>
      <c r="K642" s="27" t="s">
        <v>73</v>
      </c>
      <c r="L642" s="31" t="s">
        <v>1381</v>
      </c>
      <c r="M642" s="32">
        <v>0.56999999999999995</v>
      </c>
      <c r="N642" s="27" t="s">
        <v>33</v>
      </c>
      <c r="O642" s="27" t="s">
        <v>53</v>
      </c>
      <c r="P642" s="27" t="s">
        <v>103</v>
      </c>
      <c r="Q642" s="27" t="s">
        <v>1382</v>
      </c>
      <c r="R642" s="33">
        <v>61554</v>
      </c>
      <c r="S642" s="34">
        <v>42061</v>
      </c>
      <c r="T642" s="34">
        <v>42062</v>
      </c>
      <c r="U642" s="29">
        <v>-269.08440000000002</v>
      </c>
      <c r="V642" s="26">
        <v>1</v>
      </c>
      <c r="W642" s="29">
        <v>405.57</v>
      </c>
      <c r="X642" s="26">
        <v>86556</v>
      </c>
      <c r="Y642" s="35">
        <v>20.900000000000002</v>
      </c>
      <c r="Z642" s="1" t="s">
        <v>3012</v>
      </c>
      <c r="AA642" s="36">
        <v>33.270400000000002</v>
      </c>
      <c r="AB642" s="54">
        <v>174.39510000000001</v>
      </c>
      <c r="AC642" s="54">
        <v>231.17489999999998</v>
      </c>
      <c r="AD642" s="36">
        <v>630.01400000000001</v>
      </c>
    </row>
    <row r="643" spans="1:30" s="37" customFormat="1" ht="15.75" customHeight="1" x14ac:dyDescent="0.2">
      <c r="A643" s="26">
        <v>2114</v>
      </c>
      <c r="B643" s="27" t="s">
        <v>1375</v>
      </c>
      <c r="C643" s="27" t="s">
        <v>26</v>
      </c>
      <c r="D643" s="28">
        <v>7.0000000000000007E-2</v>
      </c>
      <c r="E643" s="29">
        <v>226.67</v>
      </c>
      <c r="F643" s="29">
        <v>28.16</v>
      </c>
      <c r="G643" s="30" t="s">
        <v>27</v>
      </c>
      <c r="H643" s="27" t="s">
        <v>94</v>
      </c>
      <c r="I643" s="27" t="s">
        <v>29</v>
      </c>
      <c r="J643" s="27" t="s">
        <v>109</v>
      </c>
      <c r="K643" s="27" t="s">
        <v>58</v>
      </c>
      <c r="L643" s="31" t="s">
        <v>1376</v>
      </c>
      <c r="M643" s="32">
        <v>0.59</v>
      </c>
      <c r="N643" s="27" t="s">
        <v>33</v>
      </c>
      <c r="O643" s="27" t="s">
        <v>34</v>
      </c>
      <c r="P643" s="27" t="s">
        <v>242</v>
      </c>
      <c r="Q643" s="27" t="s">
        <v>1377</v>
      </c>
      <c r="R643" s="33">
        <v>23518</v>
      </c>
      <c r="S643" s="34">
        <v>42061</v>
      </c>
      <c r="T643" s="34">
        <v>42062</v>
      </c>
      <c r="U643" s="29">
        <v>53.114400000000003</v>
      </c>
      <c r="V643" s="26">
        <v>1</v>
      </c>
      <c r="W643" s="29">
        <v>255.83</v>
      </c>
      <c r="X643" s="26">
        <v>88405</v>
      </c>
      <c r="Y643" s="35">
        <v>5.32</v>
      </c>
      <c r="Z643" s="1" t="s">
        <v>3011</v>
      </c>
      <c r="AA643" s="36">
        <v>15.866900000000001</v>
      </c>
      <c r="AB643" s="54">
        <v>104.89030000000001</v>
      </c>
      <c r="AC643" s="54">
        <v>150.93969999999999</v>
      </c>
      <c r="AD643" s="36">
        <v>158.68870000000001</v>
      </c>
    </row>
    <row r="644" spans="1:30" s="37" customFormat="1" ht="15.75" customHeight="1" x14ac:dyDescent="0.2">
      <c r="A644" s="26">
        <v>2979</v>
      </c>
      <c r="B644" s="27" t="s">
        <v>818</v>
      </c>
      <c r="C644" s="27" t="s">
        <v>26</v>
      </c>
      <c r="D644" s="28">
        <v>0.03</v>
      </c>
      <c r="E644" s="29">
        <v>40.98</v>
      </c>
      <c r="F644" s="29">
        <v>7.47</v>
      </c>
      <c r="G644" s="30" t="s">
        <v>39</v>
      </c>
      <c r="H644" s="27" t="s">
        <v>94</v>
      </c>
      <c r="I644" s="27" t="s">
        <v>49</v>
      </c>
      <c r="J644" s="27" t="s">
        <v>72</v>
      </c>
      <c r="K644" s="27" t="s">
        <v>73</v>
      </c>
      <c r="L644" s="31" t="s">
        <v>1379</v>
      </c>
      <c r="M644" s="32">
        <v>0.37</v>
      </c>
      <c r="N644" s="27" t="s">
        <v>33</v>
      </c>
      <c r="O644" s="27" t="s">
        <v>53</v>
      </c>
      <c r="P644" s="27" t="s">
        <v>565</v>
      </c>
      <c r="Q644" s="27" t="s">
        <v>820</v>
      </c>
      <c r="R644" s="33">
        <v>58601</v>
      </c>
      <c r="S644" s="34">
        <v>42061</v>
      </c>
      <c r="T644" s="34">
        <v>42062</v>
      </c>
      <c r="U644" s="29">
        <v>170.79570000000001</v>
      </c>
      <c r="V644" s="26">
        <v>6</v>
      </c>
      <c r="W644" s="29">
        <v>247.53</v>
      </c>
      <c r="X644" s="26">
        <v>86545</v>
      </c>
      <c r="Y644" s="35">
        <v>40.949999999999996</v>
      </c>
      <c r="Z644" s="1" t="s">
        <v>3012</v>
      </c>
      <c r="AA644" s="36">
        <v>7.3763999999999985</v>
      </c>
      <c r="AB644" s="54">
        <v>155.94390000000001</v>
      </c>
      <c r="AC644" s="54">
        <v>15.26435</v>
      </c>
      <c r="AD644" s="36">
        <v>61.887900000000002</v>
      </c>
    </row>
    <row r="645" spans="1:30" s="37" customFormat="1" ht="15.75" customHeight="1" x14ac:dyDescent="0.2">
      <c r="A645" s="26">
        <v>1639</v>
      </c>
      <c r="B645" s="27" t="s">
        <v>1373</v>
      </c>
      <c r="C645" s="27" t="s">
        <v>26</v>
      </c>
      <c r="D645" s="28">
        <v>0.08</v>
      </c>
      <c r="E645" s="29">
        <v>55.48</v>
      </c>
      <c r="F645" s="29">
        <v>6.79</v>
      </c>
      <c r="G645" s="30" t="s">
        <v>39</v>
      </c>
      <c r="H645" s="27" t="s">
        <v>71</v>
      </c>
      <c r="I645" s="27" t="s">
        <v>49</v>
      </c>
      <c r="J645" s="27" t="s">
        <v>88</v>
      </c>
      <c r="K645" s="27" t="s">
        <v>73</v>
      </c>
      <c r="L645" s="31" t="s">
        <v>1306</v>
      </c>
      <c r="M645" s="32">
        <v>0.37</v>
      </c>
      <c r="N645" s="27" t="s">
        <v>33</v>
      </c>
      <c r="O645" s="27" t="s">
        <v>111</v>
      </c>
      <c r="P645" s="27" t="s">
        <v>248</v>
      </c>
      <c r="Q645" s="27" t="s">
        <v>1374</v>
      </c>
      <c r="R645" s="33">
        <v>6901</v>
      </c>
      <c r="S645" s="34">
        <v>42061</v>
      </c>
      <c r="T645" s="34">
        <v>42063</v>
      </c>
      <c r="U645" s="29">
        <v>147.75659999999999</v>
      </c>
      <c r="V645" s="26">
        <v>4</v>
      </c>
      <c r="W645" s="29">
        <v>214.14</v>
      </c>
      <c r="X645" s="26">
        <v>89705</v>
      </c>
      <c r="Y645" s="35">
        <v>415.8</v>
      </c>
      <c r="Z645" s="1" t="s">
        <v>3014</v>
      </c>
      <c r="AA645" s="36">
        <v>17.753599999999999</v>
      </c>
      <c r="AB645" s="54">
        <v>134.90819999999999</v>
      </c>
      <c r="AC645" s="54">
        <v>19.807949999999998</v>
      </c>
      <c r="AD645" s="36">
        <v>41.839799999999997</v>
      </c>
    </row>
    <row r="646" spans="1:30" s="37" customFormat="1" ht="15.75" customHeight="1" x14ac:dyDescent="0.2">
      <c r="A646" s="26">
        <v>907</v>
      </c>
      <c r="B646" s="27" t="s">
        <v>1371</v>
      </c>
      <c r="C646" s="27" t="s">
        <v>26</v>
      </c>
      <c r="D646" s="28">
        <v>0.09</v>
      </c>
      <c r="E646" s="29">
        <v>35.99</v>
      </c>
      <c r="F646" s="29">
        <v>5.99</v>
      </c>
      <c r="G646" s="30" t="s">
        <v>39</v>
      </c>
      <c r="H646" s="27" t="s">
        <v>71</v>
      </c>
      <c r="I646" s="27" t="s">
        <v>41</v>
      </c>
      <c r="J646" s="27" t="s">
        <v>135</v>
      </c>
      <c r="K646" s="27" t="s">
        <v>51</v>
      </c>
      <c r="L646" s="31" t="s">
        <v>1372</v>
      </c>
      <c r="M646" s="32">
        <v>0.38</v>
      </c>
      <c r="N646" s="27" t="s">
        <v>33</v>
      </c>
      <c r="O646" s="27" t="s">
        <v>34</v>
      </c>
      <c r="P646" s="27" t="s">
        <v>388</v>
      </c>
      <c r="Q646" s="27" t="s">
        <v>466</v>
      </c>
      <c r="R646" s="33">
        <v>42420</v>
      </c>
      <c r="S646" s="34">
        <v>42061</v>
      </c>
      <c r="T646" s="34">
        <v>42062</v>
      </c>
      <c r="U646" s="29">
        <v>114.3165</v>
      </c>
      <c r="V646" s="26">
        <v>5</v>
      </c>
      <c r="W646" s="29">
        <v>151.6</v>
      </c>
      <c r="X646" s="26">
        <v>86459</v>
      </c>
      <c r="Y646" s="35">
        <v>3.5</v>
      </c>
      <c r="Z646" s="1" t="s">
        <v>3011</v>
      </c>
      <c r="AA646" s="36">
        <v>16.195499999999999</v>
      </c>
      <c r="AB646" s="54">
        <v>93.99199999999999</v>
      </c>
      <c r="AC646" s="54">
        <v>11.521599999999999</v>
      </c>
      <c r="AD646" s="36">
        <v>15.097999999999985</v>
      </c>
    </row>
    <row r="647" spans="1:30" s="37" customFormat="1" ht="15.75" customHeight="1" x14ac:dyDescent="0.2">
      <c r="A647" s="26">
        <v>865</v>
      </c>
      <c r="B647" s="27" t="s">
        <v>1386</v>
      </c>
      <c r="C647" s="27" t="s">
        <v>48</v>
      </c>
      <c r="D647" s="28">
        <v>0.04</v>
      </c>
      <c r="E647" s="29">
        <v>6.48</v>
      </c>
      <c r="F647" s="29">
        <v>5.16</v>
      </c>
      <c r="G647" s="30" t="s">
        <v>87</v>
      </c>
      <c r="H647" s="27" t="s">
        <v>94</v>
      </c>
      <c r="I647" s="27" t="s">
        <v>49</v>
      </c>
      <c r="J647" s="27" t="s">
        <v>88</v>
      </c>
      <c r="K647" s="27" t="s">
        <v>73</v>
      </c>
      <c r="L647" s="31" t="s">
        <v>1387</v>
      </c>
      <c r="M647" s="32">
        <v>0.37</v>
      </c>
      <c r="N647" s="27" t="s">
        <v>33</v>
      </c>
      <c r="O647" s="27" t="s">
        <v>53</v>
      </c>
      <c r="P647" s="27" t="s">
        <v>54</v>
      </c>
      <c r="Q647" s="27" t="s">
        <v>1042</v>
      </c>
      <c r="R647" s="33">
        <v>46312</v>
      </c>
      <c r="S647" s="34">
        <v>42061</v>
      </c>
      <c r="T647" s="34">
        <v>42065</v>
      </c>
      <c r="U647" s="29">
        <v>-11.1332</v>
      </c>
      <c r="V647" s="26">
        <v>12</v>
      </c>
      <c r="W647" s="29">
        <v>86.79</v>
      </c>
      <c r="X647" s="26">
        <v>90675</v>
      </c>
      <c r="Y647" s="35">
        <v>6.44</v>
      </c>
      <c r="Z647" s="1" t="s">
        <v>3012</v>
      </c>
      <c r="AA647" s="36">
        <v>3.1104000000000003</v>
      </c>
      <c r="AB647" s="54">
        <v>54.677700000000002</v>
      </c>
      <c r="AC647" s="54">
        <v>2.6760250000000001</v>
      </c>
      <c r="AD647" s="36">
        <v>89.652800000000013</v>
      </c>
    </row>
    <row r="648" spans="1:30" s="37" customFormat="1" ht="15.75" customHeight="1" x14ac:dyDescent="0.2">
      <c r="A648" s="26">
        <v>3063</v>
      </c>
      <c r="B648" s="27" t="s">
        <v>1391</v>
      </c>
      <c r="C648" s="27" t="s">
        <v>116</v>
      </c>
      <c r="D648" s="28">
        <v>7.0000000000000007E-2</v>
      </c>
      <c r="E648" s="29">
        <v>8.33</v>
      </c>
      <c r="F648" s="29">
        <v>1.99</v>
      </c>
      <c r="G648" s="30" t="s">
        <v>39</v>
      </c>
      <c r="H648" s="27" t="s">
        <v>40</v>
      </c>
      <c r="I648" s="27" t="s">
        <v>41</v>
      </c>
      <c r="J648" s="27" t="s">
        <v>42</v>
      </c>
      <c r="K648" s="27" t="s">
        <v>43</v>
      </c>
      <c r="L648" s="31" t="s">
        <v>1174</v>
      </c>
      <c r="M648" s="32">
        <v>0.52</v>
      </c>
      <c r="N648" s="27" t="s">
        <v>33</v>
      </c>
      <c r="O648" s="27" t="s">
        <v>60</v>
      </c>
      <c r="P648" s="27" t="s">
        <v>67</v>
      </c>
      <c r="Q648" s="27" t="s">
        <v>1392</v>
      </c>
      <c r="R648" s="33">
        <v>98034</v>
      </c>
      <c r="S648" s="34">
        <v>42061</v>
      </c>
      <c r="T648" s="34">
        <v>42063</v>
      </c>
      <c r="U648" s="29">
        <v>11.95</v>
      </c>
      <c r="V648" s="26">
        <v>6</v>
      </c>
      <c r="W648" s="29">
        <v>50.28</v>
      </c>
      <c r="X648" s="26">
        <v>88447</v>
      </c>
      <c r="Y648" s="35">
        <v>6.78</v>
      </c>
      <c r="Z648" s="1" t="s">
        <v>3013</v>
      </c>
      <c r="AA648" s="36">
        <v>3.4986000000000006</v>
      </c>
      <c r="AB648" s="54">
        <v>24.134399999999999</v>
      </c>
      <c r="AC648" s="54">
        <v>4.3576000000000006</v>
      </c>
      <c r="AD648" s="36">
        <v>32.8414</v>
      </c>
    </row>
    <row r="649" spans="1:30" s="37" customFormat="1" ht="15.75" customHeight="1" x14ac:dyDescent="0.2">
      <c r="A649" s="26">
        <v>2979</v>
      </c>
      <c r="B649" s="27" t="s">
        <v>818</v>
      </c>
      <c r="C649" s="27" t="s">
        <v>26</v>
      </c>
      <c r="D649" s="28">
        <v>0.02</v>
      </c>
      <c r="E649" s="29">
        <v>5.34</v>
      </c>
      <c r="F649" s="29">
        <v>2.99</v>
      </c>
      <c r="G649" s="30" t="s">
        <v>39</v>
      </c>
      <c r="H649" s="27" t="s">
        <v>94</v>
      </c>
      <c r="I649" s="27" t="s">
        <v>49</v>
      </c>
      <c r="J649" s="27" t="s">
        <v>72</v>
      </c>
      <c r="K649" s="27" t="s">
        <v>73</v>
      </c>
      <c r="L649" s="31" t="s">
        <v>1378</v>
      </c>
      <c r="M649" s="32">
        <v>0.38</v>
      </c>
      <c r="N649" s="27" t="s">
        <v>33</v>
      </c>
      <c r="O649" s="27" t="s">
        <v>53</v>
      </c>
      <c r="P649" s="27" t="s">
        <v>565</v>
      </c>
      <c r="Q649" s="27" t="s">
        <v>820</v>
      </c>
      <c r="R649" s="33">
        <v>58601</v>
      </c>
      <c r="S649" s="34">
        <v>42061</v>
      </c>
      <c r="T649" s="34">
        <v>42063</v>
      </c>
      <c r="U649" s="29">
        <v>5.2954999999999997</v>
      </c>
      <c r="V649" s="26">
        <v>6</v>
      </c>
      <c r="W649" s="29">
        <v>34.729999999999997</v>
      </c>
      <c r="X649" s="26">
        <v>86545</v>
      </c>
      <c r="Y649" s="35">
        <v>195.93</v>
      </c>
      <c r="Z649" s="1" t="s">
        <v>3012</v>
      </c>
      <c r="AA649" s="36">
        <v>0.64080000000000004</v>
      </c>
      <c r="AB649" s="54">
        <v>21.532599999999999</v>
      </c>
      <c r="AC649" s="54">
        <v>2.1995666666666667</v>
      </c>
      <c r="AD649" s="36">
        <v>25.803699999999999</v>
      </c>
    </row>
    <row r="650" spans="1:30" s="37" customFormat="1" ht="15.75" customHeight="1" x14ac:dyDescent="0.2">
      <c r="A650" s="26">
        <v>621</v>
      </c>
      <c r="B650" s="27" t="s">
        <v>1388</v>
      </c>
      <c r="C650" s="27" t="s">
        <v>116</v>
      </c>
      <c r="D650" s="28">
        <v>0.1</v>
      </c>
      <c r="E650" s="29">
        <v>6.88</v>
      </c>
      <c r="F650" s="29">
        <v>2</v>
      </c>
      <c r="G650" s="30" t="s">
        <v>39</v>
      </c>
      <c r="H650" s="27" t="s">
        <v>71</v>
      </c>
      <c r="I650" s="27" t="s">
        <v>49</v>
      </c>
      <c r="J650" s="27" t="s">
        <v>88</v>
      </c>
      <c r="K650" s="27" t="s">
        <v>51</v>
      </c>
      <c r="L650" s="31" t="s">
        <v>852</v>
      </c>
      <c r="M650" s="32">
        <v>0.39</v>
      </c>
      <c r="N650" s="27" t="s">
        <v>33</v>
      </c>
      <c r="O650" s="27" t="s">
        <v>111</v>
      </c>
      <c r="P650" s="27" t="s">
        <v>248</v>
      </c>
      <c r="Q650" s="27" t="s">
        <v>1389</v>
      </c>
      <c r="R650" s="33">
        <v>6111</v>
      </c>
      <c r="S650" s="34">
        <v>42061</v>
      </c>
      <c r="T650" s="34">
        <v>42062</v>
      </c>
      <c r="U650" s="29">
        <v>18.420000000000002</v>
      </c>
      <c r="V650" s="26">
        <v>5</v>
      </c>
      <c r="W650" s="29">
        <v>31.46</v>
      </c>
      <c r="X650" s="26">
        <v>91432</v>
      </c>
      <c r="Y650" s="35">
        <v>8.26</v>
      </c>
      <c r="Z650" s="1" t="s">
        <v>3014</v>
      </c>
      <c r="AA650" s="36">
        <v>3.4400000000000004</v>
      </c>
      <c r="AB650" s="54">
        <v>19.1906</v>
      </c>
      <c r="AC650" s="54">
        <v>2.4538799999999998</v>
      </c>
      <c r="AD650" s="36">
        <v>7.5999999999999979</v>
      </c>
    </row>
    <row r="651" spans="1:30" s="37" customFormat="1" ht="15.75" customHeight="1" x14ac:dyDescent="0.2">
      <c r="A651" s="26">
        <v>1665</v>
      </c>
      <c r="B651" s="27" t="s">
        <v>1383</v>
      </c>
      <c r="C651" s="27" t="s">
        <v>38</v>
      </c>
      <c r="D651" s="28">
        <v>0.1</v>
      </c>
      <c r="E651" s="29">
        <v>3.6</v>
      </c>
      <c r="F651" s="29">
        <v>2.2000000000000002</v>
      </c>
      <c r="G651" s="30" t="s">
        <v>39</v>
      </c>
      <c r="H651" s="27" t="s">
        <v>40</v>
      </c>
      <c r="I651" s="27" t="s">
        <v>49</v>
      </c>
      <c r="J651" s="27" t="s">
        <v>88</v>
      </c>
      <c r="K651" s="27" t="s">
        <v>51</v>
      </c>
      <c r="L651" s="31" t="s">
        <v>1384</v>
      </c>
      <c r="M651" s="32">
        <v>0.39</v>
      </c>
      <c r="N651" s="27" t="s">
        <v>33</v>
      </c>
      <c r="O651" s="27" t="s">
        <v>60</v>
      </c>
      <c r="P651" s="27" t="s">
        <v>90</v>
      </c>
      <c r="Q651" s="27" t="s">
        <v>1385</v>
      </c>
      <c r="R651" s="33">
        <v>92653</v>
      </c>
      <c r="S651" s="34">
        <v>42061</v>
      </c>
      <c r="T651" s="34">
        <v>42062</v>
      </c>
      <c r="U651" s="29">
        <v>-8.2799999999999994</v>
      </c>
      <c r="V651" s="26">
        <v>2</v>
      </c>
      <c r="W651" s="29">
        <v>6.97</v>
      </c>
      <c r="X651" s="26">
        <v>90678</v>
      </c>
      <c r="Y651" s="35">
        <v>499.96000000000004</v>
      </c>
      <c r="Z651" s="1" t="s">
        <v>3013</v>
      </c>
      <c r="AA651" s="36">
        <v>0.72000000000000008</v>
      </c>
      <c r="AB651" s="54">
        <v>4.2516999999999996</v>
      </c>
      <c r="AC651" s="54">
        <v>1.3591500000000001</v>
      </c>
      <c r="AD651" s="36">
        <v>12.329999999999998</v>
      </c>
    </row>
    <row r="652" spans="1:30" s="37" customFormat="1" ht="15.75" customHeight="1" x14ac:dyDescent="0.2">
      <c r="A652" s="26">
        <v>1005</v>
      </c>
      <c r="B652" s="27" t="s">
        <v>1397</v>
      </c>
      <c r="C652" s="27" t="s">
        <v>38</v>
      </c>
      <c r="D652" s="28">
        <v>0.02</v>
      </c>
      <c r="E652" s="29">
        <v>40.99</v>
      </c>
      <c r="F652" s="29">
        <v>17.48</v>
      </c>
      <c r="G652" s="30" t="s">
        <v>39</v>
      </c>
      <c r="H652" s="27" t="s">
        <v>3095</v>
      </c>
      <c r="I652" s="27" t="s">
        <v>49</v>
      </c>
      <c r="J652" s="27" t="s">
        <v>88</v>
      </c>
      <c r="K652" s="27" t="s">
        <v>73</v>
      </c>
      <c r="L652" s="31" t="s">
        <v>1398</v>
      </c>
      <c r="M652" s="32">
        <v>0.36</v>
      </c>
      <c r="N652" s="27" t="s">
        <v>33</v>
      </c>
      <c r="O652" s="27" t="s">
        <v>53</v>
      </c>
      <c r="P652" s="27" t="s">
        <v>103</v>
      </c>
      <c r="Q652" s="27" t="s">
        <v>1399</v>
      </c>
      <c r="R652" s="33">
        <v>60089</v>
      </c>
      <c r="S652" s="34">
        <v>42062</v>
      </c>
      <c r="T652" s="34">
        <v>42063</v>
      </c>
      <c r="U652" s="29">
        <v>551.09280000000001</v>
      </c>
      <c r="V652" s="26">
        <v>23</v>
      </c>
      <c r="W652" s="29">
        <v>950.43</v>
      </c>
      <c r="X652" s="26">
        <v>90044</v>
      </c>
      <c r="Y652" s="35">
        <v>11.96</v>
      </c>
      <c r="Z652" s="1" t="s">
        <v>3012</v>
      </c>
      <c r="AA652" s="36">
        <v>18.855400000000003</v>
      </c>
      <c r="AB652" s="54">
        <v>608.27519999999993</v>
      </c>
      <c r="AC652" s="54">
        <v>14.87629565217391</v>
      </c>
      <c r="AD652" s="36">
        <v>363.00179999999989</v>
      </c>
    </row>
    <row r="653" spans="1:30" s="37" customFormat="1" ht="15.75" customHeight="1" x14ac:dyDescent="0.2">
      <c r="A653" s="26">
        <v>1754</v>
      </c>
      <c r="B653" s="27" t="s">
        <v>1405</v>
      </c>
      <c r="C653" s="27" t="s">
        <v>48</v>
      </c>
      <c r="D653" s="28">
        <v>0.09</v>
      </c>
      <c r="E653" s="29">
        <v>95.99</v>
      </c>
      <c r="F653" s="29">
        <v>8.99</v>
      </c>
      <c r="G653" s="30" t="s">
        <v>39</v>
      </c>
      <c r="H653" s="27" t="s">
        <v>40</v>
      </c>
      <c r="I653" s="27" t="s">
        <v>41</v>
      </c>
      <c r="J653" s="27" t="s">
        <v>135</v>
      </c>
      <c r="K653" s="27" t="s">
        <v>73</v>
      </c>
      <c r="L653" s="31" t="s">
        <v>1408</v>
      </c>
      <c r="M653" s="32">
        <v>0.56999999999999995</v>
      </c>
      <c r="N653" s="27" t="s">
        <v>33</v>
      </c>
      <c r="O653" s="27" t="s">
        <v>60</v>
      </c>
      <c r="P653" s="27" t="s">
        <v>90</v>
      </c>
      <c r="Q653" s="27" t="s">
        <v>1407</v>
      </c>
      <c r="R653" s="33">
        <v>90503</v>
      </c>
      <c r="S653" s="34">
        <v>42062</v>
      </c>
      <c r="T653" s="34">
        <v>42066</v>
      </c>
      <c r="U653" s="29">
        <v>7.0329600000000001</v>
      </c>
      <c r="V653" s="26">
        <v>8</v>
      </c>
      <c r="W653" s="29">
        <v>627.28</v>
      </c>
      <c r="X653" s="26">
        <v>90178</v>
      </c>
      <c r="Y653" s="35">
        <v>40.97</v>
      </c>
      <c r="Z653" s="1" t="s">
        <v>3013</v>
      </c>
      <c r="AA653" s="36">
        <v>69.112799999999993</v>
      </c>
      <c r="AB653" s="54">
        <v>269.73040000000003</v>
      </c>
      <c r="AC653" s="54">
        <v>44.693699999999993</v>
      </c>
      <c r="AD653" s="36">
        <v>542.14423999999997</v>
      </c>
    </row>
    <row r="654" spans="1:30" s="37" customFormat="1" ht="15.75" customHeight="1" x14ac:dyDescent="0.2">
      <c r="A654" s="26">
        <v>1044</v>
      </c>
      <c r="B654" s="27" t="s">
        <v>1400</v>
      </c>
      <c r="C654" s="27" t="s">
        <v>38</v>
      </c>
      <c r="D654" s="28">
        <v>0</v>
      </c>
      <c r="E654" s="29">
        <v>6.68</v>
      </c>
      <c r="F654" s="29">
        <v>5.66</v>
      </c>
      <c r="G654" s="30" t="s">
        <v>39</v>
      </c>
      <c r="H654" s="27" t="s">
        <v>71</v>
      </c>
      <c r="I654" s="27" t="s">
        <v>49</v>
      </c>
      <c r="J654" s="27" t="s">
        <v>88</v>
      </c>
      <c r="K654" s="27" t="s">
        <v>73</v>
      </c>
      <c r="L654" s="31" t="s">
        <v>1050</v>
      </c>
      <c r="M654" s="32">
        <v>0.37</v>
      </c>
      <c r="N654" s="27" t="s">
        <v>33</v>
      </c>
      <c r="O654" s="27" t="s">
        <v>60</v>
      </c>
      <c r="P654" s="27" t="s">
        <v>90</v>
      </c>
      <c r="Q654" s="27" t="s">
        <v>100</v>
      </c>
      <c r="R654" s="33">
        <v>90004</v>
      </c>
      <c r="S654" s="34">
        <v>42062</v>
      </c>
      <c r="T654" s="34">
        <v>42063</v>
      </c>
      <c r="U654" s="29">
        <v>-76.94</v>
      </c>
      <c r="V654" s="26">
        <v>90</v>
      </c>
      <c r="W654" s="29">
        <v>617.4</v>
      </c>
      <c r="X654" s="26">
        <v>47813</v>
      </c>
      <c r="Y654" s="35">
        <v>6.68</v>
      </c>
      <c r="Z654" s="1" t="s">
        <v>3013</v>
      </c>
      <c r="AA654" s="36">
        <v>0</v>
      </c>
      <c r="AB654" s="54">
        <v>388.96199999999999</v>
      </c>
      <c r="AC654" s="54">
        <v>2.5381999999999998</v>
      </c>
      <c r="AD654" s="36">
        <v>688.68</v>
      </c>
    </row>
    <row r="655" spans="1:30" s="37" customFormat="1" ht="15.75" customHeight="1" x14ac:dyDescent="0.2">
      <c r="A655" s="26">
        <v>2466</v>
      </c>
      <c r="B655" s="27" t="s">
        <v>1409</v>
      </c>
      <c r="C655" s="27" t="s">
        <v>116</v>
      </c>
      <c r="D655" s="28">
        <v>0.02</v>
      </c>
      <c r="E655" s="29">
        <v>53.98</v>
      </c>
      <c r="F655" s="29">
        <v>5.5</v>
      </c>
      <c r="G655" s="30" t="s">
        <v>87</v>
      </c>
      <c r="H655" s="27" t="s">
        <v>94</v>
      </c>
      <c r="I655" s="27" t="s">
        <v>41</v>
      </c>
      <c r="J655" s="27" t="s">
        <v>42</v>
      </c>
      <c r="K655" s="27" t="s">
        <v>73</v>
      </c>
      <c r="L655" s="31" t="s">
        <v>1412</v>
      </c>
      <c r="M655" s="32">
        <v>0.62</v>
      </c>
      <c r="N655" s="27" t="s">
        <v>33</v>
      </c>
      <c r="O655" s="27" t="s">
        <v>53</v>
      </c>
      <c r="P655" s="27" t="s">
        <v>289</v>
      </c>
      <c r="Q655" s="27" t="s">
        <v>1411</v>
      </c>
      <c r="R655" s="33">
        <v>49783</v>
      </c>
      <c r="S655" s="34">
        <v>42062</v>
      </c>
      <c r="T655" s="34">
        <v>42063</v>
      </c>
      <c r="U655" s="29">
        <v>101.97199999999999</v>
      </c>
      <c r="V655" s="26">
        <v>8</v>
      </c>
      <c r="W655" s="29">
        <v>438.33</v>
      </c>
      <c r="X655" s="26">
        <v>88136</v>
      </c>
      <c r="Y655" s="35">
        <v>6.68</v>
      </c>
      <c r="Z655" s="1" t="s">
        <v>3012</v>
      </c>
      <c r="AA655" s="36">
        <v>8.6367999999999991</v>
      </c>
      <c r="AB655" s="54">
        <v>166.56539999999998</v>
      </c>
      <c r="AC655" s="54">
        <v>33.970574999999997</v>
      </c>
      <c r="AD655" s="36">
        <v>322.22120000000001</v>
      </c>
    </row>
    <row r="656" spans="1:30" s="37" customFormat="1" ht="15.75" customHeight="1" x14ac:dyDescent="0.2">
      <c r="A656" s="26">
        <v>751</v>
      </c>
      <c r="B656" s="27" t="s">
        <v>1402</v>
      </c>
      <c r="C656" s="27" t="s">
        <v>48</v>
      </c>
      <c r="D656" s="28">
        <v>0.06</v>
      </c>
      <c r="E656" s="29">
        <v>130.97999999999999</v>
      </c>
      <c r="F656" s="29">
        <v>54.74</v>
      </c>
      <c r="G656" s="30" t="s">
        <v>27</v>
      </c>
      <c r="H656" s="27" t="s">
        <v>94</v>
      </c>
      <c r="I656" s="27" t="s">
        <v>29</v>
      </c>
      <c r="J656" s="27" t="s">
        <v>117</v>
      </c>
      <c r="K656" s="27" t="s">
        <v>31</v>
      </c>
      <c r="L656" s="31" t="s">
        <v>1403</v>
      </c>
      <c r="M656" s="32">
        <v>0.69</v>
      </c>
      <c r="N656" s="27" t="s">
        <v>33</v>
      </c>
      <c r="O656" s="27" t="s">
        <v>34</v>
      </c>
      <c r="P656" s="27" t="s">
        <v>388</v>
      </c>
      <c r="Q656" s="27" t="s">
        <v>1404</v>
      </c>
      <c r="R656" s="33">
        <v>40324</v>
      </c>
      <c r="S656" s="34">
        <v>42062</v>
      </c>
      <c r="T656" s="34">
        <v>42069</v>
      </c>
      <c r="U656" s="29">
        <v>14.76</v>
      </c>
      <c r="V656" s="26">
        <v>3</v>
      </c>
      <c r="W656" s="29">
        <v>411.64</v>
      </c>
      <c r="X656" s="26">
        <v>91201</v>
      </c>
      <c r="Y656" s="35">
        <v>130.91999999999999</v>
      </c>
      <c r="Z656" s="1" t="s">
        <v>3011</v>
      </c>
      <c r="AA656" s="36">
        <v>23.576399999999996</v>
      </c>
      <c r="AB656" s="54">
        <v>127.60840000000002</v>
      </c>
      <c r="AC656" s="54">
        <v>94.677199999999999</v>
      </c>
      <c r="AD656" s="36">
        <v>318.56360000000001</v>
      </c>
    </row>
    <row r="657" spans="1:30" s="37" customFormat="1" ht="15.75" customHeight="1" x14ac:dyDescent="0.2">
      <c r="A657" s="26">
        <v>1047</v>
      </c>
      <c r="B657" s="27" t="s">
        <v>1401</v>
      </c>
      <c r="C657" s="27" t="s">
        <v>38</v>
      </c>
      <c r="D657" s="28">
        <v>0</v>
      </c>
      <c r="E657" s="29">
        <v>6.68</v>
      </c>
      <c r="F657" s="29">
        <v>5.66</v>
      </c>
      <c r="G657" s="30" t="s">
        <v>39</v>
      </c>
      <c r="H657" s="27" t="s">
        <v>71</v>
      </c>
      <c r="I657" s="27" t="s">
        <v>49</v>
      </c>
      <c r="J657" s="27" t="s">
        <v>88</v>
      </c>
      <c r="K657" s="27" t="s">
        <v>73</v>
      </c>
      <c r="L657" s="31" t="s">
        <v>1050</v>
      </c>
      <c r="M657" s="32">
        <v>0.37</v>
      </c>
      <c r="N657" s="27" t="s">
        <v>33</v>
      </c>
      <c r="O657" s="27" t="s">
        <v>111</v>
      </c>
      <c r="P657" s="27" t="s">
        <v>403</v>
      </c>
      <c r="Q657" s="27" t="s">
        <v>788</v>
      </c>
      <c r="R657" s="33">
        <v>2109</v>
      </c>
      <c r="S657" s="34">
        <v>42062</v>
      </c>
      <c r="T657" s="34">
        <v>42063</v>
      </c>
      <c r="U657" s="29">
        <v>-40.008800000000001</v>
      </c>
      <c r="V657" s="26">
        <v>23</v>
      </c>
      <c r="W657" s="29">
        <v>157.78</v>
      </c>
      <c r="X657" s="26">
        <v>89389</v>
      </c>
      <c r="Y657" s="35">
        <v>8.4600000000000009</v>
      </c>
      <c r="Z657" s="1" t="s">
        <v>3014</v>
      </c>
      <c r="AA657" s="36">
        <v>0</v>
      </c>
      <c r="AB657" s="54">
        <v>99.401399999999995</v>
      </c>
      <c r="AC657" s="54">
        <v>2.5382000000000002</v>
      </c>
      <c r="AD657" s="36">
        <v>192.12880000000001</v>
      </c>
    </row>
    <row r="658" spans="1:30" s="37" customFormat="1" ht="15.75" customHeight="1" x14ac:dyDescent="0.2">
      <c r="A658" s="26">
        <v>1754</v>
      </c>
      <c r="B658" s="27" t="s">
        <v>1405</v>
      </c>
      <c r="C658" s="27" t="s">
        <v>48</v>
      </c>
      <c r="D658" s="28">
        <v>0.04</v>
      </c>
      <c r="E658" s="29">
        <v>8.5</v>
      </c>
      <c r="F658" s="29">
        <v>1.99</v>
      </c>
      <c r="G658" s="30" t="s">
        <v>39</v>
      </c>
      <c r="H658" s="27" t="s">
        <v>40</v>
      </c>
      <c r="I658" s="27" t="s">
        <v>41</v>
      </c>
      <c r="J658" s="27" t="s">
        <v>42</v>
      </c>
      <c r="K658" s="27" t="s">
        <v>43</v>
      </c>
      <c r="L658" s="31" t="s">
        <v>1406</v>
      </c>
      <c r="M658" s="32">
        <v>0.49</v>
      </c>
      <c r="N658" s="27" t="s">
        <v>33</v>
      </c>
      <c r="O658" s="27" t="s">
        <v>60</v>
      </c>
      <c r="P658" s="27" t="s">
        <v>90</v>
      </c>
      <c r="Q658" s="27" t="s">
        <v>1407</v>
      </c>
      <c r="R658" s="33">
        <v>90503</v>
      </c>
      <c r="S658" s="34">
        <v>42062</v>
      </c>
      <c r="T658" s="34">
        <v>42063</v>
      </c>
      <c r="U658" s="29">
        <v>43.275199999999998</v>
      </c>
      <c r="V658" s="26">
        <v>14</v>
      </c>
      <c r="W658" s="29">
        <v>118.57</v>
      </c>
      <c r="X658" s="26">
        <v>90178</v>
      </c>
      <c r="Y658" s="35">
        <v>15.89</v>
      </c>
      <c r="Z658" s="1" t="s">
        <v>3013</v>
      </c>
      <c r="AA658" s="36">
        <v>4.7600000000000007</v>
      </c>
      <c r="AB658" s="54">
        <v>60.470700000000001</v>
      </c>
      <c r="AC658" s="54">
        <v>4.1499499999999996</v>
      </c>
      <c r="AD658" s="36">
        <v>68.544799999999995</v>
      </c>
    </row>
    <row r="659" spans="1:30" s="37" customFormat="1" ht="15.75" customHeight="1" x14ac:dyDescent="0.2">
      <c r="A659" s="26">
        <v>1916</v>
      </c>
      <c r="B659" s="27" t="s">
        <v>1394</v>
      </c>
      <c r="C659" s="27" t="s">
        <v>26</v>
      </c>
      <c r="D659" s="28">
        <v>0.03</v>
      </c>
      <c r="E659" s="29">
        <v>11.99</v>
      </c>
      <c r="F659" s="29">
        <v>5.99</v>
      </c>
      <c r="G659" s="30" t="s">
        <v>39</v>
      </c>
      <c r="H659" s="27" t="s">
        <v>71</v>
      </c>
      <c r="I659" s="27" t="s">
        <v>41</v>
      </c>
      <c r="J659" s="27" t="s">
        <v>57</v>
      </c>
      <c r="K659" s="27" t="s">
        <v>144</v>
      </c>
      <c r="L659" s="31" t="s">
        <v>1395</v>
      </c>
      <c r="M659" s="32">
        <v>0.36</v>
      </c>
      <c r="N659" s="27" t="s">
        <v>33</v>
      </c>
      <c r="O659" s="27" t="s">
        <v>34</v>
      </c>
      <c r="P659" s="27" t="s">
        <v>45</v>
      </c>
      <c r="Q659" s="27" t="s">
        <v>1396</v>
      </c>
      <c r="R659" s="33">
        <v>72209</v>
      </c>
      <c r="S659" s="34">
        <v>42062</v>
      </c>
      <c r="T659" s="34">
        <v>42063</v>
      </c>
      <c r="U659" s="29">
        <v>-216.02979999999999</v>
      </c>
      <c r="V659" s="26">
        <v>7</v>
      </c>
      <c r="W659" s="29">
        <v>83.72</v>
      </c>
      <c r="X659" s="26">
        <v>85893</v>
      </c>
      <c r="Y659" s="35">
        <v>95.899999999999991</v>
      </c>
      <c r="Z659" s="1" t="s">
        <v>3011</v>
      </c>
      <c r="AA659" s="36">
        <v>2.5179</v>
      </c>
      <c r="AB659" s="54">
        <v>53.580800000000004</v>
      </c>
      <c r="AC659" s="54">
        <v>4.3055999999999992</v>
      </c>
      <c r="AD659" s="36">
        <v>291.24189999999999</v>
      </c>
    </row>
    <row r="660" spans="1:30" s="37" customFormat="1" ht="15.75" customHeight="1" x14ac:dyDescent="0.2">
      <c r="A660" s="26">
        <v>1754</v>
      </c>
      <c r="B660" s="27" t="s">
        <v>1405</v>
      </c>
      <c r="C660" s="27" t="s">
        <v>48</v>
      </c>
      <c r="D660" s="28">
        <v>0.1</v>
      </c>
      <c r="E660" s="29">
        <v>15.99</v>
      </c>
      <c r="F660" s="29">
        <v>9.4</v>
      </c>
      <c r="G660" s="30" t="s">
        <v>39</v>
      </c>
      <c r="H660" s="27" t="s">
        <v>40</v>
      </c>
      <c r="I660" s="27" t="s">
        <v>41</v>
      </c>
      <c r="J660" s="27" t="s">
        <v>57</v>
      </c>
      <c r="K660" s="27" t="s">
        <v>73</v>
      </c>
      <c r="L660" s="31" t="s">
        <v>628</v>
      </c>
      <c r="M660" s="32">
        <v>0.49</v>
      </c>
      <c r="N660" s="27" t="s">
        <v>33</v>
      </c>
      <c r="O660" s="27" t="s">
        <v>60</v>
      </c>
      <c r="P660" s="27" t="s">
        <v>90</v>
      </c>
      <c r="Q660" s="27" t="s">
        <v>1407</v>
      </c>
      <c r="R660" s="33">
        <v>90503</v>
      </c>
      <c r="S660" s="34">
        <v>42062</v>
      </c>
      <c r="T660" s="34">
        <v>42062</v>
      </c>
      <c r="U660" s="29">
        <v>-36.214619999999996</v>
      </c>
      <c r="V660" s="26">
        <v>5</v>
      </c>
      <c r="W660" s="29">
        <v>79.47</v>
      </c>
      <c r="X660" s="26">
        <v>90178</v>
      </c>
      <c r="Y660" s="35">
        <v>2.04</v>
      </c>
      <c r="Z660" s="1" t="s">
        <v>3013</v>
      </c>
      <c r="AA660" s="36">
        <v>7.995000000000001</v>
      </c>
      <c r="AB660" s="54">
        <v>40.529699999999998</v>
      </c>
      <c r="AC660" s="54">
        <v>7.7880599999999998</v>
      </c>
      <c r="AD660" s="36">
        <v>98.289619999999999</v>
      </c>
    </row>
    <row r="661" spans="1:30" s="37" customFormat="1" ht="15.75" customHeight="1" x14ac:dyDescent="0.2">
      <c r="A661" s="26">
        <v>2466</v>
      </c>
      <c r="B661" s="27" t="s">
        <v>1409</v>
      </c>
      <c r="C661" s="27" t="s">
        <v>116</v>
      </c>
      <c r="D661" s="28">
        <v>0.05</v>
      </c>
      <c r="E661" s="29">
        <v>4.9800000000000004</v>
      </c>
      <c r="F661" s="29">
        <v>5.0199999999999996</v>
      </c>
      <c r="G661" s="30" t="s">
        <v>39</v>
      </c>
      <c r="H661" s="27" t="s">
        <v>94</v>
      </c>
      <c r="I661" s="27" t="s">
        <v>49</v>
      </c>
      <c r="J661" s="27" t="s">
        <v>88</v>
      </c>
      <c r="K661" s="27" t="s">
        <v>73</v>
      </c>
      <c r="L661" s="31" t="s">
        <v>1413</v>
      </c>
      <c r="M661" s="32">
        <v>0.38</v>
      </c>
      <c r="N661" s="27" t="s">
        <v>33</v>
      </c>
      <c r="O661" s="27" t="s">
        <v>53</v>
      </c>
      <c r="P661" s="27" t="s">
        <v>289</v>
      </c>
      <c r="Q661" s="27" t="s">
        <v>1411</v>
      </c>
      <c r="R661" s="33">
        <v>49783</v>
      </c>
      <c r="S661" s="34">
        <v>42062</v>
      </c>
      <c r="T661" s="34">
        <v>42062</v>
      </c>
      <c r="U661" s="29">
        <v>-16.634799999999998</v>
      </c>
      <c r="V661" s="26">
        <v>7</v>
      </c>
      <c r="W661" s="29">
        <v>38.11</v>
      </c>
      <c r="X661" s="26">
        <v>88136</v>
      </c>
      <c r="Y661" s="35">
        <v>53.959999999999994</v>
      </c>
      <c r="Z661" s="1" t="s">
        <v>3012</v>
      </c>
      <c r="AA661" s="36">
        <v>1.7430000000000001</v>
      </c>
      <c r="AB661" s="54">
        <v>23.6282</v>
      </c>
      <c r="AC661" s="54">
        <v>2.0688285714285715</v>
      </c>
      <c r="AD661" s="36">
        <v>47.9818</v>
      </c>
    </row>
    <row r="662" spans="1:30" s="37" customFormat="1" ht="15.75" customHeight="1" x14ac:dyDescent="0.2">
      <c r="A662" s="26">
        <v>2466</v>
      </c>
      <c r="B662" s="27" t="s">
        <v>1409</v>
      </c>
      <c r="C662" s="27" t="s">
        <v>116</v>
      </c>
      <c r="D662" s="28">
        <v>0.04</v>
      </c>
      <c r="E662" s="29">
        <v>2.08</v>
      </c>
      <c r="F662" s="29">
        <v>1.49</v>
      </c>
      <c r="G662" s="30" t="s">
        <v>39</v>
      </c>
      <c r="H662" s="27" t="s">
        <v>94</v>
      </c>
      <c r="I662" s="27" t="s">
        <v>49</v>
      </c>
      <c r="J662" s="27" t="s">
        <v>72</v>
      </c>
      <c r="K662" s="27" t="s">
        <v>73</v>
      </c>
      <c r="L662" s="31" t="s">
        <v>1410</v>
      </c>
      <c r="M662" s="32">
        <v>0.36</v>
      </c>
      <c r="N662" s="27" t="s">
        <v>33</v>
      </c>
      <c r="O662" s="27" t="s">
        <v>53</v>
      </c>
      <c r="P662" s="27" t="s">
        <v>289</v>
      </c>
      <c r="Q662" s="27" t="s">
        <v>1411</v>
      </c>
      <c r="R662" s="33">
        <v>49783</v>
      </c>
      <c r="S662" s="34">
        <v>42062</v>
      </c>
      <c r="T662" s="34">
        <v>42063</v>
      </c>
      <c r="U662" s="29">
        <v>-3.71956</v>
      </c>
      <c r="V662" s="26">
        <v>7</v>
      </c>
      <c r="W662" s="29">
        <v>14.77</v>
      </c>
      <c r="X662" s="26">
        <v>88136</v>
      </c>
      <c r="Y662" s="35">
        <v>4.9300000000000006</v>
      </c>
      <c r="Z662" s="1" t="s">
        <v>3012</v>
      </c>
      <c r="AA662" s="36">
        <v>0.58240000000000003</v>
      </c>
      <c r="AB662" s="54">
        <v>9.4527999999999999</v>
      </c>
      <c r="AC662" s="54">
        <v>0.75959999999999994</v>
      </c>
      <c r="AD662" s="36">
        <v>16.417159999999999</v>
      </c>
    </row>
    <row r="663" spans="1:30" s="37" customFormat="1" ht="15.75" customHeight="1" x14ac:dyDescent="0.2">
      <c r="A663" s="26">
        <v>3355</v>
      </c>
      <c r="B663" s="27" t="s">
        <v>1422</v>
      </c>
      <c r="C663" s="27" t="s">
        <v>48</v>
      </c>
      <c r="D663" s="28">
        <v>0.1</v>
      </c>
      <c r="E663" s="29">
        <v>125.99</v>
      </c>
      <c r="F663" s="29">
        <v>4.2</v>
      </c>
      <c r="G663" s="30" t="s">
        <v>39</v>
      </c>
      <c r="H663" s="27" t="s">
        <v>94</v>
      </c>
      <c r="I663" s="27" t="s">
        <v>41</v>
      </c>
      <c r="J663" s="27" t="s">
        <v>135</v>
      </c>
      <c r="K663" s="27" t="s">
        <v>73</v>
      </c>
      <c r="L663" s="31" t="s">
        <v>1426</v>
      </c>
      <c r="M663" s="32">
        <v>0.59</v>
      </c>
      <c r="N663" s="27" t="s">
        <v>33</v>
      </c>
      <c r="O663" s="27" t="s">
        <v>60</v>
      </c>
      <c r="P663" s="27" t="s">
        <v>90</v>
      </c>
      <c r="Q663" s="27" t="s">
        <v>1424</v>
      </c>
      <c r="R663" s="33">
        <v>93010</v>
      </c>
      <c r="S663" s="34">
        <v>42063</v>
      </c>
      <c r="T663" s="34">
        <v>42063</v>
      </c>
      <c r="U663" s="29">
        <v>372.40199999999999</v>
      </c>
      <c r="V663" s="26">
        <v>7</v>
      </c>
      <c r="W663" s="29">
        <v>681.42</v>
      </c>
      <c r="X663" s="26">
        <v>88587</v>
      </c>
      <c r="Y663" s="35">
        <v>284.95000000000005</v>
      </c>
      <c r="Z663" s="1" t="s">
        <v>3013</v>
      </c>
      <c r="AA663" s="36">
        <v>88.192999999999998</v>
      </c>
      <c r="AB663" s="54">
        <v>279.38220000000001</v>
      </c>
      <c r="AC663" s="54">
        <v>57.433971428571425</v>
      </c>
      <c r="AD663" s="36">
        <v>216.625</v>
      </c>
    </row>
    <row r="664" spans="1:30" s="37" customFormat="1" ht="15.75" customHeight="1" x14ac:dyDescent="0.2">
      <c r="A664" s="26">
        <v>972</v>
      </c>
      <c r="B664" s="27" t="s">
        <v>1414</v>
      </c>
      <c r="C664" s="27" t="s">
        <v>48</v>
      </c>
      <c r="D664" s="28">
        <v>0.03</v>
      </c>
      <c r="E664" s="29">
        <v>284.98</v>
      </c>
      <c r="F664" s="29">
        <v>69.55</v>
      </c>
      <c r="G664" s="30" t="s">
        <v>27</v>
      </c>
      <c r="H664" s="27" t="s">
        <v>94</v>
      </c>
      <c r="I664" s="27" t="s">
        <v>29</v>
      </c>
      <c r="J664" s="27" t="s">
        <v>109</v>
      </c>
      <c r="K664" s="27" t="s">
        <v>58</v>
      </c>
      <c r="L664" s="31" t="s">
        <v>1415</v>
      </c>
      <c r="M664" s="32">
        <v>0.6</v>
      </c>
      <c r="N664" s="27" t="s">
        <v>33</v>
      </c>
      <c r="O664" s="27" t="s">
        <v>60</v>
      </c>
      <c r="P664" s="27" t="s">
        <v>90</v>
      </c>
      <c r="Q664" s="27" t="s">
        <v>1416</v>
      </c>
      <c r="R664" s="33">
        <v>92503</v>
      </c>
      <c r="S664" s="34">
        <v>42063</v>
      </c>
      <c r="T664" s="34">
        <v>42068</v>
      </c>
      <c r="U664" s="29">
        <v>-116.584</v>
      </c>
      <c r="V664" s="26">
        <v>2</v>
      </c>
      <c r="W664" s="29">
        <v>619.38</v>
      </c>
      <c r="X664" s="26">
        <v>87259</v>
      </c>
      <c r="Y664" s="35">
        <v>12.99</v>
      </c>
      <c r="Z664" s="1" t="s">
        <v>3013</v>
      </c>
      <c r="AA664" s="36">
        <v>17.098800000000001</v>
      </c>
      <c r="AB664" s="54">
        <v>247.75200000000001</v>
      </c>
      <c r="AC664" s="54">
        <v>185.81399999999999</v>
      </c>
      <c r="AD664" s="36">
        <v>649.3152</v>
      </c>
    </row>
    <row r="665" spans="1:30" s="37" customFormat="1" ht="15.75" customHeight="1" x14ac:dyDescent="0.2">
      <c r="A665" s="26">
        <v>2908</v>
      </c>
      <c r="B665" s="27" t="s">
        <v>325</v>
      </c>
      <c r="C665" s="27" t="s">
        <v>3094</v>
      </c>
      <c r="D665" s="28">
        <v>0.05</v>
      </c>
      <c r="E665" s="29">
        <v>34.979999999999997</v>
      </c>
      <c r="F665" s="29">
        <v>7.53</v>
      </c>
      <c r="G665" s="30" t="s">
        <v>87</v>
      </c>
      <c r="H665" s="27" t="s">
        <v>71</v>
      </c>
      <c r="I665" s="27" t="s">
        <v>41</v>
      </c>
      <c r="J665" s="27" t="s">
        <v>42</v>
      </c>
      <c r="K665" s="27" t="s">
        <v>73</v>
      </c>
      <c r="L665" s="31" t="s">
        <v>1439</v>
      </c>
      <c r="M665" s="32">
        <v>0.76</v>
      </c>
      <c r="N665" s="27" t="s">
        <v>33</v>
      </c>
      <c r="O665" s="27" t="s">
        <v>111</v>
      </c>
      <c r="P665" s="27" t="s">
        <v>317</v>
      </c>
      <c r="Q665" s="27" t="s">
        <v>327</v>
      </c>
      <c r="R665" s="33">
        <v>44125</v>
      </c>
      <c r="S665" s="34">
        <v>42063</v>
      </c>
      <c r="T665" s="34">
        <v>42066</v>
      </c>
      <c r="U665" s="29">
        <v>-32.666400000000003</v>
      </c>
      <c r="V665" s="26">
        <v>16</v>
      </c>
      <c r="W665" s="29">
        <v>581.08000000000004</v>
      </c>
      <c r="X665" s="26">
        <v>88157</v>
      </c>
      <c r="Y665" s="35">
        <v>14.11</v>
      </c>
      <c r="Z665" s="1" t="s">
        <v>3014</v>
      </c>
      <c r="AA665" s="36">
        <v>27.983999999999998</v>
      </c>
      <c r="AB665" s="54">
        <v>139.45920000000001</v>
      </c>
      <c r="AC665" s="54">
        <v>27.601300000000002</v>
      </c>
      <c r="AD665" s="36">
        <v>578.2324000000001</v>
      </c>
    </row>
    <row r="666" spans="1:30" s="37" customFormat="1" ht="15.75" customHeight="1" x14ac:dyDescent="0.2">
      <c r="A666" s="26">
        <v>3355</v>
      </c>
      <c r="B666" s="27" t="s">
        <v>1422</v>
      </c>
      <c r="C666" s="27" t="s">
        <v>48</v>
      </c>
      <c r="D666" s="28">
        <v>0.1</v>
      </c>
      <c r="E666" s="29">
        <v>120.98</v>
      </c>
      <c r="F666" s="29">
        <v>9.07</v>
      </c>
      <c r="G666" s="30" t="s">
        <v>39</v>
      </c>
      <c r="H666" s="27" t="s">
        <v>94</v>
      </c>
      <c r="I666" s="27" t="s">
        <v>49</v>
      </c>
      <c r="J666" s="27" t="s">
        <v>72</v>
      </c>
      <c r="K666" s="27" t="s">
        <v>73</v>
      </c>
      <c r="L666" s="31" t="s">
        <v>1423</v>
      </c>
      <c r="M666" s="32">
        <v>0.35</v>
      </c>
      <c r="N666" s="27" t="s">
        <v>33</v>
      </c>
      <c r="O666" s="27" t="s">
        <v>60</v>
      </c>
      <c r="P666" s="27" t="s">
        <v>90</v>
      </c>
      <c r="Q666" s="27" t="s">
        <v>1424</v>
      </c>
      <c r="R666" s="33">
        <v>93010</v>
      </c>
      <c r="S666" s="34">
        <v>42063</v>
      </c>
      <c r="T666" s="34">
        <v>42072</v>
      </c>
      <c r="U666" s="29">
        <v>379.3965</v>
      </c>
      <c r="V666" s="26">
        <v>5</v>
      </c>
      <c r="W666" s="29">
        <v>549.85</v>
      </c>
      <c r="X666" s="26">
        <v>88587</v>
      </c>
      <c r="Y666" s="35">
        <v>19.170000000000002</v>
      </c>
      <c r="Z666" s="1" t="s">
        <v>3013</v>
      </c>
      <c r="AA666" s="36">
        <v>60.49</v>
      </c>
      <c r="AB666" s="54">
        <v>357.40250000000003</v>
      </c>
      <c r="AC666" s="54">
        <v>38.4895</v>
      </c>
      <c r="AD666" s="36">
        <v>100.89350000000002</v>
      </c>
    </row>
    <row r="667" spans="1:30" s="37" customFormat="1" ht="15.75" customHeight="1" x14ac:dyDescent="0.2">
      <c r="A667" s="26">
        <v>719</v>
      </c>
      <c r="B667" s="27" t="s">
        <v>1435</v>
      </c>
      <c r="C667" s="27" t="s">
        <v>3094</v>
      </c>
      <c r="D667" s="28">
        <v>0.03</v>
      </c>
      <c r="E667" s="29">
        <v>95.43</v>
      </c>
      <c r="F667" s="29">
        <v>19.989999999999998</v>
      </c>
      <c r="G667" s="30" t="s">
        <v>39</v>
      </c>
      <c r="H667" s="27" t="s">
        <v>94</v>
      </c>
      <c r="I667" s="27" t="s">
        <v>49</v>
      </c>
      <c r="J667" s="27" t="s">
        <v>78</v>
      </c>
      <c r="K667" s="27" t="s">
        <v>73</v>
      </c>
      <c r="L667" s="31" t="s">
        <v>1437</v>
      </c>
      <c r="M667" s="32">
        <v>0.79</v>
      </c>
      <c r="N667" s="27" t="s">
        <v>33</v>
      </c>
      <c r="O667" s="27" t="s">
        <v>60</v>
      </c>
      <c r="P667" s="27" t="s">
        <v>296</v>
      </c>
      <c r="Q667" s="27" t="s">
        <v>1436</v>
      </c>
      <c r="R667" s="33">
        <v>89041</v>
      </c>
      <c r="S667" s="34">
        <v>42063</v>
      </c>
      <c r="T667" s="34">
        <v>42065</v>
      </c>
      <c r="U667" s="29">
        <v>-79.320800000000006</v>
      </c>
      <c r="V667" s="26">
        <v>2</v>
      </c>
      <c r="W667" s="29">
        <v>206.09</v>
      </c>
      <c r="X667" s="26">
        <v>89344</v>
      </c>
      <c r="Y667" s="35">
        <v>2.83</v>
      </c>
      <c r="Z667" s="1" t="s">
        <v>3013</v>
      </c>
      <c r="AA667" s="36">
        <v>5.7258000000000004</v>
      </c>
      <c r="AB667" s="54">
        <v>43.278899999999993</v>
      </c>
      <c r="AC667" s="54">
        <v>81.405550000000005</v>
      </c>
      <c r="AD667" s="36">
        <v>259.69499999999999</v>
      </c>
    </row>
    <row r="668" spans="1:30" s="37" customFormat="1" ht="15.75" customHeight="1" x14ac:dyDescent="0.2">
      <c r="A668" s="26">
        <v>2861</v>
      </c>
      <c r="B668" s="27" t="s">
        <v>1430</v>
      </c>
      <c r="C668" s="27" t="s">
        <v>116</v>
      </c>
      <c r="D668" s="28">
        <v>0.05</v>
      </c>
      <c r="E668" s="29">
        <v>20.99</v>
      </c>
      <c r="F668" s="29">
        <v>4.8099999999999996</v>
      </c>
      <c r="G668" s="30" t="s">
        <v>39</v>
      </c>
      <c r="H668" s="27" t="s">
        <v>94</v>
      </c>
      <c r="I668" s="27" t="s">
        <v>41</v>
      </c>
      <c r="J668" s="27" t="s">
        <v>135</v>
      </c>
      <c r="K668" s="27" t="s">
        <v>144</v>
      </c>
      <c r="L668" s="31" t="s">
        <v>1431</v>
      </c>
      <c r="M668" s="32">
        <v>0.57999999999999996</v>
      </c>
      <c r="N668" s="27" t="s">
        <v>33</v>
      </c>
      <c r="O668" s="27" t="s">
        <v>53</v>
      </c>
      <c r="P668" s="27" t="s">
        <v>537</v>
      </c>
      <c r="Q668" s="27" t="s">
        <v>1210</v>
      </c>
      <c r="R668" s="33">
        <v>67601</v>
      </c>
      <c r="S668" s="34">
        <v>42063</v>
      </c>
      <c r="T668" s="34">
        <v>42063</v>
      </c>
      <c r="U668" s="29">
        <v>4.9017600000000003</v>
      </c>
      <c r="V668" s="26">
        <v>11</v>
      </c>
      <c r="W668" s="29">
        <v>199.43</v>
      </c>
      <c r="X668" s="26">
        <v>88280</v>
      </c>
      <c r="Y668" s="35">
        <v>120.88000000000001</v>
      </c>
      <c r="Z668" s="1" t="s">
        <v>3012</v>
      </c>
      <c r="AA668" s="36">
        <v>11.544499999999999</v>
      </c>
      <c r="AB668" s="54">
        <v>83.760600000000011</v>
      </c>
      <c r="AC668" s="54">
        <v>10.515399999999998</v>
      </c>
      <c r="AD668" s="36">
        <v>178.17374000000001</v>
      </c>
    </row>
    <row r="669" spans="1:30" s="37" customFormat="1" ht="15.75" customHeight="1" x14ac:dyDescent="0.2">
      <c r="A669" s="26">
        <v>1482</v>
      </c>
      <c r="B669" s="27" t="s">
        <v>1438</v>
      </c>
      <c r="C669" s="27" t="s">
        <v>3094</v>
      </c>
      <c r="D669" s="28">
        <v>0.05</v>
      </c>
      <c r="E669" s="29">
        <v>9.65</v>
      </c>
      <c r="F669" s="29">
        <v>6.22</v>
      </c>
      <c r="G669" s="30" t="s">
        <v>39</v>
      </c>
      <c r="H669" s="27" t="s">
        <v>94</v>
      </c>
      <c r="I669" s="27" t="s">
        <v>29</v>
      </c>
      <c r="J669" s="27" t="s">
        <v>126</v>
      </c>
      <c r="K669" s="27" t="s">
        <v>73</v>
      </c>
      <c r="L669" s="31" t="s">
        <v>1281</v>
      </c>
      <c r="M669" s="32">
        <v>0.55000000000000004</v>
      </c>
      <c r="N669" s="27" t="s">
        <v>33</v>
      </c>
      <c r="O669" s="27" t="s">
        <v>53</v>
      </c>
      <c r="P669" s="27" t="s">
        <v>289</v>
      </c>
      <c r="Q669" s="27" t="s">
        <v>994</v>
      </c>
      <c r="R669" s="33">
        <v>48708</v>
      </c>
      <c r="S669" s="34">
        <v>42063</v>
      </c>
      <c r="T669" s="34">
        <v>42063</v>
      </c>
      <c r="U669" s="29">
        <v>-14.6432</v>
      </c>
      <c r="V669" s="26">
        <v>15</v>
      </c>
      <c r="W669" s="29">
        <v>151.34</v>
      </c>
      <c r="X669" s="26">
        <v>91363</v>
      </c>
      <c r="Y669" s="35">
        <v>8.24</v>
      </c>
      <c r="Z669" s="1" t="s">
        <v>3012</v>
      </c>
      <c r="AA669" s="36">
        <v>7.2375000000000007</v>
      </c>
      <c r="AB669" s="54">
        <v>68.102999999999994</v>
      </c>
      <c r="AC669" s="54">
        <v>5.5491333333333346</v>
      </c>
      <c r="AD669" s="36">
        <v>152.5257</v>
      </c>
    </row>
    <row r="670" spans="1:30" s="37" customFormat="1" ht="15.75" customHeight="1" x14ac:dyDescent="0.2">
      <c r="A670" s="26">
        <v>2931</v>
      </c>
      <c r="B670" s="27" t="s">
        <v>1441</v>
      </c>
      <c r="C670" s="27" t="s">
        <v>3094</v>
      </c>
      <c r="D670" s="28">
        <v>0.1</v>
      </c>
      <c r="E670" s="29">
        <v>11.55</v>
      </c>
      <c r="F670" s="29">
        <v>2.36</v>
      </c>
      <c r="G670" s="30" t="s">
        <v>39</v>
      </c>
      <c r="H670" s="27" t="s">
        <v>3095</v>
      </c>
      <c r="I670" s="27" t="s">
        <v>49</v>
      </c>
      <c r="J670" s="27" t="s">
        <v>50</v>
      </c>
      <c r="K670" s="27" t="s">
        <v>51</v>
      </c>
      <c r="L670" s="31" t="s">
        <v>380</v>
      </c>
      <c r="M670" s="32">
        <v>0.55000000000000004</v>
      </c>
      <c r="N670" s="27" t="s">
        <v>33</v>
      </c>
      <c r="O670" s="27" t="s">
        <v>60</v>
      </c>
      <c r="P670" s="27" t="s">
        <v>90</v>
      </c>
      <c r="Q670" s="27" t="s">
        <v>1442</v>
      </c>
      <c r="R670" s="33">
        <v>95630</v>
      </c>
      <c r="S670" s="34">
        <v>42063</v>
      </c>
      <c r="T670" s="34">
        <v>42063</v>
      </c>
      <c r="U670" s="29">
        <v>69.767200000000003</v>
      </c>
      <c r="V670" s="26">
        <v>12</v>
      </c>
      <c r="W670" s="29">
        <v>135.77000000000001</v>
      </c>
      <c r="X670" s="26">
        <v>87619</v>
      </c>
      <c r="Y670" s="35">
        <v>125.89</v>
      </c>
      <c r="Z670" s="1" t="s">
        <v>3013</v>
      </c>
      <c r="AA670" s="36">
        <v>13.86</v>
      </c>
      <c r="AB670" s="54">
        <v>61.096499999999999</v>
      </c>
      <c r="AC670" s="54">
        <v>6.2227916666666676</v>
      </c>
      <c r="AD670" s="36">
        <v>49.782800000000009</v>
      </c>
    </row>
    <row r="671" spans="1:30" s="37" customFormat="1" ht="15.75" customHeight="1" x14ac:dyDescent="0.2">
      <c r="A671" s="26">
        <v>2587</v>
      </c>
      <c r="B671" s="27" t="s">
        <v>1427</v>
      </c>
      <c r="C671" s="27" t="s">
        <v>116</v>
      </c>
      <c r="D671" s="28">
        <v>0.01</v>
      </c>
      <c r="E671" s="29">
        <v>6.48</v>
      </c>
      <c r="F671" s="29">
        <v>6.57</v>
      </c>
      <c r="G671" s="30" t="s">
        <v>87</v>
      </c>
      <c r="H671" s="27" t="s">
        <v>71</v>
      </c>
      <c r="I671" s="27" t="s">
        <v>49</v>
      </c>
      <c r="J671" s="27" t="s">
        <v>88</v>
      </c>
      <c r="K671" s="27" t="s">
        <v>73</v>
      </c>
      <c r="L671" s="31" t="s">
        <v>1428</v>
      </c>
      <c r="M671" s="32">
        <v>0.37</v>
      </c>
      <c r="N671" s="27" t="s">
        <v>33</v>
      </c>
      <c r="O671" s="27" t="s">
        <v>53</v>
      </c>
      <c r="P671" s="27" t="s">
        <v>357</v>
      </c>
      <c r="Q671" s="27" t="s">
        <v>1429</v>
      </c>
      <c r="R671" s="33">
        <v>54220</v>
      </c>
      <c r="S671" s="34">
        <v>42063</v>
      </c>
      <c r="T671" s="34">
        <v>42063</v>
      </c>
      <c r="U671" s="29">
        <v>-46.5244</v>
      </c>
      <c r="V671" s="26">
        <v>18</v>
      </c>
      <c r="W671" s="29">
        <v>127.83</v>
      </c>
      <c r="X671" s="26">
        <v>91166</v>
      </c>
      <c r="Y671" s="35">
        <v>6.4700000000000006</v>
      </c>
      <c r="Z671" s="1" t="s">
        <v>3012</v>
      </c>
      <c r="AA671" s="36">
        <v>1.1664000000000001</v>
      </c>
      <c r="AB671" s="54">
        <v>80.532899999999998</v>
      </c>
      <c r="AC671" s="54">
        <v>2.6276166666666665</v>
      </c>
      <c r="AD671" s="36">
        <v>166.61799999999999</v>
      </c>
    </row>
    <row r="672" spans="1:30" s="37" customFormat="1" ht="15.75" customHeight="1" x14ac:dyDescent="0.2">
      <c r="A672" s="26">
        <v>719</v>
      </c>
      <c r="B672" s="27" t="s">
        <v>1435</v>
      </c>
      <c r="C672" s="27" t="s">
        <v>3094</v>
      </c>
      <c r="D672" s="28">
        <v>0</v>
      </c>
      <c r="E672" s="29">
        <v>8.5</v>
      </c>
      <c r="F672" s="29">
        <v>1.99</v>
      </c>
      <c r="G672" s="30" t="s">
        <v>39</v>
      </c>
      <c r="H672" s="27" t="s">
        <v>94</v>
      </c>
      <c r="I672" s="27" t="s">
        <v>41</v>
      </c>
      <c r="J672" s="27" t="s">
        <v>42</v>
      </c>
      <c r="K672" s="27" t="s">
        <v>43</v>
      </c>
      <c r="L672" s="31" t="s">
        <v>1406</v>
      </c>
      <c r="M672" s="32">
        <v>0.49</v>
      </c>
      <c r="N672" s="27" t="s">
        <v>33</v>
      </c>
      <c r="O672" s="27" t="s">
        <v>60</v>
      </c>
      <c r="P672" s="27" t="s">
        <v>296</v>
      </c>
      <c r="Q672" s="27" t="s">
        <v>1436</v>
      </c>
      <c r="R672" s="33">
        <v>89041</v>
      </c>
      <c r="S672" s="34">
        <v>42063</v>
      </c>
      <c r="T672" s="34">
        <v>42065</v>
      </c>
      <c r="U672" s="29">
        <v>71.735600000000005</v>
      </c>
      <c r="V672" s="26">
        <v>14</v>
      </c>
      <c r="W672" s="29">
        <v>122.25</v>
      </c>
      <c r="X672" s="26">
        <v>89344</v>
      </c>
      <c r="Y672" s="35">
        <v>20.939999999999998</v>
      </c>
      <c r="Z672" s="1" t="s">
        <v>3013</v>
      </c>
      <c r="AA672" s="36">
        <v>0</v>
      </c>
      <c r="AB672" s="54">
        <v>62.347500000000004</v>
      </c>
      <c r="AC672" s="54">
        <v>4.2787500000000005</v>
      </c>
      <c r="AD672" s="36">
        <v>48.5244</v>
      </c>
    </row>
    <row r="673" spans="1:30" s="37" customFormat="1" ht="15.75" customHeight="1" x14ac:dyDescent="0.2">
      <c r="A673" s="26">
        <v>3151</v>
      </c>
      <c r="B673" s="27" t="s">
        <v>953</v>
      </c>
      <c r="C673" s="27" t="s">
        <v>116</v>
      </c>
      <c r="D673" s="28">
        <v>0.04</v>
      </c>
      <c r="E673" s="29">
        <v>17.239999999999998</v>
      </c>
      <c r="F673" s="29">
        <v>3.26</v>
      </c>
      <c r="G673" s="30" t="s">
        <v>39</v>
      </c>
      <c r="H673" s="27" t="s">
        <v>71</v>
      </c>
      <c r="I673" s="27" t="s">
        <v>49</v>
      </c>
      <c r="J673" s="27" t="s">
        <v>568</v>
      </c>
      <c r="K673" s="27" t="s">
        <v>43</v>
      </c>
      <c r="L673" s="31" t="s">
        <v>1434</v>
      </c>
      <c r="M673" s="32">
        <v>0.56000000000000005</v>
      </c>
      <c r="N673" s="27" t="s">
        <v>33</v>
      </c>
      <c r="O673" s="27" t="s">
        <v>60</v>
      </c>
      <c r="P673" s="27" t="s">
        <v>90</v>
      </c>
      <c r="Q673" s="27" t="s">
        <v>954</v>
      </c>
      <c r="R673" s="33">
        <v>92277</v>
      </c>
      <c r="S673" s="34">
        <v>42063</v>
      </c>
      <c r="T673" s="34">
        <v>42063</v>
      </c>
      <c r="U673" s="29">
        <v>47.73</v>
      </c>
      <c r="V673" s="26">
        <v>7</v>
      </c>
      <c r="W673" s="29">
        <v>119.6</v>
      </c>
      <c r="X673" s="26">
        <v>88546</v>
      </c>
      <c r="Y673" s="35">
        <v>6.37</v>
      </c>
      <c r="Z673" s="1" t="s">
        <v>3013</v>
      </c>
      <c r="AA673" s="36">
        <v>4.8271999999999995</v>
      </c>
      <c r="AB673" s="54">
        <v>52.623999999999988</v>
      </c>
      <c r="AC673" s="54">
        <v>9.5680000000000014</v>
      </c>
      <c r="AD673" s="36">
        <v>63.782800000000002</v>
      </c>
    </row>
    <row r="674" spans="1:30" s="37" customFormat="1" ht="15.75" customHeight="1" x14ac:dyDescent="0.2">
      <c r="A674" s="26">
        <v>2923</v>
      </c>
      <c r="B674" s="27" t="s">
        <v>1432</v>
      </c>
      <c r="C674" s="27" t="s">
        <v>116</v>
      </c>
      <c r="D674" s="28">
        <v>0</v>
      </c>
      <c r="E674" s="29">
        <v>6.37</v>
      </c>
      <c r="F674" s="29">
        <v>5.19</v>
      </c>
      <c r="G674" s="30" t="s">
        <v>39</v>
      </c>
      <c r="H674" s="27" t="s">
        <v>40</v>
      </c>
      <c r="I674" s="27" t="s">
        <v>49</v>
      </c>
      <c r="J674" s="27" t="s">
        <v>72</v>
      </c>
      <c r="K674" s="27" t="s">
        <v>73</v>
      </c>
      <c r="L674" s="31" t="s">
        <v>907</v>
      </c>
      <c r="M674" s="32">
        <v>0.38</v>
      </c>
      <c r="N674" s="27" t="s">
        <v>33</v>
      </c>
      <c r="O674" s="27" t="s">
        <v>111</v>
      </c>
      <c r="P674" s="27" t="s">
        <v>418</v>
      </c>
      <c r="Q674" s="27" t="s">
        <v>1433</v>
      </c>
      <c r="R674" s="33">
        <v>21740</v>
      </c>
      <c r="S674" s="34">
        <v>42063</v>
      </c>
      <c r="T674" s="34">
        <v>42065</v>
      </c>
      <c r="U674" s="29">
        <v>-27.1492</v>
      </c>
      <c r="V674" s="26">
        <v>15</v>
      </c>
      <c r="W674" s="29">
        <v>99.75</v>
      </c>
      <c r="X674" s="26">
        <v>86592</v>
      </c>
      <c r="Y674" s="35">
        <v>17.2</v>
      </c>
      <c r="Z674" s="1" t="s">
        <v>3014</v>
      </c>
      <c r="AA674" s="36">
        <v>0</v>
      </c>
      <c r="AB674" s="54">
        <v>61.844999999999999</v>
      </c>
      <c r="AC674" s="54">
        <v>2.5270000000000001</v>
      </c>
      <c r="AD674" s="36">
        <v>121.7092</v>
      </c>
    </row>
    <row r="675" spans="1:30" s="37" customFormat="1" ht="15.75" customHeight="1" x14ac:dyDescent="0.2">
      <c r="A675" s="26">
        <v>3075</v>
      </c>
      <c r="B675" s="27" t="s">
        <v>1419</v>
      </c>
      <c r="C675" s="27" t="s">
        <v>48</v>
      </c>
      <c r="D675" s="28">
        <v>0.06</v>
      </c>
      <c r="E675" s="29">
        <v>19.23</v>
      </c>
      <c r="F675" s="29">
        <v>6.15</v>
      </c>
      <c r="G675" s="30" t="s">
        <v>39</v>
      </c>
      <c r="H675" s="27" t="s">
        <v>94</v>
      </c>
      <c r="I675" s="27" t="s">
        <v>29</v>
      </c>
      <c r="J675" s="27" t="s">
        <v>126</v>
      </c>
      <c r="K675" s="27" t="s">
        <v>43</v>
      </c>
      <c r="L675" s="31" t="s">
        <v>1277</v>
      </c>
      <c r="M675" s="32">
        <v>0.44</v>
      </c>
      <c r="N675" s="27" t="s">
        <v>33</v>
      </c>
      <c r="O675" s="27" t="s">
        <v>60</v>
      </c>
      <c r="P675" s="27" t="s">
        <v>90</v>
      </c>
      <c r="Q675" s="27" t="s">
        <v>100</v>
      </c>
      <c r="R675" s="33">
        <v>90061</v>
      </c>
      <c r="S675" s="34">
        <v>42063</v>
      </c>
      <c r="T675" s="34">
        <v>42063</v>
      </c>
      <c r="U675" s="29">
        <v>-25.38</v>
      </c>
      <c r="V675" s="26">
        <v>4</v>
      </c>
      <c r="W675" s="29">
        <v>84.6</v>
      </c>
      <c r="X675" s="26">
        <v>14756</v>
      </c>
      <c r="Y675" s="35">
        <v>8.5</v>
      </c>
      <c r="Z675" s="1" t="s">
        <v>3013</v>
      </c>
      <c r="AA675" s="36">
        <v>4.6151999999999997</v>
      </c>
      <c r="AB675" s="54">
        <v>47.376000000000005</v>
      </c>
      <c r="AC675" s="54">
        <v>9.3059999999999992</v>
      </c>
      <c r="AD675" s="36">
        <v>99.214799999999997</v>
      </c>
    </row>
    <row r="676" spans="1:30" s="37" customFormat="1" ht="15.75" customHeight="1" x14ac:dyDescent="0.2">
      <c r="A676" s="26">
        <v>2220</v>
      </c>
      <c r="B676" s="27" t="s">
        <v>1417</v>
      </c>
      <c r="C676" s="27" t="s">
        <v>48</v>
      </c>
      <c r="D676" s="28">
        <v>0.09</v>
      </c>
      <c r="E676" s="29">
        <v>14.2</v>
      </c>
      <c r="F676" s="29">
        <v>5.3</v>
      </c>
      <c r="G676" s="30" t="s">
        <v>39</v>
      </c>
      <c r="H676" s="27" t="s">
        <v>40</v>
      </c>
      <c r="I676" s="27" t="s">
        <v>29</v>
      </c>
      <c r="J676" s="27" t="s">
        <v>126</v>
      </c>
      <c r="K676" s="27" t="s">
        <v>51</v>
      </c>
      <c r="L676" s="31" t="s">
        <v>288</v>
      </c>
      <c r="M676" s="32">
        <v>0.46</v>
      </c>
      <c r="N676" s="27" t="s">
        <v>33</v>
      </c>
      <c r="O676" s="27" t="s">
        <v>34</v>
      </c>
      <c r="P676" s="27" t="s">
        <v>123</v>
      </c>
      <c r="Q676" s="27" t="s">
        <v>1418</v>
      </c>
      <c r="R676" s="33">
        <v>34787</v>
      </c>
      <c r="S676" s="34">
        <v>42063</v>
      </c>
      <c r="T676" s="34">
        <v>42064</v>
      </c>
      <c r="U676" s="29">
        <v>-324.73</v>
      </c>
      <c r="V676" s="26">
        <v>4</v>
      </c>
      <c r="W676" s="29">
        <v>55.08</v>
      </c>
      <c r="X676" s="26">
        <v>91036</v>
      </c>
      <c r="Y676" s="35">
        <v>95.4</v>
      </c>
      <c r="Z676" s="1" t="s">
        <v>3011</v>
      </c>
      <c r="AA676" s="36">
        <v>5.1119999999999992</v>
      </c>
      <c r="AB676" s="54">
        <v>29.743200000000002</v>
      </c>
      <c r="AC676" s="54">
        <v>6.3342000000000001</v>
      </c>
      <c r="AD676" s="36">
        <v>369.39799999999997</v>
      </c>
    </row>
    <row r="677" spans="1:30" s="37" customFormat="1" ht="15.75" customHeight="1" x14ac:dyDescent="0.2">
      <c r="A677" s="26">
        <v>3355</v>
      </c>
      <c r="B677" s="27" t="s">
        <v>1422</v>
      </c>
      <c r="C677" s="27" t="s">
        <v>48</v>
      </c>
      <c r="D677" s="28">
        <v>0.08</v>
      </c>
      <c r="E677" s="29">
        <v>8.32</v>
      </c>
      <c r="F677" s="29">
        <v>2.38</v>
      </c>
      <c r="G677" s="30" t="s">
        <v>87</v>
      </c>
      <c r="H677" s="27" t="s">
        <v>94</v>
      </c>
      <c r="I677" s="27" t="s">
        <v>41</v>
      </c>
      <c r="J677" s="27" t="s">
        <v>42</v>
      </c>
      <c r="K677" s="27" t="s">
        <v>43</v>
      </c>
      <c r="L677" s="31" t="s">
        <v>1425</v>
      </c>
      <c r="M677" s="32">
        <v>0.74</v>
      </c>
      <c r="N677" s="27" t="s">
        <v>33</v>
      </c>
      <c r="O677" s="27" t="s">
        <v>60</v>
      </c>
      <c r="P677" s="27" t="s">
        <v>90</v>
      </c>
      <c r="Q677" s="27" t="s">
        <v>1424</v>
      </c>
      <c r="R677" s="33">
        <v>93010</v>
      </c>
      <c r="S677" s="34">
        <v>42063</v>
      </c>
      <c r="T677" s="34">
        <v>42067</v>
      </c>
      <c r="U677" s="29">
        <v>-41.83</v>
      </c>
      <c r="V677" s="26">
        <v>6</v>
      </c>
      <c r="W677" s="29">
        <v>48.99</v>
      </c>
      <c r="X677" s="26">
        <v>88587</v>
      </c>
      <c r="Y677" s="35">
        <v>9.6</v>
      </c>
      <c r="Z677" s="1" t="s">
        <v>3013</v>
      </c>
      <c r="AA677" s="36">
        <v>3.9936000000000007</v>
      </c>
      <c r="AB677" s="54">
        <v>12.737400000000001</v>
      </c>
      <c r="AC677" s="54">
        <v>6.0421000000000005</v>
      </c>
      <c r="AD677" s="36">
        <v>84.446399999999997</v>
      </c>
    </row>
    <row r="678" spans="1:30" s="37" customFormat="1" ht="15.75" customHeight="1" x14ac:dyDescent="0.2">
      <c r="A678" s="26">
        <v>2908</v>
      </c>
      <c r="B678" s="27" t="s">
        <v>325</v>
      </c>
      <c r="C678" s="27" t="s">
        <v>3094</v>
      </c>
      <c r="D678" s="28">
        <v>0</v>
      </c>
      <c r="E678" s="29">
        <v>3.14</v>
      </c>
      <c r="F678" s="29">
        <v>1.92</v>
      </c>
      <c r="G678" s="30" t="s">
        <v>39</v>
      </c>
      <c r="H678" s="27" t="s">
        <v>71</v>
      </c>
      <c r="I678" s="27" t="s">
        <v>49</v>
      </c>
      <c r="J678" s="27" t="s">
        <v>568</v>
      </c>
      <c r="K678" s="27" t="s">
        <v>51</v>
      </c>
      <c r="L678" s="31" t="s">
        <v>1440</v>
      </c>
      <c r="M678" s="32">
        <v>0.84</v>
      </c>
      <c r="N678" s="27" t="s">
        <v>33</v>
      </c>
      <c r="O678" s="27" t="s">
        <v>111</v>
      </c>
      <c r="P678" s="27" t="s">
        <v>317</v>
      </c>
      <c r="Q678" s="27" t="s">
        <v>327</v>
      </c>
      <c r="R678" s="33">
        <v>44125</v>
      </c>
      <c r="S678" s="34">
        <v>42063</v>
      </c>
      <c r="T678" s="34">
        <v>42065</v>
      </c>
      <c r="U678" s="29">
        <v>-13.135199999999999</v>
      </c>
      <c r="V678" s="26">
        <v>8</v>
      </c>
      <c r="W678" s="29">
        <v>27.53</v>
      </c>
      <c r="X678" s="26">
        <v>88157</v>
      </c>
      <c r="Y678" s="35">
        <v>34.93</v>
      </c>
      <c r="Z678" s="1" t="s">
        <v>3014</v>
      </c>
      <c r="AA678" s="36">
        <v>0</v>
      </c>
      <c r="AB678" s="54">
        <v>4.4048000000000007</v>
      </c>
      <c r="AC678" s="54">
        <v>2.8906499999999999</v>
      </c>
      <c r="AD678" s="36">
        <v>38.745199999999997</v>
      </c>
    </row>
    <row r="679" spans="1:30" s="37" customFormat="1" ht="15.75" customHeight="1" x14ac:dyDescent="0.2">
      <c r="A679" s="26">
        <v>972</v>
      </c>
      <c r="B679" s="27" t="s">
        <v>1414</v>
      </c>
      <c r="C679" s="27" t="s">
        <v>48</v>
      </c>
      <c r="D679" s="28">
        <v>0</v>
      </c>
      <c r="E679" s="29">
        <v>12.99</v>
      </c>
      <c r="F679" s="29">
        <v>14.37</v>
      </c>
      <c r="G679" s="30" t="s">
        <v>39</v>
      </c>
      <c r="H679" s="27" t="s">
        <v>94</v>
      </c>
      <c r="I679" s="27" t="s">
        <v>29</v>
      </c>
      <c r="J679" s="27" t="s">
        <v>126</v>
      </c>
      <c r="K679" s="27" t="s">
        <v>65</v>
      </c>
      <c r="L679" s="31" t="s">
        <v>406</v>
      </c>
      <c r="M679" s="32">
        <v>0.73</v>
      </c>
      <c r="N679" s="27" t="s">
        <v>33</v>
      </c>
      <c r="O679" s="27" t="s">
        <v>60</v>
      </c>
      <c r="P679" s="27" t="s">
        <v>90</v>
      </c>
      <c r="Q679" s="27" t="s">
        <v>1416</v>
      </c>
      <c r="R679" s="33">
        <v>92503</v>
      </c>
      <c r="S679" s="34">
        <v>42063</v>
      </c>
      <c r="T679" s="34">
        <v>42063</v>
      </c>
      <c r="U679" s="29">
        <v>12.896100000000001</v>
      </c>
      <c r="V679" s="26">
        <v>1</v>
      </c>
      <c r="W679" s="29">
        <v>18.690000000000001</v>
      </c>
      <c r="X679" s="26">
        <v>87259</v>
      </c>
      <c r="Y679" s="35">
        <v>3.14</v>
      </c>
      <c r="Z679" s="1" t="s">
        <v>3013</v>
      </c>
      <c r="AA679" s="36">
        <v>0</v>
      </c>
      <c r="AB679" s="54">
        <v>5.0463000000000005</v>
      </c>
      <c r="AC679" s="54">
        <v>13.643700000000001</v>
      </c>
      <c r="AD679" s="36">
        <v>-8.5761000000000003</v>
      </c>
    </row>
    <row r="680" spans="1:30" s="37" customFormat="1" ht="15.75" customHeight="1" x14ac:dyDescent="0.2">
      <c r="A680" s="26">
        <v>3098</v>
      </c>
      <c r="B680" s="27" t="s">
        <v>1420</v>
      </c>
      <c r="C680" s="27" t="s">
        <v>48</v>
      </c>
      <c r="D680" s="28">
        <v>0.06</v>
      </c>
      <c r="E680" s="29">
        <v>2.89</v>
      </c>
      <c r="F680" s="29">
        <v>0.5</v>
      </c>
      <c r="G680" s="30" t="s">
        <v>39</v>
      </c>
      <c r="H680" s="27" t="s">
        <v>40</v>
      </c>
      <c r="I680" s="27" t="s">
        <v>49</v>
      </c>
      <c r="J680" s="27" t="s">
        <v>152</v>
      </c>
      <c r="K680" s="27" t="s">
        <v>73</v>
      </c>
      <c r="L680" s="31" t="s">
        <v>729</v>
      </c>
      <c r="M680" s="32">
        <v>0.38</v>
      </c>
      <c r="N680" s="27" t="s">
        <v>33</v>
      </c>
      <c r="O680" s="27" t="s">
        <v>111</v>
      </c>
      <c r="P680" s="27" t="s">
        <v>112</v>
      </c>
      <c r="Q680" s="27" t="s">
        <v>1421</v>
      </c>
      <c r="R680" s="33">
        <v>11967</v>
      </c>
      <c r="S680" s="34">
        <v>42063</v>
      </c>
      <c r="T680" s="34">
        <v>42063</v>
      </c>
      <c r="U680" s="29">
        <v>9.6117000000000008</v>
      </c>
      <c r="V680" s="26">
        <v>5</v>
      </c>
      <c r="W680" s="29">
        <v>13.93</v>
      </c>
      <c r="X680" s="26">
        <v>89316</v>
      </c>
      <c r="Y680" s="35">
        <v>11.450000000000001</v>
      </c>
      <c r="Z680" s="1" t="s">
        <v>3014</v>
      </c>
      <c r="AA680" s="36">
        <v>0.86699999999999999</v>
      </c>
      <c r="AB680" s="54">
        <v>8.6365999999999996</v>
      </c>
      <c r="AC680" s="54">
        <v>1.0586800000000001</v>
      </c>
      <c r="AD680" s="36">
        <v>2.9512999999999998</v>
      </c>
    </row>
    <row r="681" spans="1:30" s="37" customFormat="1" ht="15.75" customHeight="1" x14ac:dyDescent="0.2">
      <c r="A681" s="26">
        <v>1885</v>
      </c>
      <c r="B681" s="27" t="s">
        <v>1465</v>
      </c>
      <c r="C681" s="27" t="s">
        <v>3094</v>
      </c>
      <c r="D681" s="28">
        <v>0.05</v>
      </c>
      <c r="E681" s="29">
        <v>535.64</v>
      </c>
      <c r="F681" s="29">
        <v>14.7</v>
      </c>
      <c r="G681" s="30" t="s">
        <v>27</v>
      </c>
      <c r="H681" s="27" t="s">
        <v>71</v>
      </c>
      <c r="I681" s="27" t="s">
        <v>41</v>
      </c>
      <c r="J681" s="27" t="s">
        <v>57</v>
      </c>
      <c r="K681" s="27" t="s">
        <v>58</v>
      </c>
      <c r="L681" s="31" t="s">
        <v>1466</v>
      </c>
      <c r="M681" s="32">
        <v>0.59</v>
      </c>
      <c r="N681" s="27" t="s">
        <v>33</v>
      </c>
      <c r="O681" s="27" t="s">
        <v>111</v>
      </c>
      <c r="P681" s="27" t="s">
        <v>584</v>
      </c>
      <c r="Q681" s="27" t="s">
        <v>1467</v>
      </c>
      <c r="R681" s="33">
        <v>2806</v>
      </c>
      <c r="S681" s="34">
        <v>42064</v>
      </c>
      <c r="T681" s="34">
        <v>42066</v>
      </c>
      <c r="U681" s="29">
        <v>4407.4399999999996</v>
      </c>
      <c r="V681" s="26">
        <v>15</v>
      </c>
      <c r="W681" s="29">
        <v>7029.1</v>
      </c>
      <c r="X681" s="26">
        <v>87378</v>
      </c>
      <c r="Y681" s="35">
        <v>90.89</v>
      </c>
      <c r="Z681" s="1" t="s">
        <v>3014</v>
      </c>
      <c r="AA681" s="36">
        <v>401.73</v>
      </c>
      <c r="AB681" s="54">
        <v>2881.9310000000005</v>
      </c>
      <c r="AC681" s="54">
        <v>276.47793333333334</v>
      </c>
      <c r="AD681" s="36">
        <v>2205.2300000000014</v>
      </c>
    </row>
    <row r="682" spans="1:30" s="37" customFormat="1" ht="15.75" customHeight="1" x14ac:dyDescent="0.2">
      <c r="A682" s="26">
        <v>2454</v>
      </c>
      <c r="B682" s="27" t="s">
        <v>1461</v>
      </c>
      <c r="C682" s="27" t="s">
        <v>116</v>
      </c>
      <c r="D682" s="28">
        <v>0.06</v>
      </c>
      <c r="E682" s="29">
        <v>3499.99</v>
      </c>
      <c r="F682" s="29">
        <v>24.49</v>
      </c>
      <c r="G682" s="30" t="s">
        <v>87</v>
      </c>
      <c r="H682" s="27" t="s">
        <v>94</v>
      </c>
      <c r="I682" s="27" t="s">
        <v>41</v>
      </c>
      <c r="J682" s="27" t="s">
        <v>64</v>
      </c>
      <c r="K682" s="27" t="s">
        <v>65</v>
      </c>
      <c r="L682" s="31" t="s">
        <v>518</v>
      </c>
      <c r="M682" s="32">
        <v>0.37</v>
      </c>
      <c r="N682" s="27" t="s">
        <v>33</v>
      </c>
      <c r="O682" s="27" t="s">
        <v>34</v>
      </c>
      <c r="P682" s="27" t="s">
        <v>164</v>
      </c>
      <c r="Q682" s="27" t="s">
        <v>1462</v>
      </c>
      <c r="R682" s="33">
        <v>35244</v>
      </c>
      <c r="S682" s="34">
        <v>42064</v>
      </c>
      <c r="T682" s="34">
        <v>42067</v>
      </c>
      <c r="U682" s="29">
        <v>-68.432000000000002</v>
      </c>
      <c r="V682" s="26">
        <v>1</v>
      </c>
      <c r="W682" s="29">
        <v>3550.28</v>
      </c>
      <c r="X682" s="26">
        <v>89219</v>
      </c>
      <c r="Y682" s="35">
        <v>28.39</v>
      </c>
      <c r="Z682" s="1" t="s">
        <v>3011</v>
      </c>
      <c r="AA682" s="36">
        <v>209.99939999999998</v>
      </c>
      <c r="AB682" s="54">
        <v>2236.6764000000003</v>
      </c>
      <c r="AC682" s="54">
        <v>1313.6036000000001</v>
      </c>
      <c r="AD682" s="36">
        <v>3384.2226000000001</v>
      </c>
    </row>
    <row r="683" spans="1:30" s="37" customFormat="1" ht="15.75" customHeight="1" x14ac:dyDescent="0.2">
      <c r="A683" s="26">
        <v>946</v>
      </c>
      <c r="B683" s="27" t="s">
        <v>1443</v>
      </c>
      <c r="C683" s="27" t="s">
        <v>26</v>
      </c>
      <c r="D683" s="28">
        <v>0.09</v>
      </c>
      <c r="E683" s="29">
        <v>90.98</v>
      </c>
      <c r="F683" s="29">
        <v>56.2</v>
      </c>
      <c r="G683" s="30" t="s">
        <v>87</v>
      </c>
      <c r="H683" s="27" t="s">
        <v>71</v>
      </c>
      <c r="I683" s="27" t="s">
        <v>29</v>
      </c>
      <c r="J683" s="27" t="s">
        <v>126</v>
      </c>
      <c r="K683" s="27" t="s">
        <v>144</v>
      </c>
      <c r="L683" s="31" t="s">
        <v>807</v>
      </c>
      <c r="M683" s="32">
        <v>0.74</v>
      </c>
      <c r="N683" s="27" t="s">
        <v>33</v>
      </c>
      <c r="O683" s="27" t="s">
        <v>111</v>
      </c>
      <c r="P683" s="27" t="s">
        <v>331</v>
      </c>
      <c r="Q683" s="27" t="s">
        <v>1204</v>
      </c>
      <c r="R683" s="33">
        <v>4210</v>
      </c>
      <c r="S683" s="34">
        <v>42064</v>
      </c>
      <c r="T683" s="34">
        <v>42065</v>
      </c>
      <c r="U683" s="29">
        <v>-1570.32</v>
      </c>
      <c r="V683" s="26">
        <v>20</v>
      </c>
      <c r="W683" s="29">
        <v>1782.44</v>
      </c>
      <c r="X683" s="26">
        <v>86566</v>
      </c>
      <c r="Y683" s="35">
        <v>2.08</v>
      </c>
      <c r="Z683" s="1" t="s">
        <v>3014</v>
      </c>
      <c r="AA683" s="36">
        <v>163.76400000000001</v>
      </c>
      <c r="AB683" s="54">
        <v>463.43440000000004</v>
      </c>
      <c r="AC683" s="54">
        <v>65.950279999999992</v>
      </c>
      <c r="AD683" s="36">
        <v>3132.7959999999998</v>
      </c>
    </row>
    <row r="684" spans="1:30" s="37" customFormat="1" ht="15.75" customHeight="1" x14ac:dyDescent="0.2">
      <c r="A684" s="26">
        <v>1014</v>
      </c>
      <c r="B684" s="27" t="s">
        <v>1444</v>
      </c>
      <c r="C684" s="27" t="s">
        <v>26</v>
      </c>
      <c r="D684" s="28">
        <v>0.06</v>
      </c>
      <c r="E684" s="29">
        <v>45.99</v>
      </c>
      <c r="F684" s="29">
        <v>4.99</v>
      </c>
      <c r="G684" s="30" t="s">
        <v>87</v>
      </c>
      <c r="H684" s="27" t="s">
        <v>71</v>
      </c>
      <c r="I684" s="27" t="s">
        <v>41</v>
      </c>
      <c r="J684" s="27" t="s">
        <v>135</v>
      </c>
      <c r="K684" s="27" t="s">
        <v>73</v>
      </c>
      <c r="L684" s="31" t="s">
        <v>1446</v>
      </c>
      <c r="M684" s="32">
        <v>0.56000000000000005</v>
      </c>
      <c r="N684" s="27" t="s">
        <v>33</v>
      </c>
      <c r="O684" s="27" t="s">
        <v>34</v>
      </c>
      <c r="P684" s="27" t="s">
        <v>45</v>
      </c>
      <c r="Q684" s="27" t="s">
        <v>1445</v>
      </c>
      <c r="R684" s="33">
        <v>72022</v>
      </c>
      <c r="S684" s="34">
        <v>42064</v>
      </c>
      <c r="T684" s="34">
        <v>42065</v>
      </c>
      <c r="U684" s="29">
        <v>-329.78399999999999</v>
      </c>
      <c r="V684" s="26">
        <v>10</v>
      </c>
      <c r="W684" s="29">
        <v>370.81</v>
      </c>
      <c r="X684" s="26">
        <v>88387</v>
      </c>
      <c r="Y684" s="35">
        <v>45.93</v>
      </c>
      <c r="Z684" s="1" t="s">
        <v>3011</v>
      </c>
      <c r="AA684" s="36">
        <v>27.593999999999998</v>
      </c>
      <c r="AB684" s="54">
        <v>163.15639999999999</v>
      </c>
      <c r="AC684" s="54">
        <v>20.765360000000005</v>
      </c>
      <c r="AD684" s="36">
        <v>668.01</v>
      </c>
    </row>
    <row r="685" spans="1:30" s="37" customFormat="1" ht="15.75" customHeight="1" x14ac:dyDescent="0.2">
      <c r="A685" s="26">
        <v>1280</v>
      </c>
      <c r="B685" s="27" t="s">
        <v>1449</v>
      </c>
      <c r="C685" s="27" t="s">
        <v>26</v>
      </c>
      <c r="D685" s="28">
        <v>7.0000000000000007E-2</v>
      </c>
      <c r="E685" s="29">
        <v>40.98</v>
      </c>
      <c r="F685" s="29">
        <v>7.47</v>
      </c>
      <c r="G685" s="30" t="s">
        <v>39</v>
      </c>
      <c r="H685" s="27" t="s">
        <v>94</v>
      </c>
      <c r="I685" s="27" t="s">
        <v>49</v>
      </c>
      <c r="J685" s="27" t="s">
        <v>72</v>
      </c>
      <c r="K685" s="27" t="s">
        <v>73</v>
      </c>
      <c r="L685" s="31" t="s">
        <v>1379</v>
      </c>
      <c r="M685" s="32">
        <v>0.37</v>
      </c>
      <c r="N685" s="27" t="s">
        <v>33</v>
      </c>
      <c r="O685" s="27" t="s">
        <v>60</v>
      </c>
      <c r="P685" s="27" t="s">
        <v>67</v>
      </c>
      <c r="Q685" s="27" t="s">
        <v>142</v>
      </c>
      <c r="R685" s="33">
        <v>98119</v>
      </c>
      <c r="S685" s="34">
        <v>42064</v>
      </c>
      <c r="T685" s="34">
        <v>42065</v>
      </c>
      <c r="U685" s="29">
        <v>54.901499999999999</v>
      </c>
      <c r="V685" s="26">
        <v>8</v>
      </c>
      <c r="W685" s="29">
        <v>327.61</v>
      </c>
      <c r="X685" s="26">
        <v>19042</v>
      </c>
      <c r="Y685" s="35">
        <v>40.909999999999997</v>
      </c>
      <c r="Z685" s="1" t="s">
        <v>3013</v>
      </c>
      <c r="AA685" s="36">
        <v>22.948800000000002</v>
      </c>
      <c r="AB685" s="54">
        <v>206.39430000000002</v>
      </c>
      <c r="AC685" s="54">
        <v>15.1519625</v>
      </c>
      <c r="AD685" s="36">
        <v>242.28970000000001</v>
      </c>
    </row>
    <row r="686" spans="1:30" s="37" customFormat="1" ht="15.75" customHeight="1" x14ac:dyDescent="0.2">
      <c r="A686" s="26">
        <v>2437</v>
      </c>
      <c r="B686" s="27" t="s">
        <v>1459</v>
      </c>
      <c r="C686" s="27" t="s">
        <v>48</v>
      </c>
      <c r="D686" s="28">
        <v>0.09</v>
      </c>
      <c r="E686" s="29">
        <v>90.97</v>
      </c>
      <c r="F686" s="29">
        <v>14</v>
      </c>
      <c r="G686" s="30" t="s">
        <v>27</v>
      </c>
      <c r="H686" s="27" t="s">
        <v>71</v>
      </c>
      <c r="I686" s="27" t="s">
        <v>41</v>
      </c>
      <c r="J686" s="27" t="s">
        <v>57</v>
      </c>
      <c r="K686" s="27" t="s">
        <v>58</v>
      </c>
      <c r="L686" s="31" t="s">
        <v>1110</v>
      </c>
      <c r="M686" s="32">
        <v>0.36</v>
      </c>
      <c r="N686" s="27" t="s">
        <v>33</v>
      </c>
      <c r="O686" s="27" t="s">
        <v>53</v>
      </c>
      <c r="P686" s="27" t="s">
        <v>357</v>
      </c>
      <c r="Q686" s="27" t="s">
        <v>1460</v>
      </c>
      <c r="R686" s="33">
        <v>53150</v>
      </c>
      <c r="S686" s="34">
        <v>42064</v>
      </c>
      <c r="T686" s="34">
        <v>42066</v>
      </c>
      <c r="U686" s="29">
        <v>35.29</v>
      </c>
      <c r="V686" s="26">
        <v>3</v>
      </c>
      <c r="W686" s="29">
        <v>260</v>
      </c>
      <c r="X686" s="26">
        <v>90301</v>
      </c>
      <c r="Y686" s="35">
        <v>40.909999999999997</v>
      </c>
      <c r="Z686" s="1" t="s">
        <v>3012</v>
      </c>
      <c r="AA686" s="36">
        <v>24.561900000000001</v>
      </c>
      <c r="AB686" s="54">
        <v>166.4</v>
      </c>
      <c r="AC686" s="54">
        <v>31.2</v>
      </c>
      <c r="AD686" s="36">
        <v>186.1481</v>
      </c>
    </row>
    <row r="687" spans="1:30" s="37" customFormat="1" ht="15.75" customHeight="1" x14ac:dyDescent="0.2">
      <c r="A687" s="26">
        <v>1917</v>
      </c>
      <c r="B687" s="27" t="s">
        <v>1456</v>
      </c>
      <c r="C687" s="27" t="s">
        <v>38</v>
      </c>
      <c r="D687" s="28">
        <v>0.08</v>
      </c>
      <c r="E687" s="29">
        <v>22.23</v>
      </c>
      <c r="F687" s="29">
        <v>3.63</v>
      </c>
      <c r="G687" s="30" t="s">
        <v>39</v>
      </c>
      <c r="H687" s="27" t="s">
        <v>71</v>
      </c>
      <c r="I687" s="27" t="s">
        <v>29</v>
      </c>
      <c r="J687" s="27" t="s">
        <v>126</v>
      </c>
      <c r="K687" s="27" t="s">
        <v>43</v>
      </c>
      <c r="L687" s="31" t="s">
        <v>1457</v>
      </c>
      <c r="M687" s="32">
        <v>0.52</v>
      </c>
      <c r="N687" s="27" t="s">
        <v>33</v>
      </c>
      <c r="O687" s="27" t="s">
        <v>34</v>
      </c>
      <c r="P687" s="27" t="s">
        <v>45</v>
      </c>
      <c r="Q687" s="27" t="s">
        <v>1458</v>
      </c>
      <c r="R687" s="33">
        <v>72113</v>
      </c>
      <c r="S687" s="34">
        <v>42064</v>
      </c>
      <c r="T687" s="34">
        <v>42066</v>
      </c>
      <c r="U687" s="29">
        <v>-29.61</v>
      </c>
      <c r="V687" s="26">
        <v>10</v>
      </c>
      <c r="W687" s="29">
        <v>210.33</v>
      </c>
      <c r="X687" s="26">
        <v>85897</v>
      </c>
      <c r="Y687" s="35">
        <v>6.6400000000000006</v>
      </c>
      <c r="Z687" s="1" t="s">
        <v>3011</v>
      </c>
      <c r="AA687" s="36">
        <v>17.783999999999999</v>
      </c>
      <c r="AB687" s="54">
        <v>100.9584</v>
      </c>
      <c r="AC687" s="54">
        <v>10.93716</v>
      </c>
      <c r="AD687" s="36">
        <v>218.52600000000001</v>
      </c>
    </row>
    <row r="688" spans="1:30" s="37" customFormat="1" ht="15.75" customHeight="1" x14ac:dyDescent="0.2">
      <c r="A688" s="26">
        <v>1014</v>
      </c>
      <c r="B688" s="27" t="s">
        <v>1444</v>
      </c>
      <c r="C688" s="27" t="s">
        <v>26</v>
      </c>
      <c r="D688" s="28">
        <v>0.09</v>
      </c>
      <c r="E688" s="29">
        <v>28.48</v>
      </c>
      <c r="F688" s="29">
        <v>1.99</v>
      </c>
      <c r="G688" s="30" t="s">
        <v>39</v>
      </c>
      <c r="H688" s="27" t="s">
        <v>71</v>
      </c>
      <c r="I688" s="27" t="s">
        <v>41</v>
      </c>
      <c r="J688" s="27" t="s">
        <v>42</v>
      </c>
      <c r="K688" s="27" t="s">
        <v>43</v>
      </c>
      <c r="L688" s="31" t="s">
        <v>212</v>
      </c>
      <c r="M688" s="32">
        <v>0.4</v>
      </c>
      <c r="N688" s="27" t="s">
        <v>33</v>
      </c>
      <c r="O688" s="27" t="s">
        <v>34</v>
      </c>
      <c r="P688" s="27" t="s">
        <v>45</v>
      </c>
      <c r="Q688" s="27" t="s">
        <v>1445</v>
      </c>
      <c r="R688" s="33">
        <v>72022</v>
      </c>
      <c r="S688" s="34">
        <v>42064</v>
      </c>
      <c r="T688" s="34">
        <v>42065</v>
      </c>
      <c r="U688" s="29">
        <v>-17.149999999999999</v>
      </c>
      <c r="V688" s="26">
        <v>6</v>
      </c>
      <c r="W688" s="29">
        <v>160.16999999999999</v>
      </c>
      <c r="X688" s="26">
        <v>88387</v>
      </c>
      <c r="Y688" s="35">
        <v>11.32</v>
      </c>
      <c r="Z688" s="1" t="s">
        <v>3011</v>
      </c>
      <c r="AA688" s="36">
        <v>15.379200000000001</v>
      </c>
      <c r="AB688" s="54">
        <v>96.10199999999999</v>
      </c>
      <c r="AC688" s="54">
        <v>10.677999999999999</v>
      </c>
      <c r="AD688" s="36">
        <v>159.95079999999999</v>
      </c>
    </row>
    <row r="689" spans="1:30" s="37" customFormat="1" ht="15.75" customHeight="1" x14ac:dyDescent="0.2">
      <c r="A689" s="26">
        <v>1561</v>
      </c>
      <c r="B689" s="27" t="s">
        <v>1452</v>
      </c>
      <c r="C689" s="27" t="s">
        <v>38</v>
      </c>
      <c r="D689" s="28">
        <v>0.02</v>
      </c>
      <c r="E689" s="29">
        <v>11.34</v>
      </c>
      <c r="F689" s="29">
        <v>11.25</v>
      </c>
      <c r="G689" s="30" t="s">
        <v>39</v>
      </c>
      <c r="H689" s="27" t="s">
        <v>94</v>
      </c>
      <c r="I689" s="27" t="s">
        <v>49</v>
      </c>
      <c r="J689" s="27" t="s">
        <v>88</v>
      </c>
      <c r="K689" s="27" t="s">
        <v>73</v>
      </c>
      <c r="L689" s="31" t="s">
        <v>1453</v>
      </c>
      <c r="M689" s="32">
        <v>0.36</v>
      </c>
      <c r="N689" s="27" t="s">
        <v>33</v>
      </c>
      <c r="O689" s="27" t="s">
        <v>53</v>
      </c>
      <c r="P689" s="27" t="s">
        <v>187</v>
      </c>
      <c r="Q689" s="27" t="s">
        <v>1454</v>
      </c>
      <c r="R689" s="33">
        <v>76063</v>
      </c>
      <c r="S689" s="34">
        <v>42064</v>
      </c>
      <c r="T689" s="34">
        <v>42065</v>
      </c>
      <c r="U689" s="29">
        <v>-155.21</v>
      </c>
      <c r="V689" s="26">
        <v>9</v>
      </c>
      <c r="W689" s="29">
        <v>105.75</v>
      </c>
      <c r="X689" s="26">
        <v>88093</v>
      </c>
      <c r="Y689" s="35">
        <v>19.920000000000002</v>
      </c>
      <c r="Z689" s="1" t="s">
        <v>3012</v>
      </c>
      <c r="AA689" s="36">
        <v>2.0411999999999999</v>
      </c>
      <c r="AB689" s="54">
        <v>67.680000000000007</v>
      </c>
      <c r="AC689" s="54">
        <v>4.2299999999999995</v>
      </c>
      <c r="AD689" s="36">
        <v>247.6688</v>
      </c>
    </row>
    <row r="690" spans="1:30" s="37" customFormat="1" ht="15.75" customHeight="1" x14ac:dyDescent="0.2">
      <c r="A690" s="26">
        <v>1764</v>
      </c>
      <c r="B690" s="27" t="s">
        <v>711</v>
      </c>
      <c r="C690" s="27" t="s">
        <v>38</v>
      </c>
      <c r="D690" s="28">
        <v>0.06</v>
      </c>
      <c r="E690" s="29">
        <v>19.98</v>
      </c>
      <c r="F690" s="29">
        <v>10.49</v>
      </c>
      <c r="G690" s="30" t="s">
        <v>39</v>
      </c>
      <c r="H690" s="27" t="s">
        <v>40</v>
      </c>
      <c r="I690" s="27" t="s">
        <v>29</v>
      </c>
      <c r="J690" s="27" t="s">
        <v>126</v>
      </c>
      <c r="K690" s="27" t="s">
        <v>73</v>
      </c>
      <c r="L690" s="31" t="s">
        <v>1455</v>
      </c>
      <c r="M690" s="32">
        <v>0.49</v>
      </c>
      <c r="N690" s="27" t="s">
        <v>33</v>
      </c>
      <c r="O690" s="27" t="s">
        <v>34</v>
      </c>
      <c r="P690" s="27" t="s">
        <v>123</v>
      </c>
      <c r="Q690" s="27" t="s">
        <v>713</v>
      </c>
      <c r="R690" s="33">
        <v>34698</v>
      </c>
      <c r="S690" s="34">
        <v>42064</v>
      </c>
      <c r="T690" s="34">
        <v>42066</v>
      </c>
      <c r="U690" s="29">
        <v>514.17719999999997</v>
      </c>
      <c r="V690" s="26">
        <v>5</v>
      </c>
      <c r="W690" s="29">
        <v>103.37</v>
      </c>
      <c r="X690" s="26">
        <v>89776</v>
      </c>
      <c r="Y690" s="35">
        <v>1.68</v>
      </c>
      <c r="Z690" s="1" t="s">
        <v>3011</v>
      </c>
      <c r="AA690" s="36">
        <v>5.9940000000000007</v>
      </c>
      <c r="AB690" s="54">
        <v>52.718700000000005</v>
      </c>
      <c r="AC690" s="54">
        <v>10.13026</v>
      </c>
      <c r="AD690" s="36">
        <v>-427.2912</v>
      </c>
    </row>
    <row r="691" spans="1:30" s="37" customFormat="1" ht="15.75" customHeight="1" x14ac:dyDescent="0.2">
      <c r="A691" s="26">
        <v>2718</v>
      </c>
      <c r="B691" s="27" t="s">
        <v>1450</v>
      </c>
      <c r="C691" s="27" t="s">
        <v>26</v>
      </c>
      <c r="D691" s="28">
        <v>0.1</v>
      </c>
      <c r="E691" s="29">
        <v>6.74</v>
      </c>
      <c r="F691" s="29">
        <v>1.72</v>
      </c>
      <c r="G691" s="30" t="s">
        <v>39</v>
      </c>
      <c r="H691" s="27" t="s">
        <v>40</v>
      </c>
      <c r="I691" s="27" t="s">
        <v>49</v>
      </c>
      <c r="J691" s="27" t="s">
        <v>88</v>
      </c>
      <c r="K691" s="27" t="s">
        <v>51</v>
      </c>
      <c r="L691" s="31" t="s">
        <v>1451</v>
      </c>
      <c r="M691" s="32">
        <v>0.35</v>
      </c>
      <c r="N691" s="27" t="s">
        <v>33</v>
      </c>
      <c r="O691" s="27" t="s">
        <v>53</v>
      </c>
      <c r="P691" s="27" t="s">
        <v>103</v>
      </c>
      <c r="Q691" s="27" t="s">
        <v>444</v>
      </c>
      <c r="R691" s="33">
        <v>60438</v>
      </c>
      <c r="S691" s="34">
        <v>42064</v>
      </c>
      <c r="T691" s="34">
        <v>42066</v>
      </c>
      <c r="U691" s="29">
        <v>65.41</v>
      </c>
      <c r="V691" s="26">
        <v>15</v>
      </c>
      <c r="W691" s="29">
        <v>98.17</v>
      </c>
      <c r="X691" s="26">
        <v>89394</v>
      </c>
      <c r="Y691" s="35">
        <v>22.150000000000002</v>
      </c>
      <c r="Z691" s="1" t="s">
        <v>3012</v>
      </c>
      <c r="AA691" s="36">
        <v>10.110000000000001</v>
      </c>
      <c r="AB691" s="54">
        <v>63.810500000000005</v>
      </c>
      <c r="AC691" s="54">
        <v>2.2906333333333335</v>
      </c>
      <c r="AD691" s="36">
        <v>20.930000000000007</v>
      </c>
    </row>
    <row r="692" spans="1:30" s="37" customFormat="1" ht="15.75" customHeight="1" x14ac:dyDescent="0.2">
      <c r="A692" s="26">
        <v>1279</v>
      </c>
      <c r="B692" s="27" t="s">
        <v>1447</v>
      </c>
      <c r="C692" s="27" t="s">
        <v>26</v>
      </c>
      <c r="D692" s="28">
        <v>7.0000000000000007E-2</v>
      </c>
      <c r="E692" s="29">
        <v>40.98</v>
      </c>
      <c r="F692" s="29">
        <v>7.47</v>
      </c>
      <c r="G692" s="30" t="s">
        <v>39</v>
      </c>
      <c r="H692" s="27" t="s">
        <v>94</v>
      </c>
      <c r="I692" s="27" t="s">
        <v>49</v>
      </c>
      <c r="J692" s="27" t="s">
        <v>72</v>
      </c>
      <c r="K692" s="27" t="s">
        <v>73</v>
      </c>
      <c r="L692" s="31" t="s">
        <v>1379</v>
      </c>
      <c r="M692" s="32">
        <v>0.37</v>
      </c>
      <c r="N692" s="27" t="s">
        <v>33</v>
      </c>
      <c r="O692" s="27" t="s">
        <v>53</v>
      </c>
      <c r="P692" s="27" t="s">
        <v>54</v>
      </c>
      <c r="Q692" s="27" t="s">
        <v>1448</v>
      </c>
      <c r="R692" s="33">
        <v>46324</v>
      </c>
      <c r="S692" s="34">
        <v>42064</v>
      </c>
      <c r="T692" s="34">
        <v>42065</v>
      </c>
      <c r="U692" s="29">
        <v>54.901499999999999</v>
      </c>
      <c r="V692" s="26">
        <v>2</v>
      </c>
      <c r="W692" s="29">
        <v>81.900000000000006</v>
      </c>
      <c r="X692" s="26">
        <v>90114</v>
      </c>
      <c r="Y692" s="35">
        <v>90.88</v>
      </c>
      <c r="Z692" s="1" t="s">
        <v>3012</v>
      </c>
      <c r="AA692" s="36">
        <v>5.7372000000000005</v>
      </c>
      <c r="AB692" s="54">
        <v>51.597000000000001</v>
      </c>
      <c r="AC692" s="54">
        <v>15.1515</v>
      </c>
      <c r="AD692" s="36">
        <v>13.791300000000007</v>
      </c>
    </row>
    <row r="693" spans="1:30" s="37" customFormat="1" ht="15.75" customHeight="1" x14ac:dyDescent="0.2">
      <c r="A693" s="26">
        <v>1764</v>
      </c>
      <c r="B693" s="27" t="s">
        <v>711</v>
      </c>
      <c r="C693" s="27" t="s">
        <v>38</v>
      </c>
      <c r="D693" s="28">
        <v>0.08</v>
      </c>
      <c r="E693" s="29">
        <v>1.76</v>
      </c>
      <c r="F693" s="29">
        <v>4.8600000000000003</v>
      </c>
      <c r="G693" s="30" t="s">
        <v>39</v>
      </c>
      <c r="H693" s="27" t="s">
        <v>40</v>
      </c>
      <c r="I693" s="27" t="s">
        <v>29</v>
      </c>
      <c r="J693" s="27" t="s">
        <v>126</v>
      </c>
      <c r="K693" s="27" t="s">
        <v>73</v>
      </c>
      <c r="L693" s="31" t="s">
        <v>606</v>
      </c>
      <c r="M693" s="32">
        <v>0.41</v>
      </c>
      <c r="N693" s="27" t="s">
        <v>33</v>
      </c>
      <c r="O693" s="27" t="s">
        <v>34</v>
      </c>
      <c r="P693" s="27" t="s">
        <v>123</v>
      </c>
      <c r="Q693" s="27" t="s">
        <v>713</v>
      </c>
      <c r="R693" s="33">
        <v>34698</v>
      </c>
      <c r="S693" s="34">
        <v>42064</v>
      </c>
      <c r="T693" s="34">
        <v>42065</v>
      </c>
      <c r="U693" s="29">
        <v>235.65600000000001</v>
      </c>
      <c r="V693" s="26">
        <v>23</v>
      </c>
      <c r="W693" s="29">
        <v>40.22</v>
      </c>
      <c r="X693" s="26">
        <v>89776</v>
      </c>
      <c r="Y693" s="35">
        <v>3499.93</v>
      </c>
      <c r="Z693" s="1" t="s">
        <v>3011</v>
      </c>
      <c r="AA693" s="36">
        <v>3.2384000000000004</v>
      </c>
      <c r="AB693" s="54">
        <v>23.729800000000001</v>
      </c>
      <c r="AC693" s="54">
        <v>0.71696521739130425</v>
      </c>
      <c r="AD693" s="36">
        <v>-203.53440000000003</v>
      </c>
    </row>
    <row r="694" spans="1:30" s="37" customFormat="1" ht="15.75" customHeight="1" x14ac:dyDescent="0.2">
      <c r="A694" s="26">
        <v>1882</v>
      </c>
      <c r="B694" s="27" t="s">
        <v>1463</v>
      </c>
      <c r="C694" s="27" t="s">
        <v>3094</v>
      </c>
      <c r="D694" s="28">
        <v>0.09</v>
      </c>
      <c r="E694" s="29">
        <v>5.78</v>
      </c>
      <c r="F694" s="29">
        <v>5.67</v>
      </c>
      <c r="G694" s="30" t="s">
        <v>39</v>
      </c>
      <c r="H694" s="27" t="s">
        <v>71</v>
      </c>
      <c r="I694" s="27" t="s">
        <v>49</v>
      </c>
      <c r="J694" s="27" t="s">
        <v>88</v>
      </c>
      <c r="K694" s="27" t="s">
        <v>73</v>
      </c>
      <c r="L694" s="31" t="s">
        <v>615</v>
      </c>
      <c r="M694" s="32">
        <v>0.36</v>
      </c>
      <c r="N694" s="27" t="s">
        <v>33</v>
      </c>
      <c r="O694" s="27" t="s">
        <v>111</v>
      </c>
      <c r="P694" s="27" t="s">
        <v>397</v>
      </c>
      <c r="Q694" s="27" t="s">
        <v>1464</v>
      </c>
      <c r="R694" s="33">
        <v>7036</v>
      </c>
      <c r="S694" s="34">
        <v>42064</v>
      </c>
      <c r="T694" s="34">
        <v>42066</v>
      </c>
      <c r="U694" s="29">
        <v>-7.96</v>
      </c>
      <c r="V694" s="26">
        <v>1</v>
      </c>
      <c r="W694" s="29">
        <v>11.35</v>
      </c>
      <c r="X694" s="26">
        <v>87378</v>
      </c>
      <c r="Y694" s="35">
        <v>5.69</v>
      </c>
      <c r="Z694" s="1" t="s">
        <v>3014</v>
      </c>
      <c r="AA694" s="36">
        <v>0.5202</v>
      </c>
      <c r="AB694" s="54">
        <v>7.2640000000000002</v>
      </c>
      <c r="AC694" s="54">
        <v>4.0859999999999994</v>
      </c>
      <c r="AD694" s="36">
        <v>13.1198</v>
      </c>
    </row>
    <row r="695" spans="1:30" s="37" customFormat="1" ht="15.75" customHeight="1" x14ac:dyDescent="0.2">
      <c r="A695" s="26">
        <v>1014</v>
      </c>
      <c r="B695" s="27" t="s">
        <v>1444</v>
      </c>
      <c r="C695" s="27" t="s">
        <v>26</v>
      </c>
      <c r="D695" s="28">
        <v>0</v>
      </c>
      <c r="E695" s="29">
        <v>2.08</v>
      </c>
      <c r="F695" s="29">
        <v>5.33</v>
      </c>
      <c r="G695" s="30" t="s">
        <v>39</v>
      </c>
      <c r="H695" s="27" t="s">
        <v>71</v>
      </c>
      <c r="I695" s="27" t="s">
        <v>29</v>
      </c>
      <c r="J695" s="27" t="s">
        <v>126</v>
      </c>
      <c r="K695" s="27" t="s">
        <v>73</v>
      </c>
      <c r="L695" s="31" t="s">
        <v>459</v>
      </c>
      <c r="M695" s="32">
        <v>0.43</v>
      </c>
      <c r="N695" s="27" t="s">
        <v>33</v>
      </c>
      <c r="O695" s="27" t="s">
        <v>34</v>
      </c>
      <c r="P695" s="27" t="s">
        <v>45</v>
      </c>
      <c r="Q695" s="27" t="s">
        <v>1445</v>
      </c>
      <c r="R695" s="33">
        <v>72022</v>
      </c>
      <c r="S695" s="34">
        <v>42064</v>
      </c>
      <c r="T695" s="34">
        <v>42066</v>
      </c>
      <c r="U695" s="29">
        <v>-29.54</v>
      </c>
      <c r="V695" s="26">
        <v>3</v>
      </c>
      <c r="W695" s="29">
        <v>7.47</v>
      </c>
      <c r="X695" s="26">
        <v>88387</v>
      </c>
      <c r="Y695" s="35">
        <v>535.59</v>
      </c>
      <c r="Z695" s="1" t="s">
        <v>3011</v>
      </c>
      <c r="AA695" s="36">
        <v>0</v>
      </c>
      <c r="AB695" s="54">
        <v>4.2579000000000002</v>
      </c>
      <c r="AC695" s="54">
        <v>1.0707</v>
      </c>
      <c r="AD695" s="36">
        <v>31.68</v>
      </c>
    </row>
    <row r="696" spans="1:30" s="37" customFormat="1" ht="15.75" customHeight="1" x14ac:dyDescent="0.2">
      <c r="A696" s="26">
        <v>3067</v>
      </c>
      <c r="B696" s="27" t="s">
        <v>1477</v>
      </c>
      <c r="C696" s="27" t="s">
        <v>3094</v>
      </c>
      <c r="D696" s="28">
        <v>0.06</v>
      </c>
      <c r="E696" s="29">
        <v>355.98</v>
      </c>
      <c r="F696" s="29">
        <v>58.92</v>
      </c>
      <c r="G696" s="30" t="s">
        <v>27</v>
      </c>
      <c r="H696" s="27" t="s">
        <v>40</v>
      </c>
      <c r="I696" s="27" t="s">
        <v>29</v>
      </c>
      <c r="J696" s="27" t="s">
        <v>109</v>
      </c>
      <c r="K696" s="27" t="s">
        <v>58</v>
      </c>
      <c r="L696" s="31" t="s">
        <v>694</v>
      </c>
      <c r="M696" s="32">
        <v>0.64</v>
      </c>
      <c r="N696" s="27" t="s">
        <v>33</v>
      </c>
      <c r="O696" s="27" t="s">
        <v>111</v>
      </c>
      <c r="P696" s="27" t="s">
        <v>317</v>
      </c>
      <c r="Q696" s="27" t="s">
        <v>1478</v>
      </c>
      <c r="R696" s="33">
        <v>44515</v>
      </c>
      <c r="S696" s="34">
        <v>42065</v>
      </c>
      <c r="T696" s="34">
        <v>42066</v>
      </c>
      <c r="U696" s="29">
        <v>1660.92</v>
      </c>
      <c r="V696" s="26">
        <v>14</v>
      </c>
      <c r="W696" s="29">
        <v>5086.08</v>
      </c>
      <c r="X696" s="26">
        <v>91376</v>
      </c>
      <c r="Y696" s="35">
        <v>170.89999999999998</v>
      </c>
      <c r="Z696" s="1" t="s">
        <v>3014</v>
      </c>
      <c r="AA696" s="36">
        <v>299.02319999999997</v>
      </c>
      <c r="AB696" s="54">
        <v>1830.9887999999999</v>
      </c>
      <c r="AC696" s="54">
        <v>232.5065142857143</v>
      </c>
      <c r="AD696" s="36">
        <v>3067.2167999999997</v>
      </c>
    </row>
    <row r="697" spans="1:30" s="37" customFormat="1" ht="15.75" customHeight="1" x14ac:dyDescent="0.2">
      <c r="A697" s="26">
        <v>64</v>
      </c>
      <c r="B697" s="27" t="s">
        <v>1471</v>
      </c>
      <c r="C697" s="27" t="s">
        <v>3094</v>
      </c>
      <c r="D697" s="28">
        <v>0.02</v>
      </c>
      <c r="E697" s="29">
        <v>175.99</v>
      </c>
      <c r="F697" s="29">
        <v>4.99</v>
      </c>
      <c r="G697" s="30" t="s">
        <v>87</v>
      </c>
      <c r="H697" s="27" t="s">
        <v>3095</v>
      </c>
      <c r="I697" s="27" t="s">
        <v>41</v>
      </c>
      <c r="J697" s="27" t="s">
        <v>135</v>
      </c>
      <c r="K697" s="27" t="s">
        <v>73</v>
      </c>
      <c r="L697" s="31" t="s">
        <v>1249</v>
      </c>
      <c r="M697" s="32">
        <v>0.59</v>
      </c>
      <c r="N697" s="27" t="s">
        <v>33</v>
      </c>
      <c r="O697" s="27" t="s">
        <v>34</v>
      </c>
      <c r="P697" s="27" t="s">
        <v>242</v>
      </c>
      <c r="Q697" s="27" t="s">
        <v>1473</v>
      </c>
      <c r="R697" s="33">
        <v>24153</v>
      </c>
      <c r="S697" s="34">
        <v>42065</v>
      </c>
      <c r="T697" s="34">
        <v>42065</v>
      </c>
      <c r="U697" s="29">
        <v>101.49</v>
      </c>
      <c r="V697" s="26">
        <v>4</v>
      </c>
      <c r="W697" s="29">
        <v>589.79999999999995</v>
      </c>
      <c r="X697" s="26">
        <v>87406</v>
      </c>
      <c r="Y697" s="35">
        <v>3.69</v>
      </c>
      <c r="Z697" s="1" t="s">
        <v>3011</v>
      </c>
      <c r="AA697" s="36">
        <v>14.0792</v>
      </c>
      <c r="AB697" s="54">
        <v>241.81800000000001</v>
      </c>
      <c r="AC697" s="54">
        <v>86.995499999999993</v>
      </c>
      <c r="AD697" s="36">
        <v>469.24079999999998</v>
      </c>
    </row>
    <row r="698" spans="1:30" s="37" customFormat="1" ht="15.75" customHeight="1" x14ac:dyDescent="0.2">
      <c r="A698" s="26">
        <v>2878</v>
      </c>
      <c r="B698" s="27" t="s">
        <v>1476</v>
      </c>
      <c r="C698" s="27" t="s">
        <v>3094</v>
      </c>
      <c r="D698" s="28">
        <v>0</v>
      </c>
      <c r="E698" s="29">
        <v>8.33</v>
      </c>
      <c r="F698" s="29">
        <v>1.99</v>
      </c>
      <c r="G698" s="30" t="s">
        <v>87</v>
      </c>
      <c r="H698" s="27" t="s">
        <v>40</v>
      </c>
      <c r="I698" s="27" t="s">
        <v>41</v>
      </c>
      <c r="J698" s="27" t="s">
        <v>42</v>
      </c>
      <c r="K698" s="27" t="s">
        <v>43</v>
      </c>
      <c r="L698" s="31" t="s">
        <v>1174</v>
      </c>
      <c r="M698" s="32">
        <v>0.52</v>
      </c>
      <c r="N698" s="27" t="s">
        <v>33</v>
      </c>
      <c r="O698" s="27" t="s">
        <v>60</v>
      </c>
      <c r="P698" s="27" t="s">
        <v>67</v>
      </c>
      <c r="Q698" s="27" t="s">
        <v>142</v>
      </c>
      <c r="R698" s="33">
        <v>98107</v>
      </c>
      <c r="S698" s="34">
        <v>42065</v>
      </c>
      <c r="T698" s="34">
        <v>42067</v>
      </c>
      <c r="U698" s="29">
        <v>82.31</v>
      </c>
      <c r="V698" s="26">
        <v>47</v>
      </c>
      <c r="W698" s="29">
        <v>421.08</v>
      </c>
      <c r="X698" s="26">
        <v>54369</v>
      </c>
      <c r="Y698" s="35">
        <v>175.97</v>
      </c>
      <c r="Z698" s="1" t="s">
        <v>3013</v>
      </c>
      <c r="AA698" s="36">
        <v>0</v>
      </c>
      <c r="AB698" s="54">
        <v>202.11839999999998</v>
      </c>
      <c r="AC698" s="54">
        <v>4.6587574468085107</v>
      </c>
      <c r="AD698" s="36">
        <v>336.78</v>
      </c>
    </row>
    <row r="699" spans="1:30" s="37" customFormat="1" ht="15.75" customHeight="1" x14ac:dyDescent="0.2">
      <c r="A699" s="26">
        <v>3187</v>
      </c>
      <c r="B699" s="27" t="s">
        <v>1468</v>
      </c>
      <c r="C699" s="27" t="s">
        <v>38</v>
      </c>
      <c r="D699" s="28">
        <v>0.08</v>
      </c>
      <c r="E699" s="29">
        <v>170.98</v>
      </c>
      <c r="F699" s="29">
        <v>35.89</v>
      </c>
      <c r="G699" s="30" t="s">
        <v>27</v>
      </c>
      <c r="H699" s="27" t="s">
        <v>3095</v>
      </c>
      <c r="I699" s="27" t="s">
        <v>29</v>
      </c>
      <c r="J699" s="27" t="s">
        <v>117</v>
      </c>
      <c r="K699" s="27" t="s">
        <v>31</v>
      </c>
      <c r="L699" s="31" t="s">
        <v>1469</v>
      </c>
      <c r="M699" s="32">
        <v>0.66</v>
      </c>
      <c r="N699" s="27" t="s">
        <v>33</v>
      </c>
      <c r="O699" s="27" t="s">
        <v>34</v>
      </c>
      <c r="P699" s="27" t="s">
        <v>123</v>
      </c>
      <c r="Q699" s="27" t="s">
        <v>1470</v>
      </c>
      <c r="R699" s="33">
        <v>33569</v>
      </c>
      <c r="S699" s="34">
        <v>42065</v>
      </c>
      <c r="T699" s="34">
        <v>42067</v>
      </c>
      <c r="U699" s="29">
        <v>-119.812</v>
      </c>
      <c r="V699" s="26">
        <v>1</v>
      </c>
      <c r="W699" s="29">
        <v>199.48</v>
      </c>
      <c r="X699" s="26">
        <v>89025</v>
      </c>
      <c r="Y699" s="35">
        <v>8.33</v>
      </c>
      <c r="Z699" s="1" t="s">
        <v>3011</v>
      </c>
      <c r="AA699" s="36">
        <v>13.6784</v>
      </c>
      <c r="AB699" s="54">
        <v>67.823199999999986</v>
      </c>
      <c r="AC699" s="54">
        <v>131.6568</v>
      </c>
      <c r="AD699" s="36">
        <v>269.72359999999998</v>
      </c>
    </row>
    <row r="700" spans="1:30" s="37" customFormat="1" ht="15.75" customHeight="1" x14ac:dyDescent="0.2">
      <c r="A700" s="26">
        <v>2877</v>
      </c>
      <c r="B700" s="27" t="s">
        <v>1474</v>
      </c>
      <c r="C700" s="27" t="s">
        <v>3094</v>
      </c>
      <c r="D700" s="28">
        <v>0</v>
      </c>
      <c r="E700" s="29">
        <v>8.33</v>
      </c>
      <c r="F700" s="29">
        <v>1.99</v>
      </c>
      <c r="G700" s="30" t="s">
        <v>87</v>
      </c>
      <c r="H700" s="27" t="s">
        <v>40</v>
      </c>
      <c r="I700" s="27" t="s">
        <v>41</v>
      </c>
      <c r="J700" s="27" t="s">
        <v>42</v>
      </c>
      <c r="K700" s="27" t="s">
        <v>43</v>
      </c>
      <c r="L700" s="31" t="s">
        <v>1174</v>
      </c>
      <c r="M700" s="32">
        <v>0.52</v>
      </c>
      <c r="N700" s="27" t="s">
        <v>33</v>
      </c>
      <c r="O700" s="27" t="s">
        <v>111</v>
      </c>
      <c r="P700" s="27" t="s">
        <v>317</v>
      </c>
      <c r="Q700" s="27" t="s">
        <v>1475</v>
      </c>
      <c r="R700" s="33">
        <v>44070</v>
      </c>
      <c r="S700" s="34">
        <v>42065</v>
      </c>
      <c r="T700" s="34">
        <v>42067</v>
      </c>
      <c r="U700" s="29">
        <v>74.181899999999999</v>
      </c>
      <c r="V700" s="26">
        <v>12</v>
      </c>
      <c r="W700" s="29">
        <v>107.51</v>
      </c>
      <c r="X700" s="26">
        <v>91492</v>
      </c>
      <c r="Y700" s="35">
        <v>8.33</v>
      </c>
      <c r="Z700" s="1" t="s">
        <v>3014</v>
      </c>
      <c r="AA700" s="36">
        <v>0</v>
      </c>
      <c r="AB700" s="54">
        <v>51.604799999999997</v>
      </c>
      <c r="AC700" s="54">
        <v>4.6587666666666667</v>
      </c>
      <c r="AD700" s="36">
        <v>31.338100000000011</v>
      </c>
    </row>
    <row r="701" spans="1:30" s="37" customFormat="1" ht="15.75" customHeight="1" x14ac:dyDescent="0.2">
      <c r="A701" s="26">
        <v>64</v>
      </c>
      <c r="B701" s="27" t="s">
        <v>1471</v>
      </c>
      <c r="C701" s="27" t="s">
        <v>3094</v>
      </c>
      <c r="D701" s="28">
        <v>0</v>
      </c>
      <c r="E701" s="29">
        <v>3.69</v>
      </c>
      <c r="F701" s="29">
        <v>0.5</v>
      </c>
      <c r="G701" s="30" t="s">
        <v>39</v>
      </c>
      <c r="H701" s="27" t="s">
        <v>3095</v>
      </c>
      <c r="I701" s="27" t="s">
        <v>49</v>
      </c>
      <c r="J701" s="27" t="s">
        <v>152</v>
      </c>
      <c r="K701" s="27" t="s">
        <v>73</v>
      </c>
      <c r="L701" s="31" t="s">
        <v>1472</v>
      </c>
      <c r="M701" s="32">
        <v>0.38</v>
      </c>
      <c r="N701" s="27" t="s">
        <v>33</v>
      </c>
      <c r="O701" s="27" t="s">
        <v>34</v>
      </c>
      <c r="P701" s="27" t="s">
        <v>242</v>
      </c>
      <c r="Q701" s="27" t="s">
        <v>1473</v>
      </c>
      <c r="R701" s="33">
        <v>24153</v>
      </c>
      <c r="S701" s="34">
        <v>42065</v>
      </c>
      <c r="T701" s="34">
        <v>42067</v>
      </c>
      <c r="U701" s="29">
        <v>-37.5291</v>
      </c>
      <c r="V701" s="26">
        <v>1</v>
      </c>
      <c r="W701" s="29">
        <v>4</v>
      </c>
      <c r="X701" s="26">
        <v>87406</v>
      </c>
      <c r="Y701" s="35">
        <v>355.92</v>
      </c>
      <c r="Z701" s="1" t="s">
        <v>3011</v>
      </c>
      <c r="AA701" s="36">
        <v>0</v>
      </c>
      <c r="AB701" s="54">
        <v>2.48</v>
      </c>
      <c r="AC701" s="54">
        <v>1.52</v>
      </c>
      <c r="AD701" s="36">
        <v>41.0291</v>
      </c>
    </row>
    <row r="702" spans="1:30" s="37" customFormat="1" ht="15.75" customHeight="1" x14ac:dyDescent="0.2">
      <c r="A702" s="26">
        <v>428</v>
      </c>
      <c r="B702" s="27" t="s">
        <v>511</v>
      </c>
      <c r="C702" s="27" t="s">
        <v>3094</v>
      </c>
      <c r="D702" s="28">
        <v>0.05</v>
      </c>
      <c r="E702" s="29">
        <v>10.98</v>
      </c>
      <c r="F702" s="29">
        <v>4.8</v>
      </c>
      <c r="G702" s="30" t="s">
        <v>39</v>
      </c>
      <c r="H702" s="27" t="s">
        <v>94</v>
      </c>
      <c r="I702" s="27" t="s">
        <v>49</v>
      </c>
      <c r="J702" s="27" t="s">
        <v>345</v>
      </c>
      <c r="K702" s="27" t="s">
        <v>73</v>
      </c>
      <c r="L702" s="31" t="s">
        <v>1481</v>
      </c>
      <c r="M702" s="32">
        <v>0.36</v>
      </c>
      <c r="N702" s="27" t="s">
        <v>33</v>
      </c>
      <c r="O702" s="27" t="s">
        <v>60</v>
      </c>
      <c r="P702" s="27" t="s">
        <v>296</v>
      </c>
      <c r="Q702" s="27" t="s">
        <v>513</v>
      </c>
      <c r="R702" s="33">
        <v>89701</v>
      </c>
      <c r="S702" s="34">
        <v>42066</v>
      </c>
      <c r="T702" s="34">
        <v>42068</v>
      </c>
      <c r="U702" s="29">
        <v>90.62</v>
      </c>
      <c r="V702" s="26">
        <v>22</v>
      </c>
      <c r="W702" s="29">
        <v>243.11</v>
      </c>
      <c r="X702" s="26">
        <v>88480</v>
      </c>
      <c r="Y702" s="35">
        <v>2</v>
      </c>
      <c r="Z702" s="1" t="s">
        <v>3013</v>
      </c>
      <c r="AA702" s="36">
        <v>12.078000000000001</v>
      </c>
      <c r="AB702" s="54">
        <v>155.59040000000002</v>
      </c>
      <c r="AC702" s="54">
        <v>3.9781636363636363</v>
      </c>
      <c r="AD702" s="36">
        <v>135.61200000000002</v>
      </c>
    </row>
    <row r="703" spans="1:30" s="37" customFormat="1" ht="15.75" customHeight="1" x14ac:dyDescent="0.2">
      <c r="A703" s="26">
        <v>1686</v>
      </c>
      <c r="B703" s="27" t="s">
        <v>1479</v>
      </c>
      <c r="C703" s="27" t="s">
        <v>48</v>
      </c>
      <c r="D703" s="28">
        <v>0.08</v>
      </c>
      <c r="E703" s="29">
        <v>2.08</v>
      </c>
      <c r="F703" s="29">
        <v>5.33</v>
      </c>
      <c r="G703" s="30" t="s">
        <v>39</v>
      </c>
      <c r="H703" s="27" t="s">
        <v>94</v>
      </c>
      <c r="I703" s="27" t="s">
        <v>29</v>
      </c>
      <c r="J703" s="27" t="s">
        <v>126</v>
      </c>
      <c r="K703" s="27" t="s">
        <v>73</v>
      </c>
      <c r="L703" s="31" t="s">
        <v>459</v>
      </c>
      <c r="M703" s="32">
        <v>0.43</v>
      </c>
      <c r="N703" s="27" t="s">
        <v>33</v>
      </c>
      <c r="O703" s="27" t="s">
        <v>53</v>
      </c>
      <c r="P703" s="27" t="s">
        <v>103</v>
      </c>
      <c r="Q703" s="27" t="s">
        <v>1480</v>
      </c>
      <c r="R703" s="33">
        <v>60123</v>
      </c>
      <c r="S703" s="34">
        <v>42066</v>
      </c>
      <c r="T703" s="34">
        <v>42073</v>
      </c>
      <c r="U703" s="29">
        <v>-129.01</v>
      </c>
      <c r="V703" s="26">
        <v>9</v>
      </c>
      <c r="W703" s="29">
        <v>19.670000000000002</v>
      </c>
      <c r="X703" s="26">
        <v>86973</v>
      </c>
      <c r="Y703" s="35">
        <v>10.93</v>
      </c>
      <c r="Z703" s="1" t="s">
        <v>3012</v>
      </c>
      <c r="AA703" s="36">
        <v>1.4976000000000003</v>
      </c>
      <c r="AB703" s="54">
        <v>11.211900000000002</v>
      </c>
      <c r="AC703" s="54">
        <v>0.9397888888888889</v>
      </c>
      <c r="AD703" s="36">
        <v>141.85239999999999</v>
      </c>
    </row>
    <row r="704" spans="1:30" s="37" customFormat="1" ht="15.75" customHeight="1" x14ac:dyDescent="0.2">
      <c r="A704" s="26">
        <v>679</v>
      </c>
      <c r="B704" s="27" t="s">
        <v>1488</v>
      </c>
      <c r="C704" s="27" t="s">
        <v>116</v>
      </c>
      <c r="D704" s="28">
        <v>0.02</v>
      </c>
      <c r="E704" s="29">
        <v>367.99</v>
      </c>
      <c r="F704" s="29">
        <v>19.989999999999998</v>
      </c>
      <c r="G704" s="30" t="s">
        <v>39</v>
      </c>
      <c r="H704" s="27" t="s">
        <v>94</v>
      </c>
      <c r="I704" s="27" t="s">
        <v>49</v>
      </c>
      <c r="J704" s="27" t="s">
        <v>72</v>
      </c>
      <c r="K704" s="27" t="s">
        <v>73</v>
      </c>
      <c r="L704" s="31" t="s">
        <v>1491</v>
      </c>
      <c r="M704" s="32">
        <v>0.4</v>
      </c>
      <c r="N704" s="27" t="s">
        <v>33</v>
      </c>
      <c r="O704" s="27" t="s">
        <v>60</v>
      </c>
      <c r="P704" s="27" t="s">
        <v>67</v>
      </c>
      <c r="Q704" s="27" t="s">
        <v>1490</v>
      </c>
      <c r="R704" s="33">
        <v>98387</v>
      </c>
      <c r="S704" s="34">
        <v>42067</v>
      </c>
      <c r="T704" s="34">
        <v>42068</v>
      </c>
      <c r="U704" s="29">
        <v>4568.6072999999997</v>
      </c>
      <c r="V704" s="26">
        <v>17</v>
      </c>
      <c r="W704" s="29">
        <v>6621.17</v>
      </c>
      <c r="X704" s="26">
        <v>88890</v>
      </c>
      <c r="Y704" s="35">
        <v>280.96000000000004</v>
      </c>
      <c r="Z704" s="1" t="s">
        <v>3013</v>
      </c>
      <c r="AA704" s="36">
        <v>125.11660000000001</v>
      </c>
      <c r="AB704" s="54">
        <v>3972.7019999999998</v>
      </c>
      <c r="AC704" s="54">
        <v>155.79223529411766</v>
      </c>
      <c r="AD704" s="36">
        <v>1907.4561000000003</v>
      </c>
    </row>
    <row r="705" spans="1:30" s="37" customFormat="1" ht="15.75" customHeight="1" x14ac:dyDescent="0.2">
      <c r="A705" s="26">
        <v>91</v>
      </c>
      <c r="B705" s="27" t="s">
        <v>1246</v>
      </c>
      <c r="C705" s="27" t="s">
        <v>116</v>
      </c>
      <c r="D705" s="28">
        <v>0.06</v>
      </c>
      <c r="E705" s="29">
        <v>175.99</v>
      </c>
      <c r="F705" s="29">
        <v>8.99</v>
      </c>
      <c r="G705" s="30" t="s">
        <v>39</v>
      </c>
      <c r="H705" s="27" t="s">
        <v>94</v>
      </c>
      <c r="I705" s="27" t="s">
        <v>41</v>
      </c>
      <c r="J705" s="27" t="s">
        <v>135</v>
      </c>
      <c r="K705" s="27" t="s">
        <v>73</v>
      </c>
      <c r="L705" s="31" t="s">
        <v>1179</v>
      </c>
      <c r="M705" s="32">
        <v>0.56999999999999995</v>
      </c>
      <c r="N705" s="27" t="s">
        <v>33</v>
      </c>
      <c r="O705" s="27" t="s">
        <v>60</v>
      </c>
      <c r="P705" s="27" t="s">
        <v>90</v>
      </c>
      <c r="Q705" s="27" t="s">
        <v>1247</v>
      </c>
      <c r="R705" s="33">
        <v>94591</v>
      </c>
      <c r="S705" s="34">
        <v>42067</v>
      </c>
      <c r="T705" s="34">
        <v>42069</v>
      </c>
      <c r="U705" s="29">
        <v>2031.5070000000001</v>
      </c>
      <c r="V705" s="26">
        <v>23</v>
      </c>
      <c r="W705" s="29">
        <v>3363.53</v>
      </c>
      <c r="X705" s="26">
        <v>87177</v>
      </c>
      <c r="Y705" s="35">
        <v>5.32</v>
      </c>
      <c r="Z705" s="1" t="s">
        <v>3013</v>
      </c>
      <c r="AA705" s="36">
        <v>242.86619999999999</v>
      </c>
      <c r="AB705" s="54">
        <v>1446.3179000000002</v>
      </c>
      <c r="AC705" s="54">
        <v>83.357047826086955</v>
      </c>
      <c r="AD705" s="36">
        <v>1080.1668</v>
      </c>
    </row>
    <row r="706" spans="1:30" s="37" customFormat="1" ht="15.75" customHeight="1" x14ac:dyDescent="0.2">
      <c r="A706" s="26">
        <v>3133</v>
      </c>
      <c r="B706" s="27" t="s">
        <v>561</v>
      </c>
      <c r="C706" s="27" t="s">
        <v>26</v>
      </c>
      <c r="D706" s="28">
        <v>0.04</v>
      </c>
      <c r="E706" s="29">
        <v>155.99</v>
      </c>
      <c r="F706" s="29">
        <v>8.08</v>
      </c>
      <c r="G706" s="30" t="s">
        <v>39</v>
      </c>
      <c r="H706" s="27" t="s">
        <v>94</v>
      </c>
      <c r="I706" s="27" t="s">
        <v>41</v>
      </c>
      <c r="J706" s="27" t="s">
        <v>135</v>
      </c>
      <c r="K706" s="27" t="s">
        <v>73</v>
      </c>
      <c r="L706" s="31" t="s">
        <v>1487</v>
      </c>
      <c r="M706" s="32">
        <v>0.6</v>
      </c>
      <c r="N706" s="27" t="s">
        <v>33</v>
      </c>
      <c r="O706" s="27" t="s">
        <v>53</v>
      </c>
      <c r="P706" s="27" t="s">
        <v>103</v>
      </c>
      <c r="Q706" s="27" t="s">
        <v>562</v>
      </c>
      <c r="R706" s="33">
        <v>60540</v>
      </c>
      <c r="S706" s="34">
        <v>42067</v>
      </c>
      <c r="T706" s="34">
        <v>42068</v>
      </c>
      <c r="U706" s="29">
        <v>1374.9480000000001</v>
      </c>
      <c r="V706" s="26">
        <v>22</v>
      </c>
      <c r="W706" s="29">
        <v>2800.33</v>
      </c>
      <c r="X706" s="26">
        <v>86792</v>
      </c>
      <c r="Y706" s="35">
        <v>8.370000000000001</v>
      </c>
      <c r="Z706" s="1" t="s">
        <v>3012</v>
      </c>
      <c r="AA706" s="36">
        <v>137.27119999999999</v>
      </c>
      <c r="AB706" s="54">
        <v>1120.1320000000001</v>
      </c>
      <c r="AC706" s="54">
        <v>76.37263636363636</v>
      </c>
      <c r="AD706" s="36">
        <v>1280.0308</v>
      </c>
    </row>
    <row r="707" spans="1:30" s="37" customFormat="1" ht="15.75" customHeight="1" x14ac:dyDescent="0.2">
      <c r="A707" s="26">
        <v>568</v>
      </c>
      <c r="B707" s="27" t="s">
        <v>1482</v>
      </c>
      <c r="C707" s="27" t="s">
        <v>26</v>
      </c>
      <c r="D707" s="28">
        <v>0.02</v>
      </c>
      <c r="E707" s="29">
        <v>280.98</v>
      </c>
      <c r="F707" s="29">
        <v>57</v>
      </c>
      <c r="G707" s="30" t="s">
        <v>27</v>
      </c>
      <c r="H707" s="27" t="s">
        <v>40</v>
      </c>
      <c r="I707" s="27" t="s">
        <v>29</v>
      </c>
      <c r="J707" s="27" t="s">
        <v>109</v>
      </c>
      <c r="K707" s="27" t="s">
        <v>58</v>
      </c>
      <c r="L707" s="31" t="s">
        <v>862</v>
      </c>
      <c r="M707" s="32">
        <v>0.78</v>
      </c>
      <c r="N707" s="27" t="s">
        <v>33</v>
      </c>
      <c r="O707" s="27" t="s">
        <v>34</v>
      </c>
      <c r="P707" s="27" t="s">
        <v>35</v>
      </c>
      <c r="Q707" s="27" t="s">
        <v>1483</v>
      </c>
      <c r="R707" s="33">
        <v>39701</v>
      </c>
      <c r="S707" s="34">
        <v>42067</v>
      </c>
      <c r="T707" s="34">
        <v>42068</v>
      </c>
      <c r="U707" s="29">
        <v>1141.7940000000001</v>
      </c>
      <c r="V707" s="26">
        <v>4</v>
      </c>
      <c r="W707" s="29">
        <v>1128.74</v>
      </c>
      <c r="X707" s="26">
        <v>88879</v>
      </c>
      <c r="Y707" s="35">
        <v>14.77</v>
      </c>
      <c r="Z707" s="1" t="s">
        <v>3011</v>
      </c>
      <c r="AA707" s="36">
        <v>22.478400000000001</v>
      </c>
      <c r="AB707" s="54">
        <v>248.32279999999997</v>
      </c>
      <c r="AC707" s="54">
        <v>220.10430000000002</v>
      </c>
      <c r="AD707" s="36">
        <v>-92.532400000000052</v>
      </c>
    </row>
    <row r="708" spans="1:30" s="37" customFormat="1" ht="15.75" customHeight="1" x14ac:dyDescent="0.2">
      <c r="A708" s="26">
        <v>2358</v>
      </c>
      <c r="B708" s="27" t="s">
        <v>1166</v>
      </c>
      <c r="C708" s="27" t="s">
        <v>48</v>
      </c>
      <c r="D708" s="28">
        <v>0.1</v>
      </c>
      <c r="E708" s="29">
        <v>205.99</v>
      </c>
      <c r="F708" s="29">
        <v>8.99</v>
      </c>
      <c r="G708" s="30" t="s">
        <v>39</v>
      </c>
      <c r="H708" s="27" t="s">
        <v>94</v>
      </c>
      <c r="I708" s="27" t="s">
        <v>41</v>
      </c>
      <c r="J708" s="27" t="s">
        <v>135</v>
      </c>
      <c r="K708" s="27" t="s">
        <v>73</v>
      </c>
      <c r="L708" s="31" t="s">
        <v>663</v>
      </c>
      <c r="M708" s="32">
        <v>0.56000000000000005</v>
      </c>
      <c r="N708" s="27" t="s">
        <v>33</v>
      </c>
      <c r="O708" s="27" t="s">
        <v>34</v>
      </c>
      <c r="P708" s="27" t="s">
        <v>123</v>
      </c>
      <c r="Q708" s="27" t="s">
        <v>1096</v>
      </c>
      <c r="R708" s="33">
        <v>33311</v>
      </c>
      <c r="S708" s="34">
        <v>42067</v>
      </c>
      <c r="T708" s="34">
        <v>42071</v>
      </c>
      <c r="U708" s="29">
        <v>147</v>
      </c>
      <c r="V708" s="26">
        <v>2</v>
      </c>
      <c r="W708" s="29">
        <v>324.62</v>
      </c>
      <c r="X708" s="26">
        <v>88267</v>
      </c>
      <c r="Y708" s="35">
        <v>155.95000000000002</v>
      </c>
      <c r="Z708" s="1" t="s">
        <v>3011</v>
      </c>
      <c r="AA708" s="36">
        <v>41.198000000000008</v>
      </c>
      <c r="AB708" s="54">
        <v>142.83279999999999</v>
      </c>
      <c r="AC708" s="54">
        <v>90.893600000000006</v>
      </c>
      <c r="AD708" s="36">
        <v>127.43199999999999</v>
      </c>
    </row>
    <row r="709" spans="1:30" s="37" customFormat="1" ht="15.75" customHeight="1" x14ac:dyDescent="0.2">
      <c r="A709" s="26">
        <v>680</v>
      </c>
      <c r="B709" s="27" t="s">
        <v>1492</v>
      </c>
      <c r="C709" s="27" t="s">
        <v>116</v>
      </c>
      <c r="D709" s="28">
        <v>0.04</v>
      </c>
      <c r="E709" s="29">
        <v>95.99</v>
      </c>
      <c r="F709" s="29">
        <v>4.9000000000000004</v>
      </c>
      <c r="G709" s="30" t="s">
        <v>39</v>
      </c>
      <c r="H709" s="27" t="s">
        <v>94</v>
      </c>
      <c r="I709" s="27" t="s">
        <v>41</v>
      </c>
      <c r="J709" s="27" t="s">
        <v>135</v>
      </c>
      <c r="K709" s="27" t="s">
        <v>73</v>
      </c>
      <c r="L709" s="31" t="s">
        <v>768</v>
      </c>
      <c r="M709" s="32">
        <v>0.56000000000000005</v>
      </c>
      <c r="N709" s="27" t="s">
        <v>33</v>
      </c>
      <c r="O709" s="27" t="s">
        <v>60</v>
      </c>
      <c r="P709" s="27" t="s">
        <v>67</v>
      </c>
      <c r="Q709" s="27" t="s">
        <v>1493</v>
      </c>
      <c r="R709" s="33">
        <v>99207</v>
      </c>
      <c r="S709" s="34">
        <v>42067</v>
      </c>
      <c r="T709" s="34">
        <v>42069</v>
      </c>
      <c r="U709" s="29">
        <v>-258.22500000000002</v>
      </c>
      <c r="V709" s="26">
        <v>3</v>
      </c>
      <c r="W709" s="29">
        <v>253.78</v>
      </c>
      <c r="X709" s="26">
        <v>88890</v>
      </c>
      <c r="Y709" s="35">
        <v>10.08</v>
      </c>
      <c r="Z709" s="1" t="s">
        <v>3013</v>
      </c>
      <c r="AA709" s="36">
        <v>11.518799999999999</v>
      </c>
      <c r="AB709" s="54">
        <v>111.66319999999999</v>
      </c>
      <c r="AC709" s="54">
        <v>47.372266666666668</v>
      </c>
      <c r="AD709" s="36">
        <v>495.58620000000002</v>
      </c>
    </row>
    <row r="710" spans="1:30" s="37" customFormat="1" ht="15.75" customHeight="1" x14ac:dyDescent="0.2">
      <c r="A710" s="26">
        <v>3133</v>
      </c>
      <c r="B710" s="27" t="s">
        <v>561</v>
      </c>
      <c r="C710" s="27" t="s">
        <v>26</v>
      </c>
      <c r="D710" s="28">
        <v>0.21</v>
      </c>
      <c r="E710" s="29">
        <v>14.98</v>
      </c>
      <c r="F710" s="29">
        <v>8.99</v>
      </c>
      <c r="G710" s="30" t="s">
        <v>39</v>
      </c>
      <c r="H710" s="27" t="s">
        <v>94</v>
      </c>
      <c r="I710" s="27" t="s">
        <v>29</v>
      </c>
      <c r="J710" s="27" t="s">
        <v>126</v>
      </c>
      <c r="K710" s="27" t="s">
        <v>43</v>
      </c>
      <c r="L710" s="31" t="s">
        <v>1486</v>
      </c>
      <c r="M710" s="32">
        <v>0.39</v>
      </c>
      <c r="N710" s="27" t="s">
        <v>33</v>
      </c>
      <c r="O710" s="27" t="s">
        <v>53</v>
      </c>
      <c r="P710" s="27" t="s">
        <v>103</v>
      </c>
      <c r="Q710" s="27" t="s">
        <v>562</v>
      </c>
      <c r="R710" s="33">
        <v>60540</v>
      </c>
      <c r="S710" s="34">
        <v>42067</v>
      </c>
      <c r="T710" s="34">
        <v>42068</v>
      </c>
      <c r="U710" s="29">
        <v>-17.75</v>
      </c>
      <c r="V710" s="26">
        <v>10</v>
      </c>
      <c r="W710" s="29">
        <v>153.87</v>
      </c>
      <c r="X710" s="26">
        <v>86792</v>
      </c>
      <c r="Y710" s="35">
        <v>205.89000000000001</v>
      </c>
      <c r="Z710" s="1" t="s">
        <v>3012</v>
      </c>
      <c r="AA710" s="36">
        <v>31.457999999999998</v>
      </c>
      <c r="AB710" s="54">
        <v>93.860699999999994</v>
      </c>
      <c r="AC710" s="54">
        <v>6.0009300000000003</v>
      </c>
      <c r="AD710" s="36">
        <v>131.172</v>
      </c>
    </row>
    <row r="711" spans="1:30" s="37" customFormat="1" ht="15.75" customHeight="1" x14ac:dyDescent="0.2">
      <c r="A711" s="26">
        <v>3133</v>
      </c>
      <c r="B711" s="27" t="s">
        <v>561</v>
      </c>
      <c r="C711" s="27" t="s">
        <v>26</v>
      </c>
      <c r="D711" s="28">
        <v>0.09</v>
      </c>
      <c r="E711" s="29">
        <v>8.4600000000000009</v>
      </c>
      <c r="F711" s="29">
        <v>8.99</v>
      </c>
      <c r="G711" s="30" t="s">
        <v>87</v>
      </c>
      <c r="H711" s="27" t="s">
        <v>94</v>
      </c>
      <c r="I711" s="27" t="s">
        <v>41</v>
      </c>
      <c r="J711" s="27" t="s">
        <v>42</v>
      </c>
      <c r="K711" s="27" t="s">
        <v>43</v>
      </c>
      <c r="L711" s="31" t="s">
        <v>1485</v>
      </c>
      <c r="M711" s="32">
        <v>0.79</v>
      </c>
      <c r="N711" s="27" t="s">
        <v>33</v>
      </c>
      <c r="O711" s="27" t="s">
        <v>53</v>
      </c>
      <c r="P711" s="27" t="s">
        <v>103</v>
      </c>
      <c r="Q711" s="27" t="s">
        <v>562</v>
      </c>
      <c r="R711" s="33">
        <v>60540</v>
      </c>
      <c r="S711" s="34">
        <v>42067</v>
      </c>
      <c r="T711" s="34">
        <v>42070</v>
      </c>
      <c r="U711" s="29">
        <v>-100.51</v>
      </c>
      <c r="V711" s="26">
        <v>5</v>
      </c>
      <c r="W711" s="29">
        <v>45.03</v>
      </c>
      <c r="X711" s="26">
        <v>86792</v>
      </c>
      <c r="Y711" s="35">
        <v>175.93</v>
      </c>
      <c r="Z711" s="1" t="s">
        <v>3012</v>
      </c>
      <c r="AA711" s="36">
        <v>3.8070000000000004</v>
      </c>
      <c r="AB711" s="54">
        <v>9.4562999999999988</v>
      </c>
      <c r="AC711" s="54">
        <v>7.1147400000000003</v>
      </c>
      <c r="AD711" s="36">
        <v>132.74299999999999</v>
      </c>
    </row>
    <row r="712" spans="1:30" s="37" customFormat="1" ht="15.75" customHeight="1" x14ac:dyDescent="0.2">
      <c r="A712" s="26">
        <v>3133</v>
      </c>
      <c r="B712" s="27" t="s">
        <v>561</v>
      </c>
      <c r="C712" s="27" t="s">
        <v>26</v>
      </c>
      <c r="D712" s="28">
        <v>0.08</v>
      </c>
      <c r="E712" s="29">
        <v>5.4</v>
      </c>
      <c r="F712" s="29">
        <v>7.78</v>
      </c>
      <c r="G712" s="30" t="s">
        <v>39</v>
      </c>
      <c r="H712" s="27" t="s">
        <v>94</v>
      </c>
      <c r="I712" s="27" t="s">
        <v>49</v>
      </c>
      <c r="J712" s="27" t="s">
        <v>72</v>
      </c>
      <c r="K712" s="27" t="s">
        <v>73</v>
      </c>
      <c r="L712" s="31" t="s">
        <v>1484</v>
      </c>
      <c r="M712" s="32">
        <v>0.37</v>
      </c>
      <c r="N712" s="27" t="s">
        <v>33</v>
      </c>
      <c r="O712" s="27" t="s">
        <v>53</v>
      </c>
      <c r="P712" s="27" t="s">
        <v>103</v>
      </c>
      <c r="Q712" s="27" t="s">
        <v>562</v>
      </c>
      <c r="R712" s="33">
        <v>60540</v>
      </c>
      <c r="S712" s="34">
        <v>42067</v>
      </c>
      <c r="T712" s="34">
        <v>42067</v>
      </c>
      <c r="U712" s="29">
        <v>-44.067999999999998</v>
      </c>
      <c r="V712" s="26">
        <v>4</v>
      </c>
      <c r="W712" s="29">
        <v>25.35</v>
      </c>
      <c r="X712" s="26">
        <v>86792</v>
      </c>
      <c r="Y712" s="35">
        <v>3.9400000000000004</v>
      </c>
      <c r="Z712" s="1" t="s">
        <v>3012</v>
      </c>
      <c r="AA712" s="36">
        <v>1.7280000000000002</v>
      </c>
      <c r="AB712" s="54">
        <v>15.970500000000001</v>
      </c>
      <c r="AC712" s="54">
        <v>2.344875</v>
      </c>
      <c r="AD712" s="36">
        <v>59.91</v>
      </c>
    </row>
    <row r="713" spans="1:30" s="37" customFormat="1" ht="15.75" customHeight="1" x14ac:dyDescent="0.2">
      <c r="A713" s="26">
        <v>1005</v>
      </c>
      <c r="B713" s="27" t="s">
        <v>1397</v>
      </c>
      <c r="C713" s="27" t="s">
        <v>48</v>
      </c>
      <c r="D713" s="28">
        <v>0.06</v>
      </c>
      <c r="E713" s="29">
        <v>10.14</v>
      </c>
      <c r="F713" s="29">
        <v>2.27</v>
      </c>
      <c r="G713" s="30" t="s">
        <v>39</v>
      </c>
      <c r="H713" s="27" t="s">
        <v>3095</v>
      </c>
      <c r="I713" s="27" t="s">
        <v>49</v>
      </c>
      <c r="J713" s="27" t="s">
        <v>88</v>
      </c>
      <c r="K713" s="27" t="s">
        <v>51</v>
      </c>
      <c r="L713" s="31" t="s">
        <v>171</v>
      </c>
      <c r="M713" s="32">
        <v>0.36</v>
      </c>
      <c r="N713" s="27" t="s">
        <v>33</v>
      </c>
      <c r="O713" s="27" t="s">
        <v>53</v>
      </c>
      <c r="P713" s="27" t="s">
        <v>103</v>
      </c>
      <c r="Q713" s="27" t="s">
        <v>1399</v>
      </c>
      <c r="R713" s="33">
        <v>60089</v>
      </c>
      <c r="S713" s="34">
        <v>42067</v>
      </c>
      <c r="T713" s="34">
        <v>42067</v>
      </c>
      <c r="U713" s="29">
        <v>-3.88</v>
      </c>
      <c r="V713" s="26">
        <v>1</v>
      </c>
      <c r="W713" s="29">
        <v>12.18</v>
      </c>
      <c r="X713" s="26">
        <v>90043</v>
      </c>
      <c r="Y713" s="35">
        <v>367.97</v>
      </c>
      <c r="Z713" s="1" t="s">
        <v>3012</v>
      </c>
      <c r="AA713" s="36">
        <v>0.60840000000000005</v>
      </c>
      <c r="AB713" s="54">
        <v>7.7952000000000004</v>
      </c>
      <c r="AC713" s="54">
        <v>4.3847999999999994</v>
      </c>
      <c r="AD713" s="36">
        <v>13.1816</v>
      </c>
    </row>
    <row r="714" spans="1:30" s="37" customFormat="1" ht="15.75" customHeight="1" x14ac:dyDescent="0.2">
      <c r="A714" s="26">
        <v>679</v>
      </c>
      <c r="B714" s="27" t="s">
        <v>1488</v>
      </c>
      <c r="C714" s="27" t="s">
        <v>116</v>
      </c>
      <c r="D714" s="28">
        <v>0.01</v>
      </c>
      <c r="E714" s="29">
        <v>3.95</v>
      </c>
      <c r="F714" s="29">
        <v>5.13</v>
      </c>
      <c r="G714" s="30" t="s">
        <v>39</v>
      </c>
      <c r="H714" s="27" t="s">
        <v>94</v>
      </c>
      <c r="I714" s="27" t="s">
        <v>49</v>
      </c>
      <c r="J714" s="27" t="s">
        <v>95</v>
      </c>
      <c r="K714" s="27" t="s">
        <v>73</v>
      </c>
      <c r="L714" s="31" t="s">
        <v>1489</v>
      </c>
      <c r="M714" s="32">
        <v>0.59</v>
      </c>
      <c r="N714" s="27" t="s">
        <v>33</v>
      </c>
      <c r="O714" s="27" t="s">
        <v>60</v>
      </c>
      <c r="P714" s="27" t="s">
        <v>67</v>
      </c>
      <c r="Q714" s="27" t="s">
        <v>1490</v>
      </c>
      <c r="R714" s="33">
        <v>98387</v>
      </c>
      <c r="S714" s="34">
        <v>42067</v>
      </c>
      <c r="T714" s="34">
        <v>42068</v>
      </c>
      <c r="U714" s="29">
        <v>-19.93</v>
      </c>
      <c r="V714" s="26">
        <v>2</v>
      </c>
      <c r="W714" s="29">
        <v>10.11</v>
      </c>
      <c r="X714" s="26">
        <v>88890</v>
      </c>
      <c r="Y714" s="35">
        <v>95.949999999999989</v>
      </c>
      <c r="Z714" s="1" t="s">
        <v>3013</v>
      </c>
      <c r="AA714" s="36">
        <v>7.9000000000000001E-2</v>
      </c>
      <c r="AB714" s="54">
        <v>4.1451000000000002</v>
      </c>
      <c r="AC714" s="54">
        <v>2.9824499999999996</v>
      </c>
      <c r="AD714" s="36">
        <v>24.831</v>
      </c>
    </row>
    <row r="715" spans="1:30" s="37" customFormat="1" ht="15.75" customHeight="1" x14ac:dyDescent="0.2">
      <c r="A715" s="26">
        <v>1279</v>
      </c>
      <c r="B715" s="27" t="s">
        <v>1447</v>
      </c>
      <c r="C715" s="27" t="s">
        <v>3094</v>
      </c>
      <c r="D715" s="28">
        <v>0</v>
      </c>
      <c r="E715" s="29">
        <v>442.14</v>
      </c>
      <c r="F715" s="29">
        <v>14.7</v>
      </c>
      <c r="G715" s="30" t="s">
        <v>27</v>
      </c>
      <c r="H715" s="27" t="s">
        <v>94</v>
      </c>
      <c r="I715" s="27" t="s">
        <v>41</v>
      </c>
      <c r="J715" s="27" t="s">
        <v>57</v>
      </c>
      <c r="K715" s="27" t="s">
        <v>58</v>
      </c>
      <c r="L715" s="31" t="s">
        <v>1312</v>
      </c>
      <c r="M715" s="32">
        <v>0.56000000000000005</v>
      </c>
      <c r="N715" s="27" t="s">
        <v>33</v>
      </c>
      <c r="O715" s="27" t="s">
        <v>53</v>
      </c>
      <c r="P715" s="27" t="s">
        <v>54</v>
      </c>
      <c r="Q715" s="27" t="s">
        <v>1448</v>
      </c>
      <c r="R715" s="33">
        <v>46324</v>
      </c>
      <c r="S715" s="34">
        <v>42068</v>
      </c>
      <c r="T715" s="34">
        <v>42068</v>
      </c>
      <c r="U715" s="29">
        <v>501.51</v>
      </c>
      <c r="V715" s="26">
        <v>5</v>
      </c>
      <c r="W715" s="29">
        <v>2343.34</v>
      </c>
      <c r="X715" s="26">
        <v>90115</v>
      </c>
      <c r="Y715" s="35">
        <v>107.48</v>
      </c>
      <c r="Z715" s="1" t="s">
        <v>3012</v>
      </c>
      <c r="AA715" s="36">
        <v>0</v>
      </c>
      <c r="AB715" s="54">
        <v>1031.0696</v>
      </c>
      <c r="AC715" s="54">
        <v>262.45408000000003</v>
      </c>
      <c r="AD715" s="36">
        <v>1827.13</v>
      </c>
    </row>
    <row r="716" spans="1:30" s="37" customFormat="1" ht="15.75" customHeight="1" x14ac:dyDescent="0.2">
      <c r="A716" s="26">
        <v>3003</v>
      </c>
      <c r="B716" s="27" t="s">
        <v>1507</v>
      </c>
      <c r="C716" s="27" t="s">
        <v>116</v>
      </c>
      <c r="D716" s="28">
        <v>0.03</v>
      </c>
      <c r="E716" s="29">
        <v>85.99</v>
      </c>
      <c r="F716" s="29">
        <v>0.99</v>
      </c>
      <c r="G716" s="30" t="s">
        <v>39</v>
      </c>
      <c r="H716" s="27" t="s">
        <v>71</v>
      </c>
      <c r="I716" s="27" t="s">
        <v>41</v>
      </c>
      <c r="J716" s="27" t="s">
        <v>135</v>
      </c>
      <c r="K716" s="27" t="s">
        <v>51</v>
      </c>
      <c r="L716" s="31" t="s">
        <v>1176</v>
      </c>
      <c r="M716" s="32">
        <v>0.55000000000000004</v>
      </c>
      <c r="N716" s="27" t="s">
        <v>33</v>
      </c>
      <c r="O716" s="27" t="s">
        <v>60</v>
      </c>
      <c r="P716" s="27" t="s">
        <v>490</v>
      </c>
      <c r="Q716" s="27" t="s">
        <v>1508</v>
      </c>
      <c r="R716" s="33">
        <v>83814</v>
      </c>
      <c r="S716" s="34">
        <v>42068</v>
      </c>
      <c r="T716" s="34">
        <v>42069</v>
      </c>
      <c r="U716" s="29">
        <v>1037.1044999999999</v>
      </c>
      <c r="V716" s="26">
        <v>20</v>
      </c>
      <c r="W716" s="29">
        <v>1503.05</v>
      </c>
      <c r="X716" s="26">
        <v>91586</v>
      </c>
      <c r="Y716" s="35">
        <v>3.23</v>
      </c>
      <c r="Z716" s="1" t="s">
        <v>3013</v>
      </c>
      <c r="AA716" s="36">
        <v>51.593999999999994</v>
      </c>
      <c r="AB716" s="54">
        <v>676.37249999999995</v>
      </c>
      <c r="AC716" s="54">
        <v>41.333875000000006</v>
      </c>
      <c r="AD716" s="36">
        <v>413.36149999999998</v>
      </c>
    </row>
    <row r="717" spans="1:30" s="37" customFormat="1" ht="15.75" customHeight="1" x14ac:dyDescent="0.2">
      <c r="A717" s="26">
        <v>670</v>
      </c>
      <c r="B717" s="27" t="s">
        <v>1500</v>
      </c>
      <c r="C717" s="27" t="s">
        <v>48</v>
      </c>
      <c r="D717" s="28">
        <v>0.08</v>
      </c>
      <c r="E717" s="29">
        <v>296.18</v>
      </c>
      <c r="F717" s="29">
        <v>54.12</v>
      </c>
      <c r="G717" s="30" t="s">
        <v>27</v>
      </c>
      <c r="H717" s="27" t="s">
        <v>71</v>
      </c>
      <c r="I717" s="27" t="s">
        <v>29</v>
      </c>
      <c r="J717" s="27" t="s">
        <v>30</v>
      </c>
      <c r="K717" s="27" t="s">
        <v>31</v>
      </c>
      <c r="L717" s="31" t="s">
        <v>1079</v>
      </c>
      <c r="M717" s="32">
        <v>0.76</v>
      </c>
      <c r="N717" s="27" t="s">
        <v>33</v>
      </c>
      <c r="O717" s="27" t="s">
        <v>34</v>
      </c>
      <c r="P717" s="27" t="s">
        <v>242</v>
      </c>
      <c r="Q717" s="27" t="s">
        <v>1501</v>
      </c>
      <c r="R717" s="33">
        <v>22025</v>
      </c>
      <c r="S717" s="34">
        <v>42068</v>
      </c>
      <c r="T717" s="34">
        <v>42075</v>
      </c>
      <c r="U717" s="29">
        <v>-187.22200000000001</v>
      </c>
      <c r="V717" s="26">
        <v>5</v>
      </c>
      <c r="W717" s="29">
        <v>1429.81</v>
      </c>
      <c r="X717" s="26">
        <v>88474</v>
      </c>
      <c r="Y717" s="35">
        <v>6.95</v>
      </c>
      <c r="Z717" s="1" t="s">
        <v>3011</v>
      </c>
      <c r="AA717" s="36">
        <v>118.47200000000001</v>
      </c>
      <c r="AB717" s="54">
        <v>343.15439999999995</v>
      </c>
      <c r="AC717" s="54">
        <v>217.33112</v>
      </c>
      <c r="AD717" s="36">
        <v>1444.44</v>
      </c>
    </row>
    <row r="718" spans="1:30" s="37" customFormat="1" ht="15.75" customHeight="1" x14ac:dyDescent="0.2">
      <c r="A718" s="26">
        <v>2696</v>
      </c>
      <c r="B718" s="27" t="s">
        <v>1494</v>
      </c>
      <c r="C718" s="27" t="s">
        <v>26</v>
      </c>
      <c r="D718" s="28">
        <v>0.05</v>
      </c>
      <c r="E718" s="29">
        <v>107.53</v>
      </c>
      <c r="F718" s="29">
        <v>5.81</v>
      </c>
      <c r="G718" s="30" t="s">
        <v>39</v>
      </c>
      <c r="H718" s="27" t="s">
        <v>71</v>
      </c>
      <c r="I718" s="27" t="s">
        <v>29</v>
      </c>
      <c r="J718" s="27" t="s">
        <v>126</v>
      </c>
      <c r="K718" s="27" t="s">
        <v>144</v>
      </c>
      <c r="L718" s="31" t="s">
        <v>1495</v>
      </c>
      <c r="M718" s="32">
        <v>0.65</v>
      </c>
      <c r="N718" s="27" t="s">
        <v>33</v>
      </c>
      <c r="O718" s="27" t="s">
        <v>34</v>
      </c>
      <c r="P718" s="27" t="s">
        <v>164</v>
      </c>
      <c r="Q718" s="27" t="s">
        <v>1496</v>
      </c>
      <c r="R718" s="33">
        <v>35401</v>
      </c>
      <c r="S718" s="34">
        <v>42068</v>
      </c>
      <c r="T718" s="34">
        <v>42069</v>
      </c>
      <c r="U718" s="29">
        <v>-89.418000000000006</v>
      </c>
      <c r="V718" s="26">
        <v>6</v>
      </c>
      <c r="W718" s="29">
        <v>612.91999999999996</v>
      </c>
      <c r="X718" s="26">
        <v>87676</v>
      </c>
      <c r="Y718" s="35">
        <v>296.10000000000002</v>
      </c>
      <c r="Z718" s="1" t="s">
        <v>3011</v>
      </c>
      <c r="AA718" s="36">
        <v>32.259</v>
      </c>
      <c r="AB718" s="54">
        <v>214.52199999999996</v>
      </c>
      <c r="AC718" s="54">
        <v>66.399666666666661</v>
      </c>
      <c r="AD718" s="36">
        <v>664.26900000000001</v>
      </c>
    </row>
    <row r="719" spans="1:30" s="37" customFormat="1" ht="15.75" customHeight="1" x14ac:dyDescent="0.2">
      <c r="A719" s="26">
        <v>1014</v>
      </c>
      <c r="B719" s="27" t="s">
        <v>1444</v>
      </c>
      <c r="C719" s="27" t="s">
        <v>3094</v>
      </c>
      <c r="D719" s="28">
        <v>0.08</v>
      </c>
      <c r="E719" s="29">
        <v>10.91</v>
      </c>
      <c r="F719" s="29">
        <v>2.99</v>
      </c>
      <c r="G719" s="30" t="s">
        <v>39</v>
      </c>
      <c r="H719" s="27" t="s">
        <v>71</v>
      </c>
      <c r="I719" s="27" t="s">
        <v>49</v>
      </c>
      <c r="J719" s="27" t="s">
        <v>72</v>
      </c>
      <c r="K719" s="27" t="s">
        <v>73</v>
      </c>
      <c r="L719" s="31" t="s">
        <v>1509</v>
      </c>
      <c r="M719" s="32">
        <v>0.38</v>
      </c>
      <c r="N719" s="27" t="s">
        <v>33</v>
      </c>
      <c r="O719" s="27" t="s">
        <v>34</v>
      </c>
      <c r="P719" s="27" t="s">
        <v>45</v>
      </c>
      <c r="Q719" s="27" t="s">
        <v>1445</v>
      </c>
      <c r="R719" s="33">
        <v>72022</v>
      </c>
      <c r="S719" s="34">
        <v>42068</v>
      </c>
      <c r="T719" s="34">
        <v>42069</v>
      </c>
      <c r="U719" s="29">
        <v>-2.1</v>
      </c>
      <c r="V719" s="26">
        <v>11</v>
      </c>
      <c r="W719" s="29">
        <v>119.99</v>
      </c>
      <c r="X719" s="26">
        <v>88388</v>
      </c>
      <c r="Y719" s="35">
        <v>4.51</v>
      </c>
      <c r="Z719" s="1" t="s">
        <v>3011</v>
      </c>
      <c r="AA719" s="36">
        <v>9.6007999999999996</v>
      </c>
      <c r="AB719" s="54">
        <v>74.393799999999999</v>
      </c>
      <c r="AC719" s="54">
        <v>4.1451090909090906</v>
      </c>
      <c r="AD719" s="36">
        <v>109.4992</v>
      </c>
    </row>
    <row r="720" spans="1:30" s="37" customFormat="1" ht="15.75" customHeight="1" x14ac:dyDescent="0.2">
      <c r="A720" s="26">
        <v>2376</v>
      </c>
      <c r="B720" s="27" t="s">
        <v>1497</v>
      </c>
      <c r="C720" s="27" t="s">
        <v>38</v>
      </c>
      <c r="D720" s="28">
        <v>0.03</v>
      </c>
      <c r="E720" s="29">
        <v>6.98</v>
      </c>
      <c r="F720" s="29">
        <v>9.69</v>
      </c>
      <c r="G720" s="30" t="s">
        <v>39</v>
      </c>
      <c r="H720" s="27" t="s">
        <v>94</v>
      </c>
      <c r="I720" s="27" t="s">
        <v>49</v>
      </c>
      <c r="J720" s="27" t="s">
        <v>78</v>
      </c>
      <c r="K720" s="27" t="s">
        <v>73</v>
      </c>
      <c r="L720" s="31" t="s">
        <v>1499</v>
      </c>
      <c r="M720" s="32">
        <v>0.83</v>
      </c>
      <c r="N720" s="27" t="s">
        <v>33</v>
      </c>
      <c r="O720" s="27" t="s">
        <v>60</v>
      </c>
      <c r="P720" s="27" t="s">
        <v>490</v>
      </c>
      <c r="Q720" s="27" t="s">
        <v>1498</v>
      </c>
      <c r="R720" s="33">
        <v>83843</v>
      </c>
      <c r="S720" s="34">
        <v>42068</v>
      </c>
      <c r="T720" s="34">
        <v>42070</v>
      </c>
      <c r="U720" s="29">
        <v>-262.62</v>
      </c>
      <c r="V720" s="26">
        <v>15</v>
      </c>
      <c r="W720" s="29">
        <v>109.15</v>
      </c>
      <c r="X720" s="26">
        <v>91321</v>
      </c>
      <c r="Y720" s="35">
        <v>34.959999999999994</v>
      </c>
      <c r="Z720" s="1" t="s">
        <v>3013</v>
      </c>
      <c r="AA720" s="36">
        <v>3.141</v>
      </c>
      <c r="AB720" s="54">
        <v>18.555500000000006</v>
      </c>
      <c r="AC720" s="54">
        <v>6.0396333333333336</v>
      </c>
      <c r="AD720" s="36">
        <v>358.93900000000002</v>
      </c>
    </row>
    <row r="721" spans="1:30" s="37" customFormat="1" ht="15.75" customHeight="1" x14ac:dyDescent="0.2">
      <c r="A721" s="26">
        <v>1432</v>
      </c>
      <c r="B721" s="27" t="s">
        <v>1510</v>
      </c>
      <c r="C721" s="27" t="s">
        <v>3094</v>
      </c>
      <c r="D721" s="28">
        <v>0.05</v>
      </c>
      <c r="E721" s="29">
        <v>9.7799999999999994</v>
      </c>
      <c r="F721" s="29">
        <v>1.39</v>
      </c>
      <c r="G721" s="30" t="s">
        <v>39</v>
      </c>
      <c r="H721" s="27" t="s">
        <v>94</v>
      </c>
      <c r="I721" s="27" t="s">
        <v>49</v>
      </c>
      <c r="J721" s="27" t="s">
        <v>345</v>
      </c>
      <c r="K721" s="27" t="s">
        <v>73</v>
      </c>
      <c r="L721" s="31" t="s">
        <v>1511</v>
      </c>
      <c r="M721" s="32">
        <v>0.39</v>
      </c>
      <c r="N721" s="27" t="s">
        <v>33</v>
      </c>
      <c r="O721" s="27" t="s">
        <v>53</v>
      </c>
      <c r="P721" s="27" t="s">
        <v>54</v>
      </c>
      <c r="Q721" s="27" t="s">
        <v>1512</v>
      </c>
      <c r="R721" s="33">
        <v>46203</v>
      </c>
      <c r="S721" s="34">
        <v>42068</v>
      </c>
      <c r="T721" s="34">
        <v>42069</v>
      </c>
      <c r="U721" s="29">
        <v>74.278499999999994</v>
      </c>
      <c r="V721" s="26">
        <v>11</v>
      </c>
      <c r="W721" s="29">
        <v>107.65</v>
      </c>
      <c r="X721" s="26">
        <v>86826</v>
      </c>
      <c r="Y721" s="35">
        <v>19.979999999999997</v>
      </c>
      <c r="Z721" s="1" t="s">
        <v>3012</v>
      </c>
      <c r="AA721" s="36">
        <v>5.3789999999999996</v>
      </c>
      <c r="AB721" s="54">
        <v>65.666499999999999</v>
      </c>
      <c r="AC721" s="54">
        <v>3.8166818181818187</v>
      </c>
      <c r="AD721" s="36">
        <v>26.602500000000006</v>
      </c>
    </row>
    <row r="722" spans="1:30" s="37" customFormat="1" ht="15.75" customHeight="1" x14ac:dyDescent="0.2">
      <c r="A722" s="26">
        <v>2006</v>
      </c>
      <c r="B722" s="27" t="s">
        <v>1515</v>
      </c>
      <c r="C722" s="27" t="s">
        <v>3094</v>
      </c>
      <c r="D722" s="28">
        <v>0.03</v>
      </c>
      <c r="E722" s="29">
        <v>5.78</v>
      </c>
      <c r="F722" s="29">
        <v>5.37</v>
      </c>
      <c r="G722" s="30" t="s">
        <v>39</v>
      </c>
      <c r="H722" s="27" t="s">
        <v>71</v>
      </c>
      <c r="I722" s="27" t="s">
        <v>49</v>
      </c>
      <c r="J722" s="27" t="s">
        <v>88</v>
      </c>
      <c r="K722" s="27" t="s">
        <v>73</v>
      </c>
      <c r="L722" s="31" t="s">
        <v>1516</v>
      </c>
      <c r="M722" s="32">
        <v>0.36</v>
      </c>
      <c r="N722" s="27" t="s">
        <v>33</v>
      </c>
      <c r="O722" s="27" t="s">
        <v>60</v>
      </c>
      <c r="P722" s="27" t="s">
        <v>61</v>
      </c>
      <c r="Q722" s="27" t="s">
        <v>1243</v>
      </c>
      <c r="R722" s="33">
        <v>81301</v>
      </c>
      <c r="S722" s="34">
        <v>42068</v>
      </c>
      <c r="T722" s="34">
        <v>42069</v>
      </c>
      <c r="U722" s="29">
        <v>-63.35</v>
      </c>
      <c r="V722" s="26">
        <v>15</v>
      </c>
      <c r="W722" s="29">
        <v>88.22</v>
      </c>
      <c r="X722" s="26">
        <v>88798</v>
      </c>
      <c r="Y722" s="35">
        <v>85.96</v>
      </c>
      <c r="Z722" s="1" t="s">
        <v>3013</v>
      </c>
      <c r="AA722" s="36">
        <v>2.601</v>
      </c>
      <c r="AB722" s="54">
        <v>56.460799999999999</v>
      </c>
      <c r="AC722" s="54">
        <v>2.1172800000000001</v>
      </c>
      <c r="AD722" s="36">
        <v>143.59899999999999</v>
      </c>
    </row>
    <row r="723" spans="1:30" s="37" customFormat="1" ht="15.75" customHeight="1" x14ac:dyDescent="0.2">
      <c r="A723" s="26">
        <v>2376</v>
      </c>
      <c r="B723" s="27" t="s">
        <v>1497</v>
      </c>
      <c r="C723" s="27" t="s">
        <v>38</v>
      </c>
      <c r="D723" s="28">
        <v>0.05</v>
      </c>
      <c r="E723" s="29">
        <v>3.28</v>
      </c>
      <c r="F723" s="29">
        <v>3.97</v>
      </c>
      <c r="G723" s="30" t="s">
        <v>39</v>
      </c>
      <c r="H723" s="27" t="s">
        <v>94</v>
      </c>
      <c r="I723" s="27" t="s">
        <v>49</v>
      </c>
      <c r="J723" s="27" t="s">
        <v>50</v>
      </c>
      <c r="K723" s="27" t="s">
        <v>51</v>
      </c>
      <c r="L723" s="31" t="s">
        <v>245</v>
      </c>
      <c r="M723" s="32">
        <v>0.56000000000000005</v>
      </c>
      <c r="N723" s="27" t="s">
        <v>33</v>
      </c>
      <c r="O723" s="27" t="s">
        <v>60</v>
      </c>
      <c r="P723" s="27" t="s">
        <v>490</v>
      </c>
      <c r="Q723" s="27" t="s">
        <v>1498</v>
      </c>
      <c r="R723" s="33">
        <v>83843</v>
      </c>
      <c r="S723" s="34">
        <v>42068</v>
      </c>
      <c r="T723" s="34">
        <v>42069</v>
      </c>
      <c r="U723" s="29">
        <v>-100.24</v>
      </c>
      <c r="V723" s="26">
        <v>18</v>
      </c>
      <c r="W723" s="29">
        <v>61.29</v>
      </c>
      <c r="X723" s="26">
        <v>91321</v>
      </c>
      <c r="Y723" s="35">
        <v>10.83</v>
      </c>
      <c r="Z723" s="1" t="s">
        <v>3013</v>
      </c>
      <c r="AA723" s="36">
        <v>2.952</v>
      </c>
      <c r="AB723" s="54">
        <v>26.967599999999997</v>
      </c>
      <c r="AC723" s="54">
        <v>1.9068000000000001</v>
      </c>
      <c r="AD723" s="36">
        <v>154.608</v>
      </c>
    </row>
    <row r="724" spans="1:30" s="37" customFormat="1" ht="15.75" customHeight="1" x14ac:dyDescent="0.2">
      <c r="A724" s="26">
        <v>2944</v>
      </c>
      <c r="B724" s="27" t="s">
        <v>1502</v>
      </c>
      <c r="C724" s="27" t="s">
        <v>48</v>
      </c>
      <c r="D724" s="28">
        <v>0.04</v>
      </c>
      <c r="E724" s="29">
        <v>4.55</v>
      </c>
      <c r="F724" s="29">
        <v>1.49</v>
      </c>
      <c r="G724" s="30" t="s">
        <v>39</v>
      </c>
      <c r="H724" s="27" t="s">
        <v>94</v>
      </c>
      <c r="I724" s="27" t="s">
        <v>49</v>
      </c>
      <c r="J724" s="27" t="s">
        <v>72</v>
      </c>
      <c r="K724" s="27" t="s">
        <v>73</v>
      </c>
      <c r="L724" s="31" t="s">
        <v>1503</v>
      </c>
      <c r="M724" s="32">
        <v>0.35</v>
      </c>
      <c r="N724" s="27" t="s">
        <v>33</v>
      </c>
      <c r="O724" s="27" t="s">
        <v>53</v>
      </c>
      <c r="P724" s="27" t="s">
        <v>289</v>
      </c>
      <c r="Q724" s="27" t="s">
        <v>1504</v>
      </c>
      <c r="R724" s="33">
        <v>48640</v>
      </c>
      <c r="S724" s="34">
        <v>42068</v>
      </c>
      <c r="T724" s="34">
        <v>42070</v>
      </c>
      <c r="U724" s="29">
        <v>28.288</v>
      </c>
      <c r="V724" s="26">
        <v>13</v>
      </c>
      <c r="W724" s="29">
        <v>59.75</v>
      </c>
      <c r="X724" s="26">
        <v>90309</v>
      </c>
      <c r="Y724" s="35">
        <v>442.14</v>
      </c>
      <c r="Z724" s="1" t="s">
        <v>3012</v>
      </c>
      <c r="AA724" s="36">
        <v>2.3660000000000001</v>
      </c>
      <c r="AB724" s="54">
        <v>38.837499999999999</v>
      </c>
      <c r="AC724" s="54">
        <v>1.608653846153846</v>
      </c>
      <c r="AD724" s="36">
        <v>27.606000000000002</v>
      </c>
    </row>
    <row r="725" spans="1:30" s="37" customFormat="1" ht="15.75" customHeight="1" x14ac:dyDescent="0.2">
      <c r="A725" s="26">
        <v>392</v>
      </c>
      <c r="B725" s="27" t="s">
        <v>1505</v>
      </c>
      <c r="C725" s="27" t="s">
        <v>116</v>
      </c>
      <c r="D725" s="28">
        <v>0.01</v>
      </c>
      <c r="E725" s="29">
        <v>19.989999999999998</v>
      </c>
      <c r="F725" s="29">
        <v>11.17</v>
      </c>
      <c r="G725" s="30" t="s">
        <v>39</v>
      </c>
      <c r="H725" s="27" t="s">
        <v>94</v>
      </c>
      <c r="I725" s="27" t="s">
        <v>29</v>
      </c>
      <c r="J725" s="27" t="s">
        <v>126</v>
      </c>
      <c r="K725" s="27" t="s">
        <v>65</v>
      </c>
      <c r="L725" s="31" t="s">
        <v>489</v>
      </c>
      <c r="M725" s="32">
        <v>0.6</v>
      </c>
      <c r="N725" s="27" t="s">
        <v>33</v>
      </c>
      <c r="O725" s="27" t="s">
        <v>53</v>
      </c>
      <c r="P725" s="27" t="s">
        <v>80</v>
      </c>
      <c r="Q725" s="27" t="s">
        <v>1506</v>
      </c>
      <c r="R725" s="33">
        <v>63105</v>
      </c>
      <c r="S725" s="34">
        <v>42068</v>
      </c>
      <c r="T725" s="34">
        <v>42071</v>
      </c>
      <c r="U725" s="29">
        <v>27.91</v>
      </c>
      <c r="V725" s="26">
        <v>2</v>
      </c>
      <c r="W725" s="29">
        <v>43.65</v>
      </c>
      <c r="X725" s="26">
        <v>86383</v>
      </c>
      <c r="Y725" s="35">
        <v>9.7299999999999986</v>
      </c>
      <c r="Z725" s="1" t="s">
        <v>3012</v>
      </c>
      <c r="AA725" s="36">
        <v>0.39979999999999999</v>
      </c>
      <c r="AB725" s="54">
        <v>17.46</v>
      </c>
      <c r="AC725" s="54">
        <v>13.094999999999999</v>
      </c>
      <c r="AD725" s="36">
        <v>4.1702000000000012</v>
      </c>
    </row>
    <row r="726" spans="1:30" s="37" customFormat="1" ht="15.75" customHeight="1" x14ac:dyDescent="0.2">
      <c r="A726" s="26">
        <v>392</v>
      </c>
      <c r="B726" s="27" t="s">
        <v>1505</v>
      </c>
      <c r="C726" s="27" t="s">
        <v>116</v>
      </c>
      <c r="D726" s="28">
        <v>0.02</v>
      </c>
      <c r="E726" s="29">
        <v>34.979999999999997</v>
      </c>
      <c r="F726" s="29">
        <v>7.53</v>
      </c>
      <c r="G726" s="30" t="s">
        <v>39</v>
      </c>
      <c r="H726" s="27" t="s">
        <v>94</v>
      </c>
      <c r="I726" s="27" t="s">
        <v>41</v>
      </c>
      <c r="J726" s="27" t="s">
        <v>42</v>
      </c>
      <c r="K726" s="27" t="s">
        <v>73</v>
      </c>
      <c r="L726" s="31" t="s">
        <v>1439</v>
      </c>
      <c r="M726" s="32">
        <v>0.76</v>
      </c>
      <c r="N726" s="27" t="s">
        <v>33</v>
      </c>
      <c r="O726" s="27" t="s">
        <v>53</v>
      </c>
      <c r="P726" s="27" t="s">
        <v>80</v>
      </c>
      <c r="Q726" s="27" t="s">
        <v>1506</v>
      </c>
      <c r="R726" s="33">
        <v>63105</v>
      </c>
      <c r="S726" s="34">
        <v>42068</v>
      </c>
      <c r="T726" s="34">
        <v>42070</v>
      </c>
      <c r="U726" s="29">
        <v>-159.68</v>
      </c>
      <c r="V726" s="26">
        <v>1</v>
      </c>
      <c r="W726" s="29">
        <v>37.159999999999997</v>
      </c>
      <c r="X726" s="26">
        <v>86383</v>
      </c>
      <c r="Y726" s="35">
        <v>3.26</v>
      </c>
      <c r="Z726" s="1" t="s">
        <v>3012</v>
      </c>
      <c r="AA726" s="36">
        <v>0.6996</v>
      </c>
      <c r="AB726" s="54">
        <v>8.9183999999999983</v>
      </c>
      <c r="AC726" s="54">
        <v>28.241599999999998</v>
      </c>
      <c r="AD726" s="36">
        <v>188.6104</v>
      </c>
    </row>
    <row r="727" spans="1:30" s="37" customFormat="1" ht="15.75" customHeight="1" x14ac:dyDescent="0.2">
      <c r="A727" s="26">
        <v>1433</v>
      </c>
      <c r="B727" s="27" t="s">
        <v>1513</v>
      </c>
      <c r="C727" s="27" t="s">
        <v>3094</v>
      </c>
      <c r="D727" s="28">
        <v>0.02</v>
      </c>
      <c r="E727" s="29">
        <v>3.28</v>
      </c>
      <c r="F727" s="29">
        <v>3.97</v>
      </c>
      <c r="G727" s="30" t="s">
        <v>87</v>
      </c>
      <c r="H727" s="27" t="s">
        <v>94</v>
      </c>
      <c r="I727" s="27" t="s">
        <v>49</v>
      </c>
      <c r="J727" s="27" t="s">
        <v>50</v>
      </c>
      <c r="K727" s="27" t="s">
        <v>51</v>
      </c>
      <c r="L727" s="31" t="s">
        <v>367</v>
      </c>
      <c r="M727" s="32">
        <v>0.56000000000000005</v>
      </c>
      <c r="N727" s="27" t="s">
        <v>33</v>
      </c>
      <c r="O727" s="27" t="s">
        <v>53</v>
      </c>
      <c r="P727" s="27" t="s">
        <v>54</v>
      </c>
      <c r="Q727" s="27" t="s">
        <v>1514</v>
      </c>
      <c r="R727" s="33">
        <v>47130</v>
      </c>
      <c r="S727" s="34">
        <v>42068</v>
      </c>
      <c r="T727" s="34">
        <v>42069</v>
      </c>
      <c r="U727" s="29">
        <v>-66.349999999999994</v>
      </c>
      <c r="V727" s="26">
        <v>7</v>
      </c>
      <c r="W727" s="29">
        <v>25.15</v>
      </c>
      <c r="X727" s="26">
        <v>86826</v>
      </c>
      <c r="Y727" s="35">
        <v>5.75</v>
      </c>
      <c r="Z727" s="1" t="s">
        <v>3012</v>
      </c>
      <c r="AA727" s="36">
        <v>0.45919999999999994</v>
      </c>
      <c r="AB727" s="54">
        <v>11.065999999999997</v>
      </c>
      <c r="AC727" s="54">
        <v>2.012</v>
      </c>
      <c r="AD727" s="36">
        <v>87.070799999999991</v>
      </c>
    </row>
    <row r="728" spans="1:30" s="37" customFormat="1" ht="15.75" customHeight="1" x14ac:dyDescent="0.2">
      <c r="A728" s="26">
        <v>2729</v>
      </c>
      <c r="B728" s="27" t="s">
        <v>1527</v>
      </c>
      <c r="C728" s="27" t="s">
        <v>48</v>
      </c>
      <c r="D728" s="28">
        <v>0.08</v>
      </c>
      <c r="E728" s="29">
        <v>230.98</v>
      </c>
      <c r="F728" s="29">
        <v>23.78</v>
      </c>
      <c r="G728" s="30" t="s">
        <v>27</v>
      </c>
      <c r="H728" s="27" t="s">
        <v>40</v>
      </c>
      <c r="I728" s="27" t="s">
        <v>29</v>
      </c>
      <c r="J728" s="27" t="s">
        <v>30</v>
      </c>
      <c r="K728" s="27" t="s">
        <v>31</v>
      </c>
      <c r="L728" s="31" t="s">
        <v>1528</v>
      </c>
      <c r="M728" s="32">
        <v>0.6</v>
      </c>
      <c r="N728" s="27" t="s">
        <v>33</v>
      </c>
      <c r="O728" s="27" t="s">
        <v>60</v>
      </c>
      <c r="P728" s="27" t="s">
        <v>67</v>
      </c>
      <c r="Q728" s="27" t="s">
        <v>404</v>
      </c>
      <c r="R728" s="33">
        <v>98226</v>
      </c>
      <c r="S728" s="34">
        <v>42069</v>
      </c>
      <c r="T728" s="34">
        <v>42073</v>
      </c>
      <c r="U728" s="29">
        <v>501.69</v>
      </c>
      <c r="V728" s="26">
        <v>4</v>
      </c>
      <c r="W728" s="29">
        <v>924.8</v>
      </c>
      <c r="X728" s="26">
        <v>88114</v>
      </c>
      <c r="Y728" s="35">
        <v>6.4200000000000008</v>
      </c>
      <c r="Z728" s="1" t="s">
        <v>3013</v>
      </c>
      <c r="AA728" s="36">
        <v>73.913600000000002</v>
      </c>
      <c r="AB728" s="54">
        <v>369.92</v>
      </c>
      <c r="AC728" s="54">
        <v>138.72</v>
      </c>
      <c r="AD728" s="36">
        <v>325.41639999999995</v>
      </c>
    </row>
    <row r="729" spans="1:30" s="37" customFormat="1" ht="15.75" customHeight="1" x14ac:dyDescent="0.2">
      <c r="A729" s="26">
        <v>1771</v>
      </c>
      <c r="B729" s="27" t="s">
        <v>1529</v>
      </c>
      <c r="C729" s="27" t="s">
        <v>116</v>
      </c>
      <c r="D729" s="28">
        <v>7.0000000000000007E-2</v>
      </c>
      <c r="E729" s="29">
        <v>60.98</v>
      </c>
      <c r="F729" s="29">
        <v>49</v>
      </c>
      <c r="G729" s="30" t="s">
        <v>39</v>
      </c>
      <c r="H729" s="27" t="s">
        <v>71</v>
      </c>
      <c r="I729" s="27" t="s">
        <v>49</v>
      </c>
      <c r="J729" s="27" t="s">
        <v>95</v>
      </c>
      <c r="K729" s="27" t="s">
        <v>65</v>
      </c>
      <c r="L729" s="31" t="s">
        <v>1530</v>
      </c>
      <c r="M729" s="32">
        <v>0.59</v>
      </c>
      <c r="N729" s="27" t="s">
        <v>33</v>
      </c>
      <c r="O729" s="27" t="s">
        <v>53</v>
      </c>
      <c r="P729" s="27" t="s">
        <v>103</v>
      </c>
      <c r="Q729" s="27" t="s">
        <v>1037</v>
      </c>
      <c r="R729" s="33">
        <v>61032</v>
      </c>
      <c r="S729" s="34">
        <v>42069</v>
      </c>
      <c r="T729" s="34">
        <v>42070</v>
      </c>
      <c r="U729" s="29">
        <v>-807.89</v>
      </c>
      <c r="V729" s="26">
        <v>7</v>
      </c>
      <c r="W729" s="29">
        <v>410.17</v>
      </c>
      <c r="X729" s="26">
        <v>89106</v>
      </c>
      <c r="Y729" s="35">
        <v>9.94</v>
      </c>
      <c r="Z729" s="1" t="s">
        <v>3012</v>
      </c>
      <c r="AA729" s="36">
        <v>29.880200000000002</v>
      </c>
      <c r="AB729" s="54">
        <v>168.16970000000001</v>
      </c>
      <c r="AC729" s="54">
        <v>34.571471428571428</v>
      </c>
      <c r="AD729" s="36">
        <v>1139.1798000000001</v>
      </c>
    </row>
    <row r="730" spans="1:30" s="37" customFormat="1" ht="15.75" customHeight="1" x14ac:dyDescent="0.2">
      <c r="A730" s="26">
        <v>3327</v>
      </c>
      <c r="B730" s="27" t="s">
        <v>1534</v>
      </c>
      <c r="C730" s="27" t="s">
        <v>3094</v>
      </c>
      <c r="D730" s="28">
        <v>0.06</v>
      </c>
      <c r="E730" s="29">
        <v>113.98</v>
      </c>
      <c r="F730" s="29">
        <v>30</v>
      </c>
      <c r="G730" s="30" t="s">
        <v>27</v>
      </c>
      <c r="H730" s="27" t="s">
        <v>3095</v>
      </c>
      <c r="I730" s="27" t="s">
        <v>29</v>
      </c>
      <c r="J730" s="27" t="s">
        <v>109</v>
      </c>
      <c r="K730" s="27" t="s">
        <v>58</v>
      </c>
      <c r="L730" s="31" t="s">
        <v>1535</v>
      </c>
      <c r="M730" s="32">
        <v>0.69</v>
      </c>
      <c r="N730" s="27" t="s">
        <v>33</v>
      </c>
      <c r="O730" s="27" t="s">
        <v>53</v>
      </c>
      <c r="P730" s="27" t="s">
        <v>289</v>
      </c>
      <c r="Q730" s="27" t="s">
        <v>1536</v>
      </c>
      <c r="R730" s="33">
        <v>48060</v>
      </c>
      <c r="S730" s="34">
        <v>42069</v>
      </c>
      <c r="T730" s="34">
        <v>42071</v>
      </c>
      <c r="U730" s="29">
        <v>-127.3</v>
      </c>
      <c r="V730" s="26">
        <v>3</v>
      </c>
      <c r="W730" s="29">
        <v>356.14</v>
      </c>
      <c r="X730" s="26">
        <v>87272</v>
      </c>
      <c r="Y730" s="35">
        <v>4.12</v>
      </c>
      <c r="Z730" s="1" t="s">
        <v>3012</v>
      </c>
      <c r="AA730" s="36">
        <v>20.516400000000001</v>
      </c>
      <c r="AB730" s="54">
        <v>110.40340000000002</v>
      </c>
      <c r="AC730" s="54">
        <v>81.912199999999984</v>
      </c>
      <c r="AD730" s="36">
        <v>432.92359999999996</v>
      </c>
    </row>
    <row r="731" spans="1:30" s="37" customFormat="1" ht="15.75" customHeight="1" x14ac:dyDescent="0.2">
      <c r="A731" s="26">
        <v>3008</v>
      </c>
      <c r="B731" s="27" t="s">
        <v>1518</v>
      </c>
      <c r="C731" s="27" t="s">
        <v>26</v>
      </c>
      <c r="D731" s="28">
        <v>0.05</v>
      </c>
      <c r="E731" s="29">
        <v>9.99</v>
      </c>
      <c r="F731" s="29">
        <v>4.78</v>
      </c>
      <c r="G731" s="30" t="s">
        <v>39</v>
      </c>
      <c r="H731" s="27" t="s">
        <v>71</v>
      </c>
      <c r="I731" s="27" t="s">
        <v>49</v>
      </c>
      <c r="J731" s="27" t="s">
        <v>88</v>
      </c>
      <c r="K731" s="27" t="s">
        <v>73</v>
      </c>
      <c r="L731" s="31" t="s">
        <v>1519</v>
      </c>
      <c r="M731" s="32">
        <v>0.4</v>
      </c>
      <c r="N731" s="27" t="s">
        <v>33</v>
      </c>
      <c r="O731" s="27" t="s">
        <v>53</v>
      </c>
      <c r="P731" s="27" t="s">
        <v>84</v>
      </c>
      <c r="Q731" s="27" t="s">
        <v>1520</v>
      </c>
      <c r="R731" s="33">
        <v>55343</v>
      </c>
      <c r="S731" s="34">
        <v>42069</v>
      </c>
      <c r="T731" s="34">
        <v>42070</v>
      </c>
      <c r="U731" s="29">
        <v>41.3</v>
      </c>
      <c r="V731" s="26">
        <v>20</v>
      </c>
      <c r="W731" s="29">
        <v>203.37</v>
      </c>
      <c r="X731" s="26">
        <v>89414</v>
      </c>
      <c r="Y731" s="35">
        <v>6.3900000000000006</v>
      </c>
      <c r="Z731" s="1" t="s">
        <v>3012</v>
      </c>
      <c r="AA731" s="36">
        <v>9.990000000000002</v>
      </c>
      <c r="AB731" s="54">
        <v>122.02199999999999</v>
      </c>
      <c r="AC731" s="54">
        <v>4.0674000000000001</v>
      </c>
      <c r="AD731" s="36">
        <v>147.30000000000001</v>
      </c>
    </row>
    <row r="732" spans="1:30" s="37" customFormat="1" ht="15.75" customHeight="1" x14ac:dyDescent="0.2">
      <c r="A732" s="26">
        <v>868</v>
      </c>
      <c r="B732" s="27" t="s">
        <v>1368</v>
      </c>
      <c r="C732" s="27" t="s">
        <v>26</v>
      </c>
      <c r="D732" s="28">
        <v>0.06</v>
      </c>
      <c r="E732" s="29">
        <v>6.48</v>
      </c>
      <c r="F732" s="29">
        <v>8.8800000000000008</v>
      </c>
      <c r="G732" s="30" t="s">
        <v>39</v>
      </c>
      <c r="H732" s="27" t="s">
        <v>94</v>
      </c>
      <c r="I732" s="27" t="s">
        <v>49</v>
      </c>
      <c r="J732" s="27" t="s">
        <v>88</v>
      </c>
      <c r="K732" s="27" t="s">
        <v>73</v>
      </c>
      <c r="L732" s="31" t="s">
        <v>1517</v>
      </c>
      <c r="M732" s="32">
        <v>0.37</v>
      </c>
      <c r="N732" s="27" t="s">
        <v>33</v>
      </c>
      <c r="O732" s="27" t="s">
        <v>53</v>
      </c>
      <c r="P732" s="27" t="s">
        <v>84</v>
      </c>
      <c r="Q732" s="27" t="s">
        <v>1370</v>
      </c>
      <c r="R732" s="33">
        <v>55126</v>
      </c>
      <c r="S732" s="34">
        <v>42069</v>
      </c>
      <c r="T732" s="34">
        <v>42070</v>
      </c>
      <c r="U732" s="29">
        <v>-237.47</v>
      </c>
      <c r="V732" s="26">
        <v>20</v>
      </c>
      <c r="W732" s="29">
        <v>125.77</v>
      </c>
      <c r="X732" s="26">
        <v>91195</v>
      </c>
      <c r="Y732" s="35">
        <v>230.89999999999998</v>
      </c>
      <c r="Z732" s="1" t="s">
        <v>3012</v>
      </c>
      <c r="AA732" s="36">
        <v>7.7760000000000007</v>
      </c>
      <c r="AB732" s="54">
        <v>79.235100000000003</v>
      </c>
      <c r="AC732" s="54">
        <v>2.3267449999999998</v>
      </c>
      <c r="AD732" s="36">
        <v>346.584</v>
      </c>
    </row>
    <row r="733" spans="1:30" s="37" customFormat="1" ht="15.75" customHeight="1" x14ac:dyDescent="0.2">
      <c r="A733" s="26">
        <v>945</v>
      </c>
      <c r="B733" s="27" t="s">
        <v>1531</v>
      </c>
      <c r="C733" s="27" t="s">
        <v>3094</v>
      </c>
      <c r="D733" s="28">
        <v>0.03</v>
      </c>
      <c r="E733" s="29">
        <v>31.74</v>
      </c>
      <c r="F733" s="29">
        <v>12.62</v>
      </c>
      <c r="G733" s="30" t="s">
        <v>39</v>
      </c>
      <c r="H733" s="27" t="s">
        <v>71</v>
      </c>
      <c r="I733" s="27" t="s">
        <v>49</v>
      </c>
      <c r="J733" s="27" t="s">
        <v>72</v>
      </c>
      <c r="K733" s="27" t="s">
        <v>73</v>
      </c>
      <c r="L733" s="31" t="s">
        <v>1532</v>
      </c>
      <c r="M733" s="32">
        <v>0.37</v>
      </c>
      <c r="N733" s="27" t="s">
        <v>33</v>
      </c>
      <c r="O733" s="27" t="s">
        <v>60</v>
      </c>
      <c r="P733" s="27" t="s">
        <v>90</v>
      </c>
      <c r="Q733" s="27" t="s">
        <v>1533</v>
      </c>
      <c r="R733" s="33">
        <v>95070</v>
      </c>
      <c r="S733" s="34">
        <v>42069</v>
      </c>
      <c r="T733" s="34">
        <v>42069</v>
      </c>
      <c r="U733" s="29">
        <v>-4.3010000000000002</v>
      </c>
      <c r="V733" s="26">
        <v>3</v>
      </c>
      <c r="W733" s="29">
        <v>98.7</v>
      </c>
      <c r="X733" s="26">
        <v>86567</v>
      </c>
      <c r="Y733" s="35">
        <v>60.91</v>
      </c>
      <c r="Z733" s="1" t="s">
        <v>3013</v>
      </c>
      <c r="AA733" s="36">
        <v>2.8565999999999998</v>
      </c>
      <c r="AB733" s="54">
        <v>62.181000000000004</v>
      </c>
      <c r="AC733" s="54">
        <v>12.173</v>
      </c>
      <c r="AD733" s="36">
        <v>87.5244</v>
      </c>
    </row>
    <row r="734" spans="1:30" s="37" customFormat="1" ht="15.75" customHeight="1" x14ac:dyDescent="0.2">
      <c r="A734" s="26">
        <v>797</v>
      </c>
      <c r="B734" s="27" t="s">
        <v>1524</v>
      </c>
      <c r="C734" s="27" t="s">
        <v>48</v>
      </c>
      <c r="D734" s="28">
        <v>0.09</v>
      </c>
      <c r="E734" s="29">
        <v>6.48</v>
      </c>
      <c r="F734" s="29">
        <v>6.86</v>
      </c>
      <c r="G734" s="30" t="s">
        <v>39</v>
      </c>
      <c r="H734" s="27" t="s">
        <v>94</v>
      </c>
      <c r="I734" s="27" t="s">
        <v>49</v>
      </c>
      <c r="J734" s="27" t="s">
        <v>88</v>
      </c>
      <c r="K734" s="27" t="s">
        <v>73</v>
      </c>
      <c r="L734" s="31" t="s">
        <v>1525</v>
      </c>
      <c r="M734" s="32">
        <v>0.37</v>
      </c>
      <c r="N734" s="27" t="s">
        <v>33</v>
      </c>
      <c r="O734" s="27" t="s">
        <v>60</v>
      </c>
      <c r="P734" s="27" t="s">
        <v>146</v>
      </c>
      <c r="Q734" s="27" t="s">
        <v>1526</v>
      </c>
      <c r="R734" s="33">
        <v>84067</v>
      </c>
      <c r="S734" s="34">
        <v>42069</v>
      </c>
      <c r="T734" s="34">
        <v>42071</v>
      </c>
      <c r="U734" s="29">
        <v>-62.23</v>
      </c>
      <c r="V734" s="26">
        <v>8</v>
      </c>
      <c r="W734" s="29">
        <v>50.88</v>
      </c>
      <c r="X734" s="26">
        <v>86870</v>
      </c>
      <c r="Y734" s="35">
        <v>31.709999999999997</v>
      </c>
      <c r="Z734" s="1" t="s">
        <v>3013</v>
      </c>
      <c r="AA734" s="36">
        <v>4.6656000000000004</v>
      </c>
      <c r="AB734" s="54">
        <v>32.054400000000001</v>
      </c>
      <c r="AC734" s="54">
        <v>2.3532000000000002</v>
      </c>
      <c r="AD734" s="36">
        <v>101.5844</v>
      </c>
    </row>
    <row r="735" spans="1:30" s="37" customFormat="1" ht="15.75" customHeight="1" x14ac:dyDescent="0.2">
      <c r="A735" s="26">
        <v>3327</v>
      </c>
      <c r="B735" s="27" t="s">
        <v>1534</v>
      </c>
      <c r="C735" s="27" t="s">
        <v>3094</v>
      </c>
      <c r="D735" s="28">
        <v>0.05</v>
      </c>
      <c r="E735" s="29">
        <v>6.48</v>
      </c>
      <c r="F735" s="29">
        <v>6.86</v>
      </c>
      <c r="G735" s="30" t="s">
        <v>39</v>
      </c>
      <c r="H735" s="27" t="s">
        <v>3095</v>
      </c>
      <c r="I735" s="27" t="s">
        <v>49</v>
      </c>
      <c r="J735" s="27" t="s">
        <v>88</v>
      </c>
      <c r="K735" s="27" t="s">
        <v>73</v>
      </c>
      <c r="L735" s="31" t="s">
        <v>1525</v>
      </c>
      <c r="M735" s="32">
        <v>0.37</v>
      </c>
      <c r="N735" s="27" t="s">
        <v>33</v>
      </c>
      <c r="O735" s="27" t="s">
        <v>53</v>
      </c>
      <c r="P735" s="27" t="s">
        <v>289</v>
      </c>
      <c r="Q735" s="27" t="s">
        <v>1536</v>
      </c>
      <c r="R735" s="33">
        <v>48060</v>
      </c>
      <c r="S735" s="34">
        <v>42069</v>
      </c>
      <c r="T735" s="34">
        <v>42071</v>
      </c>
      <c r="U735" s="29">
        <v>-52.77</v>
      </c>
      <c r="V735" s="26">
        <v>4</v>
      </c>
      <c r="W735" s="29">
        <v>27.08</v>
      </c>
      <c r="X735" s="26">
        <v>87272</v>
      </c>
      <c r="Y735" s="35">
        <v>113.92</v>
      </c>
      <c r="Z735" s="1" t="s">
        <v>3012</v>
      </c>
      <c r="AA735" s="36">
        <v>1.2960000000000003</v>
      </c>
      <c r="AB735" s="54">
        <v>17.060399999999998</v>
      </c>
      <c r="AC735" s="54">
        <v>2.5048999999999997</v>
      </c>
      <c r="AD735" s="36">
        <v>71.694000000000003</v>
      </c>
    </row>
    <row r="736" spans="1:30" s="37" customFormat="1" ht="15.75" customHeight="1" x14ac:dyDescent="0.2">
      <c r="A736" s="26">
        <v>688</v>
      </c>
      <c r="B736" s="27" t="s">
        <v>1521</v>
      </c>
      <c r="C736" s="27" t="s">
        <v>48</v>
      </c>
      <c r="D736" s="28">
        <v>0.06</v>
      </c>
      <c r="E736" s="29">
        <v>4.18</v>
      </c>
      <c r="F736" s="29">
        <v>2.99</v>
      </c>
      <c r="G736" s="30" t="s">
        <v>39</v>
      </c>
      <c r="H736" s="27" t="s">
        <v>3095</v>
      </c>
      <c r="I736" s="27" t="s">
        <v>49</v>
      </c>
      <c r="J736" s="27" t="s">
        <v>72</v>
      </c>
      <c r="K736" s="27" t="s">
        <v>73</v>
      </c>
      <c r="L736" s="31" t="s">
        <v>1522</v>
      </c>
      <c r="M736" s="32">
        <v>0.37</v>
      </c>
      <c r="N736" s="27" t="s">
        <v>33</v>
      </c>
      <c r="O736" s="27" t="s">
        <v>53</v>
      </c>
      <c r="P736" s="27" t="s">
        <v>80</v>
      </c>
      <c r="Q736" s="27" t="s">
        <v>1523</v>
      </c>
      <c r="R736" s="33">
        <v>63116</v>
      </c>
      <c r="S736" s="34">
        <v>42069</v>
      </c>
      <c r="T736" s="34">
        <v>42071</v>
      </c>
      <c r="U736" s="29">
        <v>-12.718999999999999</v>
      </c>
      <c r="V736" s="26">
        <v>5</v>
      </c>
      <c r="W736" s="29">
        <v>21.34</v>
      </c>
      <c r="X736" s="26">
        <v>88504</v>
      </c>
      <c r="Y736" s="35">
        <v>6.4300000000000006</v>
      </c>
      <c r="Z736" s="1" t="s">
        <v>3012</v>
      </c>
      <c r="AA736" s="36">
        <v>1.2539999999999998</v>
      </c>
      <c r="AB736" s="54">
        <v>13.4442</v>
      </c>
      <c r="AC736" s="54">
        <v>1.5791599999999999</v>
      </c>
      <c r="AD736" s="36">
        <v>29.814999999999998</v>
      </c>
    </row>
    <row r="737" spans="1:30" s="37" customFormat="1" ht="15.75" customHeight="1" x14ac:dyDescent="0.2">
      <c r="A737" s="26">
        <v>1020</v>
      </c>
      <c r="B737" s="27" t="s">
        <v>1018</v>
      </c>
      <c r="C737" s="27" t="s">
        <v>26</v>
      </c>
      <c r="D737" s="28">
        <v>0.09</v>
      </c>
      <c r="E737" s="29">
        <v>517.48</v>
      </c>
      <c r="F737" s="29">
        <v>16.63</v>
      </c>
      <c r="G737" s="30" t="s">
        <v>27</v>
      </c>
      <c r="H737" s="27" t="s">
        <v>3095</v>
      </c>
      <c r="I737" s="27" t="s">
        <v>41</v>
      </c>
      <c r="J737" s="27" t="s">
        <v>57</v>
      </c>
      <c r="K737" s="27" t="s">
        <v>31</v>
      </c>
      <c r="L737" s="31" t="s">
        <v>1537</v>
      </c>
      <c r="M737" s="32">
        <v>0.59</v>
      </c>
      <c r="N737" s="27" t="s">
        <v>33</v>
      </c>
      <c r="O737" s="27" t="s">
        <v>53</v>
      </c>
      <c r="P737" s="27" t="s">
        <v>537</v>
      </c>
      <c r="Q737" s="27" t="s">
        <v>1020</v>
      </c>
      <c r="R737" s="33">
        <v>66762</v>
      </c>
      <c r="S737" s="34">
        <v>42070</v>
      </c>
      <c r="T737" s="34">
        <v>42070</v>
      </c>
      <c r="U737" s="29">
        <v>909.36</v>
      </c>
      <c r="V737" s="26">
        <v>5</v>
      </c>
      <c r="W737" s="29">
        <v>2354.54</v>
      </c>
      <c r="X737" s="26">
        <v>88632</v>
      </c>
      <c r="Y737" s="35">
        <v>517.39</v>
      </c>
      <c r="Z737" s="1" t="s">
        <v>3012</v>
      </c>
      <c r="AA737" s="36">
        <v>232.86599999999999</v>
      </c>
      <c r="AB737" s="54">
        <v>965.3614</v>
      </c>
      <c r="AC737" s="54">
        <v>277.83571999999998</v>
      </c>
      <c r="AD737" s="36">
        <v>1195.684</v>
      </c>
    </row>
    <row r="738" spans="1:30" s="37" customFormat="1" ht="15.75" customHeight="1" x14ac:dyDescent="0.2">
      <c r="A738" s="26">
        <v>851</v>
      </c>
      <c r="B738" s="27" t="s">
        <v>1364</v>
      </c>
      <c r="C738" s="27" t="s">
        <v>3094</v>
      </c>
      <c r="D738" s="28">
        <v>0.08</v>
      </c>
      <c r="E738" s="29">
        <v>19.899999999999999</v>
      </c>
      <c r="F738" s="29">
        <v>5.29</v>
      </c>
      <c r="G738" s="30" t="s">
        <v>39</v>
      </c>
      <c r="H738" s="27" t="s">
        <v>94</v>
      </c>
      <c r="I738" s="27" t="s">
        <v>49</v>
      </c>
      <c r="J738" s="27" t="s">
        <v>95</v>
      </c>
      <c r="K738" s="27" t="s">
        <v>144</v>
      </c>
      <c r="L738" s="31" t="s">
        <v>1541</v>
      </c>
      <c r="M738" s="32">
        <v>0.4</v>
      </c>
      <c r="N738" s="27" t="s">
        <v>33</v>
      </c>
      <c r="O738" s="27" t="s">
        <v>60</v>
      </c>
      <c r="P738" s="27" t="s">
        <v>90</v>
      </c>
      <c r="Q738" s="27" t="s">
        <v>1366</v>
      </c>
      <c r="R738" s="33">
        <v>91745</v>
      </c>
      <c r="S738" s="34">
        <v>42070</v>
      </c>
      <c r="T738" s="34">
        <v>42072</v>
      </c>
      <c r="U738" s="29">
        <v>107.11</v>
      </c>
      <c r="V738" s="26">
        <v>13</v>
      </c>
      <c r="W738" s="29">
        <v>240.46</v>
      </c>
      <c r="X738" s="26">
        <v>88569</v>
      </c>
      <c r="Y738" s="35">
        <v>6.01</v>
      </c>
      <c r="Z738" s="1" t="s">
        <v>3013</v>
      </c>
      <c r="AA738" s="36">
        <v>20.695999999999998</v>
      </c>
      <c r="AB738" s="54">
        <v>144.27600000000001</v>
      </c>
      <c r="AC738" s="54">
        <v>7.3987692307692319</v>
      </c>
      <c r="AD738" s="36">
        <v>107.364</v>
      </c>
    </row>
    <row r="739" spans="1:30" s="37" customFormat="1" ht="15.75" customHeight="1" x14ac:dyDescent="0.2">
      <c r="A739" s="26">
        <v>851</v>
      </c>
      <c r="B739" s="27" t="s">
        <v>1364</v>
      </c>
      <c r="C739" s="27" t="s">
        <v>3094</v>
      </c>
      <c r="D739" s="28">
        <v>0.02</v>
      </c>
      <c r="E739" s="29">
        <v>3.36</v>
      </c>
      <c r="F739" s="29">
        <v>6.27</v>
      </c>
      <c r="G739" s="30" t="s">
        <v>39</v>
      </c>
      <c r="H739" s="27" t="s">
        <v>94</v>
      </c>
      <c r="I739" s="27" t="s">
        <v>49</v>
      </c>
      <c r="J739" s="27" t="s">
        <v>72</v>
      </c>
      <c r="K739" s="27" t="s">
        <v>73</v>
      </c>
      <c r="L739" s="31" t="s">
        <v>186</v>
      </c>
      <c r="M739" s="32">
        <v>0.4</v>
      </c>
      <c r="N739" s="27" t="s">
        <v>33</v>
      </c>
      <c r="O739" s="27" t="s">
        <v>60</v>
      </c>
      <c r="P739" s="27" t="s">
        <v>90</v>
      </c>
      <c r="Q739" s="27" t="s">
        <v>1366</v>
      </c>
      <c r="R739" s="33">
        <v>91745</v>
      </c>
      <c r="S739" s="34">
        <v>42070</v>
      </c>
      <c r="T739" s="34">
        <v>42072</v>
      </c>
      <c r="U739" s="29">
        <v>-216.154</v>
      </c>
      <c r="V739" s="26">
        <v>21</v>
      </c>
      <c r="W739" s="29">
        <v>74.08</v>
      </c>
      <c r="X739" s="26">
        <v>88569</v>
      </c>
      <c r="Y739" s="35">
        <v>19.82</v>
      </c>
      <c r="Z739" s="1" t="s">
        <v>3013</v>
      </c>
      <c r="AA739" s="36">
        <v>1.4112</v>
      </c>
      <c r="AB739" s="54">
        <v>44.448</v>
      </c>
      <c r="AC739" s="54">
        <v>1.4110476190476191</v>
      </c>
      <c r="AD739" s="36">
        <v>282.55279999999999</v>
      </c>
    </row>
    <row r="740" spans="1:30" s="37" customFormat="1" ht="15.75" customHeight="1" x14ac:dyDescent="0.2">
      <c r="A740" s="26">
        <v>850</v>
      </c>
      <c r="B740" s="27" t="s">
        <v>1538</v>
      </c>
      <c r="C740" s="27" t="s">
        <v>3094</v>
      </c>
      <c r="D740" s="28">
        <v>7.0000000000000007E-2</v>
      </c>
      <c r="E740" s="29">
        <v>6.08</v>
      </c>
      <c r="F740" s="29">
        <v>0.91</v>
      </c>
      <c r="G740" s="30" t="s">
        <v>39</v>
      </c>
      <c r="H740" s="27" t="s">
        <v>94</v>
      </c>
      <c r="I740" s="27" t="s">
        <v>49</v>
      </c>
      <c r="J740" s="27" t="s">
        <v>50</v>
      </c>
      <c r="K740" s="27" t="s">
        <v>51</v>
      </c>
      <c r="L740" s="31" t="s">
        <v>1539</v>
      </c>
      <c r="M740" s="32">
        <v>0.51</v>
      </c>
      <c r="N740" s="27" t="s">
        <v>33</v>
      </c>
      <c r="O740" s="27" t="s">
        <v>60</v>
      </c>
      <c r="P740" s="27" t="s">
        <v>90</v>
      </c>
      <c r="Q740" s="27" t="s">
        <v>1540</v>
      </c>
      <c r="R740" s="33">
        <v>93117</v>
      </c>
      <c r="S740" s="34">
        <v>42070</v>
      </c>
      <c r="T740" s="34">
        <v>42071</v>
      </c>
      <c r="U740" s="29">
        <v>19.57</v>
      </c>
      <c r="V740" s="26">
        <v>7</v>
      </c>
      <c r="W740" s="29">
        <v>41.96</v>
      </c>
      <c r="X740" s="26">
        <v>88569</v>
      </c>
      <c r="Y740" s="35">
        <v>3.34</v>
      </c>
      <c r="Z740" s="1" t="s">
        <v>3013</v>
      </c>
      <c r="AA740" s="36">
        <v>2.9792000000000001</v>
      </c>
      <c r="AB740" s="54">
        <v>20.560400000000001</v>
      </c>
      <c r="AC740" s="54">
        <v>3.0570857142857144</v>
      </c>
      <c r="AD740" s="36">
        <v>18.500800000000002</v>
      </c>
    </row>
    <row r="741" spans="1:30" s="37" customFormat="1" ht="15.75" customHeight="1" x14ac:dyDescent="0.2">
      <c r="A741" s="26">
        <v>693</v>
      </c>
      <c r="B741" s="27" t="s">
        <v>1549</v>
      </c>
      <c r="C741" s="27" t="s">
        <v>48</v>
      </c>
      <c r="D741" s="28">
        <v>0.06</v>
      </c>
      <c r="E741" s="29">
        <v>205.99</v>
      </c>
      <c r="F741" s="29">
        <v>5.26</v>
      </c>
      <c r="G741" s="30" t="s">
        <v>39</v>
      </c>
      <c r="H741" s="27" t="s">
        <v>3095</v>
      </c>
      <c r="I741" s="27" t="s">
        <v>41</v>
      </c>
      <c r="J741" s="27" t="s">
        <v>135</v>
      </c>
      <c r="K741" s="27" t="s">
        <v>73</v>
      </c>
      <c r="L741" s="31" t="s">
        <v>1552</v>
      </c>
      <c r="M741" s="32">
        <v>0.56000000000000005</v>
      </c>
      <c r="N741" s="27" t="s">
        <v>33</v>
      </c>
      <c r="O741" s="27" t="s">
        <v>60</v>
      </c>
      <c r="P741" s="27" t="s">
        <v>61</v>
      </c>
      <c r="Q741" s="27" t="s">
        <v>1550</v>
      </c>
      <c r="R741" s="33">
        <v>80229</v>
      </c>
      <c r="S741" s="34">
        <v>42071</v>
      </c>
      <c r="T741" s="34">
        <v>42078</v>
      </c>
      <c r="U741" s="29">
        <v>890.18100000000004</v>
      </c>
      <c r="V741" s="26">
        <v>11</v>
      </c>
      <c r="W741" s="29">
        <v>1882.87</v>
      </c>
      <c r="X741" s="26">
        <v>87812</v>
      </c>
      <c r="Y741" s="35">
        <v>161.53</v>
      </c>
      <c r="Z741" s="1" t="s">
        <v>3013</v>
      </c>
      <c r="AA741" s="36">
        <v>135.95340000000002</v>
      </c>
      <c r="AB741" s="54">
        <v>828.4627999999999</v>
      </c>
      <c r="AC741" s="54">
        <v>95.855199999999996</v>
      </c>
      <c r="AD741" s="36">
        <v>851.47559999999976</v>
      </c>
    </row>
    <row r="742" spans="1:30" s="37" customFormat="1" ht="15.75" customHeight="1" x14ac:dyDescent="0.2">
      <c r="A742" s="26">
        <v>1718</v>
      </c>
      <c r="B742" s="27" t="s">
        <v>1553</v>
      </c>
      <c r="C742" s="27" t="s">
        <v>48</v>
      </c>
      <c r="D742" s="28">
        <v>0.01</v>
      </c>
      <c r="E742" s="29">
        <v>300.98</v>
      </c>
      <c r="F742" s="29">
        <v>64.73</v>
      </c>
      <c r="G742" s="30" t="s">
        <v>27</v>
      </c>
      <c r="H742" s="27" t="s">
        <v>40</v>
      </c>
      <c r="I742" s="27" t="s">
        <v>29</v>
      </c>
      <c r="J742" s="27" t="s">
        <v>109</v>
      </c>
      <c r="K742" s="27" t="s">
        <v>58</v>
      </c>
      <c r="L742" s="31" t="s">
        <v>1340</v>
      </c>
      <c r="M742" s="32">
        <v>0.56000000000000005</v>
      </c>
      <c r="N742" s="27" t="s">
        <v>33</v>
      </c>
      <c r="O742" s="27" t="s">
        <v>34</v>
      </c>
      <c r="P742" s="27" t="s">
        <v>97</v>
      </c>
      <c r="Q742" s="27" t="s">
        <v>1554</v>
      </c>
      <c r="R742" s="33">
        <v>27529</v>
      </c>
      <c r="S742" s="34">
        <v>42071</v>
      </c>
      <c r="T742" s="34">
        <v>42078</v>
      </c>
      <c r="U742" s="29">
        <v>-48.874000000000002</v>
      </c>
      <c r="V742" s="26">
        <v>3</v>
      </c>
      <c r="W742" s="29">
        <v>974.14</v>
      </c>
      <c r="X742" s="26">
        <v>90621</v>
      </c>
      <c r="Y742" s="35">
        <v>11.530000000000001</v>
      </c>
      <c r="Z742" s="1" t="s">
        <v>3011</v>
      </c>
      <c r="AA742" s="36">
        <v>9.0294000000000008</v>
      </c>
      <c r="AB742" s="54">
        <v>428.62159999999994</v>
      </c>
      <c r="AC742" s="54">
        <v>181.83946666666668</v>
      </c>
      <c r="AD742" s="36">
        <v>949.25459999999998</v>
      </c>
    </row>
    <row r="743" spans="1:30" s="37" customFormat="1" ht="15.75" customHeight="1" x14ac:dyDescent="0.2">
      <c r="A743" s="26">
        <v>693</v>
      </c>
      <c r="B743" s="27" t="s">
        <v>1549</v>
      </c>
      <c r="C743" s="27" t="s">
        <v>48</v>
      </c>
      <c r="D743" s="28">
        <v>7.0000000000000007E-2</v>
      </c>
      <c r="E743" s="29">
        <v>140.97999999999999</v>
      </c>
      <c r="F743" s="29">
        <v>53.48</v>
      </c>
      <c r="G743" s="30" t="s">
        <v>27</v>
      </c>
      <c r="H743" s="27" t="s">
        <v>3095</v>
      </c>
      <c r="I743" s="27" t="s">
        <v>29</v>
      </c>
      <c r="J743" s="27" t="s">
        <v>117</v>
      </c>
      <c r="K743" s="27" t="s">
        <v>31</v>
      </c>
      <c r="L743" s="31" t="s">
        <v>1551</v>
      </c>
      <c r="M743" s="32">
        <v>0.65</v>
      </c>
      <c r="N743" s="27" t="s">
        <v>33</v>
      </c>
      <c r="O743" s="27" t="s">
        <v>60</v>
      </c>
      <c r="P743" s="27" t="s">
        <v>61</v>
      </c>
      <c r="Q743" s="27" t="s">
        <v>1550</v>
      </c>
      <c r="R743" s="33">
        <v>80229</v>
      </c>
      <c r="S743" s="34">
        <v>42071</v>
      </c>
      <c r="T743" s="34">
        <v>42078</v>
      </c>
      <c r="U743" s="29">
        <v>-263.64999999999998</v>
      </c>
      <c r="V743" s="26">
        <v>5</v>
      </c>
      <c r="W743" s="29">
        <v>734.74</v>
      </c>
      <c r="X743" s="26">
        <v>87812</v>
      </c>
      <c r="Y743" s="35">
        <v>51.91</v>
      </c>
      <c r="Z743" s="1" t="s">
        <v>3013</v>
      </c>
      <c r="AA743" s="36">
        <v>49.343000000000004</v>
      </c>
      <c r="AB743" s="54">
        <v>257.15899999999999</v>
      </c>
      <c r="AC743" s="54">
        <v>95.516200000000012</v>
      </c>
      <c r="AD743" s="36">
        <v>895.56700000000001</v>
      </c>
    </row>
    <row r="744" spans="1:30" s="37" customFormat="1" ht="15.75" customHeight="1" x14ac:dyDescent="0.2">
      <c r="A744" s="26">
        <v>2750</v>
      </c>
      <c r="B744" s="27" t="s">
        <v>1542</v>
      </c>
      <c r="C744" s="27" t="s">
        <v>26</v>
      </c>
      <c r="D744" s="28">
        <v>0.02</v>
      </c>
      <c r="E744" s="29">
        <v>161.55000000000001</v>
      </c>
      <c r="F744" s="29">
        <v>19.989999999999998</v>
      </c>
      <c r="G744" s="30" t="s">
        <v>39</v>
      </c>
      <c r="H744" s="27" t="s">
        <v>3095</v>
      </c>
      <c r="I744" s="27" t="s">
        <v>49</v>
      </c>
      <c r="J744" s="27" t="s">
        <v>78</v>
      </c>
      <c r="K744" s="27" t="s">
        <v>73</v>
      </c>
      <c r="L744" s="31" t="s">
        <v>79</v>
      </c>
      <c r="M744" s="32">
        <v>0.66</v>
      </c>
      <c r="N744" s="27" t="s">
        <v>33</v>
      </c>
      <c r="O744" s="27" t="s">
        <v>34</v>
      </c>
      <c r="P744" s="27" t="s">
        <v>242</v>
      </c>
      <c r="Q744" s="27" t="s">
        <v>1543</v>
      </c>
      <c r="R744" s="33">
        <v>22980</v>
      </c>
      <c r="S744" s="34">
        <v>42071</v>
      </c>
      <c r="T744" s="34">
        <v>42071</v>
      </c>
      <c r="U744" s="29">
        <v>664.51800000000003</v>
      </c>
      <c r="V744" s="26">
        <v>4</v>
      </c>
      <c r="W744" s="29">
        <v>657.61</v>
      </c>
      <c r="X744" s="26">
        <v>91424</v>
      </c>
      <c r="Y744" s="35">
        <v>80.87</v>
      </c>
      <c r="Z744" s="1" t="s">
        <v>3011</v>
      </c>
      <c r="AA744" s="36">
        <v>12.924000000000001</v>
      </c>
      <c r="AB744" s="54">
        <v>223.58739999999997</v>
      </c>
      <c r="AC744" s="54">
        <v>108.50565</v>
      </c>
      <c r="AD744" s="36">
        <v>-39.822000000000003</v>
      </c>
    </row>
    <row r="745" spans="1:30" s="37" customFormat="1" ht="15.75" customHeight="1" x14ac:dyDescent="0.2">
      <c r="A745" s="26">
        <v>2837</v>
      </c>
      <c r="B745" s="27" t="s">
        <v>1546</v>
      </c>
      <c r="C745" s="27" t="s">
        <v>38</v>
      </c>
      <c r="D745" s="28">
        <v>7.0000000000000007E-2</v>
      </c>
      <c r="E745" s="29">
        <v>51.98</v>
      </c>
      <c r="F745" s="29">
        <v>10.17</v>
      </c>
      <c r="G745" s="30" t="s">
        <v>39</v>
      </c>
      <c r="H745" s="27" t="s">
        <v>71</v>
      </c>
      <c r="I745" s="27" t="s">
        <v>41</v>
      </c>
      <c r="J745" s="27" t="s">
        <v>57</v>
      </c>
      <c r="K745" s="27" t="s">
        <v>144</v>
      </c>
      <c r="L745" s="31" t="s">
        <v>1547</v>
      </c>
      <c r="M745" s="32">
        <v>0.37</v>
      </c>
      <c r="N745" s="27" t="s">
        <v>33</v>
      </c>
      <c r="O745" s="27" t="s">
        <v>53</v>
      </c>
      <c r="P745" s="27" t="s">
        <v>207</v>
      </c>
      <c r="Q745" s="27" t="s">
        <v>1548</v>
      </c>
      <c r="R745" s="33">
        <v>74133</v>
      </c>
      <c r="S745" s="34">
        <v>42071</v>
      </c>
      <c r="T745" s="34">
        <v>42073</v>
      </c>
      <c r="U745" s="29">
        <v>439.78530000000001</v>
      </c>
      <c r="V745" s="26">
        <v>13</v>
      </c>
      <c r="W745" s="29">
        <v>637.37</v>
      </c>
      <c r="X745" s="26">
        <v>89801</v>
      </c>
      <c r="Y745" s="35">
        <v>5.25</v>
      </c>
      <c r="Z745" s="1" t="s">
        <v>3012</v>
      </c>
      <c r="AA745" s="36">
        <v>47.3018</v>
      </c>
      <c r="AB745" s="54">
        <v>401.54309999999998</v>
      </c>
      <c r="AC745" s="54">
        <v>18.140530769230772</v>
      </c>
      <c r="AD745" s="36">
        <v>140.11289999999997</v>
      </c>
    </row>
    <row r="746" spans="1:30" s="37" customFormat="1" ht="15.75" customHeight="1" x14ac:dyDescent="0.2">
      <c r="A746" s="26">
        <v>2837</v>
      </c>
      <c r="B746" s="27" t="s">
        <v>1546</v>
      </c>
      <c r="C746" s="27" t="s">
        <v>38</v>
      </c>
      <c r="D746" s="28">
        <v>0.1</v>
      </c>
      <c r="E746" s="29">
        <v>80.97</v>
      </c>
      <c r="F746" s="29">
        <v>33.6</v>
      </c>
      <c r="G746" s="30" t="s">
        <v>27</v>
      </c>
      <c r="H746" s="27" t="s">
        <v>71</v>
      </c>
      <c r="I746" s="27" t="s">
        <v>41</v>
      </c>
      <c r="J746" s="27" t="s">
        <v>57</v>
      </c>
      <c r="K746" s="27" t="s">
        <v>58</v>
      </c>
      <c r="L746" s="31" t="s">
        <v>909</v>
      </c>
      <c r="M746" s="32">
        <v>0.37</v>
      </c>
      <c r="N746" s="27" t="s">
        <v>33</v>
      </c>
      <c r="O746" s="27" t="s">
        <v>53</v>
      </c>
      <c r="P746" s="27" t="s">
        <v>207</v>
      </c>
      <c r="Q746" s="27" t="s">
        <v>1548</v>
      </c>
      <c r="R746" s="33">
        <v>74133</v>
      </c>
      <c r="S746" s="34">
        <v>42071</v>
      </c>
      <c r="T746" s="34">
        <v>42074</v>
      </c>
      <c r="U746" s="29">
        <v>-149.4573</v>
      </c>
      <c r="V746" s="26">
        <v>3</v>
      </c>
      <c r="W746" s="29">
        <v>232.16</v>
      </c>
      <c r="X746" s="26">
        <v>89801</v>
      </c>
      <c r="Y746" s="35">
        <v>140.91</v>
      </c>
      <c r="Z746" s="1" t="s">
        <v>3012</v>
      </c>
      <c r="AA746" s="36">
        <v>24.290999999999997</v>
      </c>
      <c r="AB746" s="54">
        <v>146.26079999999999</v>
      </c>
      <c r="AC746" s="54">
        <v>28.633066666666668</v>
      </c>
      <c r="AD746" s="36">
        <v>323.72630000000004</v>
      </c>
    </row>
    <row r="747" spans="1:30" s="37" customFormat="1" ht="15.75" customHeight="1" x14ac:dyDescent="0.2">
      <c r="A747" s="26">
        <v>2770</v>
      </c>
      <c r="B747" s="27" t="s">
        <v>1544</v>
      </c>
      <c r="C747" s="27" t="s">
        <v>26</v>
      </c>
      <c r="D747" s="28">
        <v>0.02</v>
      </c>
      <c r="E747" s="29">
        <v>11.55</v>
      </c>
      <c r="F747" s="29">
        <v>2.36</v>
      </c>
      <c r="G747" s="30" t="s">
        <v>39</v>
      </c>
      <c r="H747" s="27" t="s">
        <v>94</v>
      </c>
      <c r="I747" s="27" t="s">
        <v>49</v>
      </c>
      <c r="J747" s="27" t="s">
        <v>50</v>
      </c>
      <c r="K747" s="27" t="s">
        <v>51</v>
      </c>
      <c r="L747" s="31" t="s">
        <v>380</v>
      </c>
      <c r="M747" s="32">
        <v>0.55000000000000004</v>
      </c>
      <c r="N747" s="27" t="s">
        <v>33</v>
      </c>
      <c r="O747" s="27" t="s">
        <v>34</v>
      </c>
      <c r="P747" s="27" t="s">
        <v>75</v>
      </c>
      <c r="Q747" s="27" t="s">
        <v>1545</v>
      </c>
      <c r="R747" s="33">
        <v>30338</v>
      </c>
      <c r="S747" s="34">
        <v>42071</v>
      </c>
      <c r="T747" s="34">
        <v>42073</v>
      </c>
      <c r="U747" s="29">
        <v>1289.3820000000001</v>
      </c>
      <c r="V747" s="26">
        <v>14</v>
      </c>
      <c r="W747" s="29">
        <v>159.53</v>
      </c>
      <c r="X747" s="26">
        <v>88975</v>
      </c>
      <c r="Y747" s="35">
        <v>205.93</v>
      </c>
      <c r="Z747" s="1" t="s">
        <v>3011</v>
      </c>
      <c r="AA747" s="36">
        <v>3.234</v>
      </c>
      <c r="AB747" s="54">
        <v>71.788499999999999</v>
      </c>
      <c r="AC747" s="54">
        <v>6.2672500000000007</v>
      </c>
      <c r="AD747" s="36">
        <v>-1135.4459999999999</v>
      </c>
    </row>
    <row r="748" spans="1:30" s="37" customFormat="1" ht="15.75" customHeight="1" x14ac:dyDescent="0.2">
      <c r="A748" s="26">
        <v>693</v>
      </c>
      <c r="B748" s="27" t="s">
        <v>1549</v>
      </c>
      <c r="C748" s="27" t="s">
        <v>48</v>
      </c>
      <c r="D748" s="28">
        <v>0.09</v>
      </c>
      <c r="E748" s="29">
        <v>5.34</v>
      </c>
      <c r="F748" s="29">
        <v>2.99</v>
      </c>
      <c r="G748" s="30" t="s">
        <v>87</v>
      </c>
      <c r="H748" s="27" t="s">
        <v>3095</v>
      </c>
      <c r="I748" s="27" t="s">
        <v>49</v>
      </c>
      <c r="J748" s="27" t="s">
        <v>72</v>
      </c>
      <c r="K748" s="27" t="s">
        <v>73</v>
      </c>
      <c r="L748" s="31" t="s">
        <v>1378</v>
      </c>
      <c r="M748" s="32">
        <v>0.38</v>
      </c>
      <c r="N748" s="27" t="s">
        <v>33</v>
      </c>
      <c r="O748" s="27" t="s">
        <v>60</v>
      </c>
      <c r="P748" s="27" t="s">
        <v>61</v>
      </c>
      <c r="Q748" s="27" t="s">
        <v>1550</v>
      </c>
      <c r="R748" s="33">
        <v>80229</v>
      </c>
      <c r="S748" s="34">
        <v>42071</v>
      </c>
      <c r="T748" s="34">
        <v>42078</v>
      </c>
      <c r="U748" s="29">
        <v>9.4860000000000007</v>
      </c>
      <c r="V748" s="26">
        <v>17</v>
      </c>
      <c r="W748" s="29">
        <v>95.1</v>
      </c>
      <c r="X748" s="26">
        <v>87812</v>
      </c>
      <c r="Y748" s="35">
        <v>300.97000000000003</v>
      </c>
      <c r="Z748" s="1" t="s">
        <v>3013</v>
      </c>
      <c r="AA748" s="36">
        <v>8.1701999999999995</v>
      </c>
      <c r="AB748" s="54">
        <v>58.961999999999996</v>
      </c>
      <c r="AC748" s="54">
        <v>2.1257647058823528</v>
      </c>
      <c r="AD748" s="36">
        <v>74.453800000000001</v>
      </c>
    </row>
    <row r="749" spans="1:30" s="37" customFormat="1" ht="15.75" customHeight="1" x14ac:dyDescent="0.2">
      <c r="A749" s="26">
        <v>2258</v>
      </c>
      <c r="B749" s="27" t="s">
        <v>1557</v>
      </c>
      <c r="C749" s="27" t="s">
        <v>48</v>
      </c>
      <c r="D749" s="28">
        <v>7.0000000000000007E-2</v>
      </c>
      <c r="E749" s="29">
        <v>400.97</v>
      </c>
      <c r="F749" s="29">
        <v>48.26</v>
      </c>
      <c r="G749" s="30" t="s">
        <v>27</v>
      </c>
      <c r="H749" s="27" t="s">
        <v>94</v>
      </c>
      <c r="I749" s="27" t="s">
        <v>41</v>
      </c>
      <c r="J749" s="27" t="s">
        <v>57</v>
      </c>
      <c r="K749" s="27" t="s">
        <v>31</v>
      </c>
      <c r="L749" s="31" t="s">
        <v>1560</v>
      </c>
      <c r="M749" s="32">
        <v>0.36</v>
      </c>
      <c r="N749" s="27" t="s">
        <v>33</v>
      </c>
      <c r="O749" s="27" t="s">
        <v>34</v>
      </c>
      <c r="P749" s="27" t="s">
        <v>97</v>
      </c>
      <c r="Q749" s="27" t="s">
        <v>1559</v>
      </c>
      <c r="R749" s="33">
        <v>27801</v>
      </c>
      <c r="S749" s="34">
        <v>42072</v>
      </c>
      <c r="T749" s="34">
        <v>42076</v>
      </c>
      <c r="U749" s="29">
        <v>45.127800000000001</v>
      </c>
      <c r="V749" s="26">
        <v>8</v>
      </c>
      <c r="W749" s="29">
        <v>2961.32</v>
      </c>
      <c r="X749" s="26">
        <v>87962</v>
      </c>
      <c r="Y749" s="35">
        <v>19.190000000000001</v>
      </c>
      <c r="Z749" s="1" t="s">
        <v>3011</v>
      </c>
      <c r="AA749" s="36">
        <v>224.54320000000004</v>
      </c>
      <c r="AB749" s="54">
        <v>1895.2448000000002</v>
      </c>
      <c r="AC749" s="54">
        <v>133.2594</v>
      </c>
      <c r="AD749" s="36">
        <v>2643.3890000000001</v>
      </c>
    </row>
    <row r="750" spans="1:30" s="37" customFormat="1" ht="15.75" customHeight="1" x14ac:dyDescent="0.2">
      <c r="A750" s="26">
        <v>1075</v>
      </c>
      <c r="B750" s="27" t="s">
        <v>1555</v>
      </c>
      <c r="C750" s="27" t="s">
        <v>38</v>
      </c>
      <c r="D750" s="28">
        <v>0.04</v>
      </c>
      <c r="E750" s="29">
        <v>19.23</v>
      </c>
      <c r="F750" s="29">
        <v>6.15</v>
      </c>
      <c r="G750" s="30" t="s">
        <v>39</v>
      </c>
      <c r="H750" s="27" t="s">
        <v>71</v>
      </c>
      <c r="I750" s="27" t="s">
        <v>29</v>
      </c>
      <c r="J750" s="27" t="s">
        <v>126</v>
      </c>
      <c r="K750" s="27" t="s">
        <v>43</v>
      </c>
      <c r="L750" s="31" t="s">
        <v>1277</v>
      </c>
      <c r="M750" s="32">
        <v>0.44</v>
      </c>
      <c r="N750" s="27" t="s">
        <v>33</v>
      </c>
      <c r="O750" s="27" t="s">
        <v>53</v>
      </c>
      <c r="P750" s="27" t="s">
        <v>103</v>
      </c>
      <c r="Q750" s="27" t="s">
        <v>1556</v>
      </c>
      <c r="R750" s="33">
        <v>60441</v>
      </c>
      <c r="S750" s="34">
        <v>42072</v>
      </c>
      <c r="T750" s="34">
        <v>42073</v>
      </c>
      <c r="U750" s="29">
        <v>152.4348</v>
      </c>
      <c r="V750" s="26">
        <v>11</v>
      </c>
      <c r="W750" s="29">
        <v>220.92</v>
      </c>
      <c r="X750" s="26">
        <v>86422</v>
      </c>
      <c r="Y750" s="35">
        <v>7.63</v>
      </c>
      <c r="Z750" s="1" t="s">
        <v>3012</v>
      </c>
      <c r="AA750" s="36">
        <v>8.4611999999999998</v>
      </c>
      <c r="AB750" s="54">
        <v>123.71520000000001</v>
      </c>
      <c r="AC750" s="54">
        <v>8.8368000000000002</v>
      </c>
      <c r="AD750" s="36">
        <v>53.873999999999995</v>
      </c>
    </row>
    <row r="751" spans="1:30" s="37" customFormat="1" ht="15.75" customHeight="1" x14ac:dyDescent="0.2">
      <c r="A751" s="26">
        <v>2258</v>
      </c>
      <c r="B751" s="27" t="s">
        <v>1557</v>
      </c>
      <c r="C751" s="27" t="s">
        <v>48</v>
      </c>
      <c r="D751" s="28">
        <v>0.01</v>
      </c>
      <c r="E751" s="29">
        <v>7.64</v>
      </c>
      <c r="F751" s="29">
        <v>1.39</v>
      </c>
      <c r="G751" s="30" t="s">
        <v>87</v>
      </c>
      <c r="H751" s="27" t="s">
        <v>94</v>
      </c>
      <c r="I751" s="27" t="s">
        <v>49</v>
      </c>
      <c r="J751" s="27" t="s">
        <v>345</v>
      </c>
      <c r="K751" s="27" t="s">
        <v>73</v>
      </c>
      <c r="L751" s="31" t="s">
        <v>1558</v>
      </c>
      <c r="M751" s="32">
        <v>0.36</v>
      </c>
      <c r="N751" s="27" t="s">
        <v>33</v>
      </c>
      <c r="O751" s="27" t="s">
        <v>34</v>
      </c>
      <c r="P751" s="27" t="s">
        <v>97</v>
      </c>
      <c r="Q751" s="27" t="s">
        <v>1559</v>
      </c>
      <c r="R751" s="33">
        <v>27801</v>
      </c>
      <c r="S751" s="34">
        <v>42072</v>
      </c>
      <c r="T751" s="34">
        <v>42076</v>
      </c>
      <c r="U751" s="29">
        <v>-1676.6120000000001</v>
      </c>
      <c r="V751" s="26">
        <v>9</v>
      </c>
      <c r="W751" s="29">
        <v>73.290000000000006</v>
      </c>
      <c r="X751" s="26">
        <v>87962</v>
      </c>
      <c r="Y751" s="35">
        <v>400.90000000000003</v>
      </c>
      <c r="Z751" s="1" t="s">
        <v>3011</v>
      </c>
      <c r="AA751" s="36">
        <v>0.68759999999999999</v>
      </c>
      <c r="AB751" s="54">
        <v>46.905600000000007</v>
      </c>
      <c r="AC751" s="54">
        <v>2.9316000000000004</v>
      </c>
      <c r="AD751" s="36">
        <v>1747.8244</v>
      </c>
    </row>
    <row r="752" spans="1:30" s="37" customFormat="1" ht="15.75" customHeight="1" x14ac:dyDescent="0.2">
      <c r="A752" s="26">
        <v>2855</v>
      </c>
      <c r="B752" s="27" t="s">
        <v>678</v>
      </c>
      <c r="C752" s="27" t="s">
        <v>48</v>
      </c>
      <c r="D752" s="28">
        <v>0.09</v>
      </c>
      <c r="E752" s="29">
        <v>6783.02</v>
      </c>
      <c r="F752" s="29">
        <v>24.49</v>
      </c>
      <c r="G752" s="30" t="s">
        <v>39</v>
      </c>
      <c r="H752" s="27" t="s">
        <v>40</v>
      </c>
      <c r="I752" s="27" t="s">
        <v>41</v>
      </c>
      <c r="J752" s="27" t="s">
        <v>57</v>
      </c>
      <c r="K752" s="27" t="s">
        <v>65</v>
      </c>
      <c r="L752" s="31" t="s">
        <v>314</v>
      </c>
      <c r="M752" s="32">
        <v>0.39</v>
      </c>
      <c r="N752" s="27" t="s">
        <v>33</v>
      </c>
      <c r="O752" s="27" t="s">
        <v>60</v>
      </c>
      <c r="P752" s="27" t="s">
        <v>67</v>
      </c>
      <c r="Q752" s="27" t="s">
        <v>680</v>
      </c>
      <c r="R752" s="33">
        <v>98198</v>
      </c>
      <c r="S752" s="34">
        <v>42073</v>
      </c>
      <c r="T752" s="34">
        <v>42077</v>
      </c>
      <c r="U752" s="29">
        <v>-14140.7016</v>
      </c>
      <c r="V752" s="26">
        <v>1</v>
      </c>
      <c r="W752" s="29">
        <v>6296</v>
      </c>
      <c r="X752" s="26">
        <v>87317</v>
      </c>
      <c r="Y752" s="35">
        <v>6782.93</v>
      </c>
      <c r="Z752" s="1" t="s">
        <v>3013</v>
      </c>
      <c r="AA752" s="36">
        <v>610.47180000000003</v>
      </c>
      <c r="AB752" s="54">
        <v>3840.56</v>
      </c>
      <c r="AC752" s="54">
        <v>2455.44</v>
      </c>
      <c r="AD752" s="36">
        <v>19801.739800000003</v>
      </c>
    </row>
    <row r="753" spans="1:30" s="37" customFormat="1" ht="15.75" customHeight="1" x14ac:dyDescent="0.2">
      <c r="A753" s="26">
        <v>52</v>
      </c>
      <c r="B753" s="27" t="s">
        <v>1565</v>
      </c>
      <c r="C753" s="27" t="s">
        <v>3094</v>
      </c>
      <c r="D753" s="28">
        <v>0</v>
      </c>
      <c r="E753" s="29">
        <v>115.99</v>
      </c>
      <c r="F753" s="29">
        <v>2.5</v>
      </c>
      <c r="G753" s="30" t="s">
        <v>39</v>
      </c>
      <c r="H753" s="27" t="s">
        <v>94</v>
      </c>
      <c r="I753" s="27" t="s">
        <v>41</v>
      </c>
      <c r="J753" s="27" t="s">
        <v>135</v>
      </c>
      <c r="K753" s="27" t="s">
        <v>73</v>
      </c>
      <c r="L753" s="31" t="s">
        <v>1566</v>
      </c>
      <c r="M753" s="32">
        <v>0.56999999999999995</v>
      </c>
      <c r="N753" s="27" t="s">
        <v>33</v>
      </c>
      <c r="O753" s="27" t="s">
        <v>60</v>
      </c>
      <c r="P753" s="27" t="s">
        <v>67</v>
      </c>
      <c r="Q753" s="27" t="s">
        <v>1567</v>
      </c>
      <c r="R753" s="33">
        <v>98373</v>
      </c>
      <c r="S753" s="34">
        <v>42073</v>
      </c>
      <c r="T753" s="34">
        <v>42073</v>
      </c>
      <c r="U753" s="29">
        <v>162.666</v>
      </c>
      <c r="V753" s="26">
        <v>6</v>
      </c>
      <c r="W753" s="29">
        <v>627.04</v>
      </c>
      <c r="X753" s="26">
        <v>88426</v>
      </c>
      <c r="Y753" s="35">
        <v>99.97999999999999</v>
      </c>
      <c r="Z753" s="1" t="s">
        <v>3013</v>
      </c>
      <c r="AA753" s="36">
        <v>0</v>
      </c>
      <c r="AB753" s="54">
        <v>269.62720000000002</v>
      </c>
      <c r="AC753" s="54">
        <v>59.568799999999989</v>
      </c>
      <c r="AD753" s="36">
        <v>461.87399999999997</v>
      </c>
    </row>
    <row r="754" spans="1:30" s="37" customFormat="1" ht="15.75" customHeight="1" x14ac:dyDescent="0.2">
      <c r="A754" s="26">
        <v>2545</v>
      </c>
      <c r="B754" s="27" t="s">
        <v>1561</v>
      </c>
      <c r="C754" s="27" t="s">
        <v>116</v>
      </c>
      <c r="D754" s="28">
        <v>0.01</v>
      </c>
      <c r="E754" s="29">
        <v>99.99</v>
      </c>
      <c r="F754" s="29">
        <v>19.989999999999998</v>
      </c>
      <c r="G754" s="30" t="s">
        <v>87</v>
      </c>
      <c r="H754" s="27" t="s">
        <v>71</v>
      </c>
      <c r="I754" s="27" t="s">
        <v>41</v>
      </c>
      <c r="J754" s="27" t="s">
        <v>57</v>
      </c>
      <c r="K754" s="27" t="s">
        <v>73</v>
      </c>
      <c r="L754" s="31" t="s">
        <v>1562</v>
      </c>
      <c r="M754" s="32">
        <v>0.52</v>
      </c>
      <c r="N754" s="27" t="s">
        <v>33</v>
      </c>
      <c r="O754" s="27" t="s">
        <v>34</v>
      </c>
      <c r="P754" s="27" t="s">
        <v>242</v>
      </c>
      <c r="Q754" s="27" t="s">
        <v>878</v>
      </c>
      <c r="R754" s="33">
        <v>22153</v>
      </c>
      <c r="S754" s="34">
        <v>42073</v>
      </c>
      <c r="T754" s="34">
        <v>42075</v>
      </c>
      <c r="U754" s="29">
        <v>90.024000000000001</v>
      </c>
      <c r="V754" s="26">
        <v>2</v>
      </c>
      <c r="W754" s="29">
        <v>202.98</v>
      </c>
      <c r="X754" s="26">
        <v>87915</v>
      </c>
      <c r="Y754" s="35">
        <v>4.8800000000000008</v>
      </c>
      <c r="Z754" s="1" t="s">
        <v>3011</v>
      </c>
      <c r="AA754" s="36">
        <v>1.9998</v>
      </c>
      <c r="AB754" s="54">
        <v>97.430399999999992</v>
      </c>
      <c r="AC754" s="54">
        <v>52.774799999999999</v>
      </c>
      <c r="AD754" s="36">
        <v>90.966200000000001</v>
      </c>
    </row>
    <row r="755" spans="1:30" s="37" customFormat="1" ht="15.75" customHeight="1" x14ac:dyDescent="0.2">
      <c r="A755" s="26">
        <v>3194</v>
      </c>
      <c r="B755" s="27" t="s">
        <v>1563</v>
      </c>
      <c r="C755" s="27" t="s">
        <v>116</v>
      </c>
      <c r="D755" s="28">
        <v>0</v>
      </c>
      <c r="E755" s="29">
        <v>22.84</v>
      </c>
      <c r="F755" s="29">
        <v>8.18</v>
      </c>
      <c r="G755" s="30" t="s">
        <v>39</v>
      </c>
      <c r="H755" s="27" t="s">
        <v>40</v>
      </c>
      <c r="I755" s="27" t="s">
        <v>49</v>
      </c>
      <c r="J755" s="27" t="s">
        <v>88</v>
      </c>
      <c r="K755" s="27" t="s">
        <v>73</v>
      </c>
      <c r="L755" s="31" t="s">
        <v>605</v>
      </c>
      <c r="M755" s="32">
        <v>0.39</v>
      </c>
      <c r="N755" s="27" t="s">
        <v>33</v>
      </c>
      <c r="O755" s="27" t="s">
        <v>34</v>
      </c>
      <c r="P755" s="27" t="s">
        <v>123</v>
      </c>
      <c r="Q755" s="27" t="s">
        <v>436</v>
      </c>
      <c r="R755" s="33">
        <v>34609</v>
      </c>
      <c r="S755" s="34">
        <v>42073</v>
      </c>
      <c r="T755" s="34">
        <v>42075</v>
      </c>
      <c r="U755" s="29">
        <v>-110.376</v>
      </c>
      <c r="V755" s="26">
        <v>6</v>
      </c>
      <c r="W755" s="29">
        <v>141.74</v>
      </c>
      <c r="X755" s="26">
        <v>89805</v>
      </c>
      <c r="Y755" s="35">
        <v>22.84</v>
      </c>
      <c r="Z755" s="1" t="s">
        <v>3011</v>
      </c>
      <c r="AA755" s="36">
        <v>0</v>
      </c>
      <c r="AB755" s="54">
        <v>86.461399999999998</v>
      </c>
      <c r="AC755" s="54">
        <v>9.2131000000000007</v>
      </c>
      <c r="AD755" s="36">
        <v>243.93600000000001</v>
      </c>
    </row>
    <row r="756" spans="1:30" s="37" customFormat="1" ht="15.75" customHeight="1" x14ac:dyDescent="0.2">
      <c r="A756" s="26">
        <v>53</v>
      </c>
      <c r="B756" s="27" t="s">
        <v>840</v>
      </c>
      <c r="C756" s="27" t="s">
        <v>3094</v>
      </c>
      <c r="D756" s="28">
        <v>0.02</v>
      </c>
      <c r="E756" s="29">
        <v>5.98</v>
      </c>
      <c r="F756" s="29">
        <v>5.79</v>
      </c>
      <c r="G756" s="30" t="s">
        <v>39</v>
      </c>
      <c r="H756" s="27" t="s">
        <v>94</v>
      </c>
      <c r="I756" s="27" t="s">
        <v>49</v>
      </c>
      <c r="J756" s="27" t="s">
        <v>88</v>
      </c>
      <c r="K756" s="27" t="s">
        <v>73</v>
      </c>
      <c r="L756" s="31" t="s">
        <v>471</v>
      </c>
      <c r="M756" s="32">
        <v>0.36</v>
      </c>
      <c r="N756" s="27" t="s">
        <v>33</v>
      </c>
      <c r="O756" s="27" t="s">
        <v>60</v>
      </c>
      <c r="P756" s="27" t="s">
        <v>67</v>
      </c>
      <c r="Q756" s="27" t="s">
        <v>842</v>
      </c>
      <c r="R756" s="33">
        <v>98052</v>
      </c>
      <c r="S756" s="34">
        <v>42073</v>
      </c>
      <c r="T756" s="34">
        <v>42074</v>
      </c>
      <c r="U756" s="29">
        <v>-67.489999999999995</v>
      </c>
      <c r="V756" s="26">
        <v>17</v>
      </c>
      <c r="W756" s="29">
        <v>110.19</v>
      </c>
      <c r="X756" s="26">
        <v>88426</v>
      </c>
      <c r="Y756" s="35">
        <v>115.99</v>
      </c>
      <c r="Z756" s="1" t="s">
        <v>3013</v>
      </c>
      <c r="AA756" s="36">
        <v>2.0332000000000003</v>
      </c>
      <c r="AB756" s="54">
        <v>70.521600000000007</v>
      </c>
      <c r="AC756" s="54">
        <v>2.3334352941176468</v>
      </c>
      <c r="AD756" s="36">
        <v>169.85679999999999</v>
      </c>
    </row>
    <row r="757" spans="1:30" s="37" customFormat="1" ht="15.75" customHeight="1" x14ac:dyDescent="0.2">
      <c r="A757" s="26">
        <v>3194</v>
      </c>
      <c r="B757" s="27" t="s">
        <v>1563</v>
      </c>
      <c r="C757" s="27" t="s">
        <v>116</v>
      </c>
      <c r="D757" s="28">
        <v>0.1</v>
      </c>
      <c r="E757" s="29">
        <v>4.9800000000000004</v>
      </c>
      <c r="F757" s="29">
        <v>7.54</v>
      </c>
      <c r="G757" s="30" t="s">
        <v>39</v>
      </c>
      <c r="H757" s="27" t="s">
        <v>40</v>
      </c>
      <c r="I757" s="27" t="s">
        <v>49</v>
      </c>
      <c r="J757" s="27" t="s">
        <v>88</v>
      </c>
      <c r="K757" s="27" t="s">
        <v>73</v>
      </c>
      <c r="L757" s="31" t="s">
        <v>1564</v>
      </c>
      <c r="M757" s="32">
        <v>0.38</v>
      </c>
      <c r="N757" s="27" t="s">
        <v>33</v>
      </c>
      <c r="O757" s="27" t="s">
        <v>34</v>
      </c>
      <c r="P757" s="27" t="s">
        <v>123</v>
      </c>
      <c r="Q757" s="27" t="s">
        <v>436</v>
      </c>
      <c r="R757" s="33">
        <v>34609</v>
      </c>
      <c r="S757" s="34">
        <v>42073</v>
      </c>
      <c r="T757" s="34">
        <v>42074</v>
      </c>
      <c r="U757" s="29">
        <v>45.078000000000003</v>
      </c>
      <c r="V757" s="26">
        <v>9</v>
      </c>
      <c r="W757" s="29">
        <v>43.84</v>
      </c>
      <c r="X757" s="26">
        <v>89805</v>
      </c>
      <c r="Y757" s="35">
        <v>5.9600000000000009</v>
      </c>
      <c r="Z757" s="1" t="s">
        <v>3011</v>
      </c>
      <c r="AA757" s="36">
        <v>4.4820000000000002</v>
      </c>
      <c r="AB757" s="54">
        <v>27.180800000000001</v>
      </c>
      <c r="AC757" s="54">
        <v>1.8510222222222223</v>
      </c>
      <c r="AD757" s="36">
        <v>-13.259999999999998</v>
      </c>
    </row>
    <row r="758" spans="1:30" s="37" customFormat="1" ht="15.75" customHeight="1" x14ac:dyDescent="0.2">
      <c r="A758" s="26">
        <v>1484</v>
      </c>
      <c r="B758" s="27" t="s">
        <v>1579</v>
      </c>
      <c r="C758" s="27" t="s">
        <v>38</v>
      </c>
      <c r="D758" s="28">
        <v>0</v>
      </c>
      <c r="E758" s="29">
        <v>193.17</v>
      </c>
      <c r="F758" s="29">
        <v>19.989999999999998</v>
      </c>
      <c r="G758" s="30" t="s">
        <v>39</v>
      </c>
      <c r="H758" s="27" t="s">
        <v>71</v>
      </c>
      <c r="I758" s="27" t="s">
        <v>49</v>
      </c>
      <c r="J758" s="27" t="s">
        <v>78</v>
      </c>
      <c r="K758" s="27" t="s">
        <v>73</v>
      </c>
      <c r="L758" s="31" t="s">
        <v>1582</v>
      </c>
      <c r="M758" s="32">
        <v>0.71</v>
      </c>
      <c r="N758" s="27" t="s">
        <v>33</v>
      </c>
      <c r="O758" s="27" t="s">
        <v>53</v>
      </c>
      <c r="P758" s="27" t="s">
        <v>103</v>
      </c>
      <c r="Q758" s="27" t="s">
        <v>1581</v>
      </c>
      <c r="R758" s="33">
        <v>60016</v>
      </c>
      <c r="S758" s="34">
        <v>42074</v>
      </c>
      <c r="T758" s="34">
        <v>42075</v>
      </c>
      <c r="U758" s="29">
        <v>282.18</v>
      </c>
      <c r="V758" s="26">
        <v>5</v>
      </c>
      <c r="W758" s="29">
        <v>971.4</v>
      </c>
      <c r="X758" s="26">
        <v>91235</v>
      </c>
      <c r="Y758" s="35">
        <v>2.5499999999999998</v>
      </c>
      <c r="Z758" s="1" t="s">
        <v>3012</v>
      </c>
      <c r="AA758" s="36">
        <v>0</v>
      </c>
      <c r="AB758" s="54">
        <v>281.70600000000002</v>
      </c>
      <c r="AC758" s="54">
        <v>137.93879999999999</v>
      </c>
      <c r="AD758" s="36">
        <v>669.23</v>
      </c>
    </row>
    <row r="759" spans="1:30" s="37" customFormat="1" ht="15.75" customHeight="1" x14ac:dyDescent="0.2">
      <c r="A759" s="26">
        <v>1484</v>
      </c>
      <c r="B759" s="27" t="s">
        <v>1579</v>
      </c>
      <c r="C759" s="27" t="s">
        <v>38</v>
      </c>
      <c r="D759" s="28">
        <v>0.06</v>
      </c>
      <c r="E759" s="29">
        <v>99.99</v>
      </c>
      <c r="F759" s="29">
        <v>19.989999999999998</v>
      </c>
      <c r="G759" s="30" t="s">
        <v>39</v>
      </c>
      <c r="H759" s="27" t="s">
        <v>71</v>
      </c>
      <c r="I759" s="27" t="s">
        <v>41</v>
      </c>
      <c r="J759" s="27" t="s">
        <v>42</v>
      </c>
      <c r="K759" s="27" t="s">
        <v>73</v>
      </c>
      <c r="L759" s="31" t="s">
        <v>1580</v>
      </c>
      <c r="M759" s="32">
        <v>0.52</v>
      </c>
      <c r="N759" s="27" t="s">
        <v>33</v>
      </c>
      <c r="O759" s="27" t="s">
        <v>53</v>
      </c>
      <c r="P759" s="27" t="s">
        <v>103</v>
      </c>
      <c r="Q759" s="27" t="s">
        <v>1581</v>
      </c>
      <c r="R759" s="33">
        <v>60016</v>
      </c>
      <c r="S759" s="34">
        <v>42074</v>
      </c>
      <c r="T759" s="34">
        <v>42077</v>
      </c>
      <c r="U759" s="29">
        <v>-127.56</v>
      </c>
      <c r="V759" s="26">
        <v>3</v>
      </c>
      <c r="W759" s="29">
        <v>290.24</v>
      </c>
      <c r="X759" s="26">
        <v>91235</v>
      </c>
      <c r="Y759" s="35">
        <v>6.34</v>
      </c>
      <c r="Z759" s="1" t="s">
        <v>3012</v>
      </c>
      <c r="AA759" s="36">
        <v>17.998199999999997</v>
      </c>
      <c r="AB759" s="54">
        <v>139.3152</v>
      </c>
      <c r="AC759" s="54">
        <v>50.308266666666668</v>
      </c>
      <c r="AD759" s="36">
        <v>379.81180000000001</v>
      </c>
    </row>
    <row r="760" spans="1:30" s="37" customFormat="1" ht="15.75" customHeight="1" x14ac:dyDescent="0.2">
      <c r="A760" s="26">
        <v>1497</v>
      </c>
      <c r="B760" s="27" t="s">
        <v>1574</v>
      </c>
      <c r="C760" s="27" t="s">
        <v>26</v>
      </c>
      <c r="D760" s="28">
        <v>0.03</v>
      </c>
      <c r="E760" s="29">
        <v>15.14</v>
      </c>
      <c r="F760" s="29">
        <v>4.53</v>
      </c>
      <c r="G760" s="30" t="s">
        <v>39</v>
      </c>
      <c r="H760" s="27" t="s">
        <v>94</v>
      </c>
      <c r="I760" s="27" t="s">
        <v>49</v>
      </c>
      <c r="J760" s="27" t="s">
        <v>78</v>
      </c>
      <c r="K760" s="27" t="s">
        <v>73</v>
      </c>
      <c r="L760" s="31" t="s">
        <v>1355</v>
      </c>
      <c r="M760" s="32">
        <v>0.81</v>
      </c>
      <c r="N760" s="27" t="s">
        <v>33</v>
      </c>
      <c r="O760" s="27" t="s">
        <v>111</v>
      </c>
      <c r="P760" s="27" t="s">
        <v>112</v>
      </c>
      <c r="Q760" s="27" t="s">
        <v>1576</v>
      </c>
      <c r="R760" s="33">
        <v>14901</v>
      </c>
      <c r="S760" s="34">
        <v>42074</v>
      </c>
      <c r="T760" s="34">
        <v>42076</v>
      </c>
      <c r="U760" s="29">
        <v>-92.87</v>
      </c>
      <c r="V760" s="26">
        <v>17</v>
      </c>
      <c r="W760" s="29">
        <v>256.73</v>
      </c>
      <c r="X760" s="26">
        <v>85880</v>
      </c>
      <c r="Y760" s="35">
        <v>8.3099999999999987</v>
      </c>
      <c r="Z760" s="1" t="s">
        <v>3014</v>
      </c>
      <c r="AA760" s="36">
        <v>7.7214</v>
      </c>
      <c r="AB760" s="54">
        <v>48.778699999999986</v>
      </c>
      <c r="AC760" s="54">
        <v>12.232429411764707</v>
      </c>
      <c r="AD760" s="36">
        <v>337.34860000000003</v>
      </c>
    </row>
    <row r="761" spans="1:30" s="37" customFormat="1" ht="15.75" customHeight="1" x14ac:dyDescent="0.2">
      <c r="A761" s="26">
        <v>3397</v>
      </c>
      <c r="B761" s="27" t="s">
        <v>1584</v>
      </c>
      <c r="C761" s="27" t="s">
        <v>38</v>
      </c>
      <c r="D761" s="28">
        <v>0.01</v>
      </c>
      <c r="E761" s="29">
        <v>10.9</v>
      </c>
      <c r="F761" s="29">
        <v>7.46</v>
      </c>
      <c r="G761" s="30" t="s">
        <v>39</v>
      </c>
      <c r="H761" s="27" t="s">
        <v>3095</v>
      </c>
      <c r="I761" s="27" t="s">
        <v>49</v>
      </c>
      <c r="J761" s="27" t="s">
        <v>78</v>
      </c>
      <c r="K761" s="27" t="s">
        <v>73</v>
      </c>
      <c r="L761" s="31" t="s">
        <v>1585</v>
      </c>
      <c r="M761" s="32">
        <v>0.59</v>
      </c>
      <c r="N761" s="27" t="s">
        <v>33</v>
      </c>
      <c r="O761" s="27" t="s">
        <v>53</v>
      </c>
      <c r="P761" s="27" t="s">
        <v>103</v>
      </c>
      <c r="Q761" s="27" t="s">
        <v>1586</v>
      </c>
      <c r="R761" s="33">
        <v>61832</v>
      </c>
      <c r="S761" s="34">
        <v>42074</v>
      </c>
      <c r="T761" s="34">
        <v>42075</v>
      </c>
      <c r="U761" s="29">
        <v>-116.76</v>
      </c>
      <c r="V761" s="26">
        <v>18</v>
      </c>
      <c r="W761" s="29">
        <v>207.31</v>
      </c>
      <c r="X761" s="26">
        <v>87536</v>
      </c>
      <c r="Y761" s="35">
        <v>6.3900000000000006</v>
      </c>
      <c r="Z761" s="1" t="s">
        <v>3012</v>
      </c>
      <c r="AA761" s="36">
        <v>1.962</v>
      </c>
      <c r="AB761" s="54">
        <v>84.997100000000003</v>
      </c>
      <c r="AC761" s="54">
        <v>6.7951611111111117</v>
      </c>
      <c r="AD761" s="36">
        <v>314.64800000000002</v>
      </c>
    </row>
    <row r="762" spans="1:30" s="37" customFormat="1" ht="15.75" customHeight="1" x14ac:dyDescent="0.2">
      <c r="A762" s="26">
        <v>1484</v>
      </c>
      <c r="B762" s="27" t="s">
        <v>1579</v>
      </c>
      <c r="C762" s="27" t="s">
        <v>38</v>
      </c>
      <c r="D762" s="28">
        <v>0.08</v>
      </c>
      <c r="E762" s="29">
        <v>20.99</v>
      </c>
      <c r="F762" s="29">
        <v>3.3</v>
      </c>
      <c r="G762" s="30" t="s">
        <v>87</v>
      </c>
      <c r="H762" s="27" t="s">
        <v>71</v>
      </c>
      <c r="I762" s="27" t="s">
        <v>41</v>
      </c>
      <c r="J762" s="27" t="s">
        <v>135</v>
      </c>
      <c r="K762" s="27" t="s">
        <v>43</v>
      </c>
      <c r="L762" s="31" t="s">
        <v>1583</v>
      </c>
      <c r="M762" s="32">
        <v>0.81</v>
      </c>
      <c r="N762" s="27" t="s">
        <v>33</v>
      </c>
      <c r="O762" s="27" t="s">
        <v>53</v>
      </c>
      <c r="P762" s="27" t="s">
        <v>103</v>
      </c>
      <c r="Q762" s="27" t="s">
        <v>1581</v>
      </c>
      <c r="R762" s="33">
        <v>60016</v>
      </c>
      <c r="S762" s="34">
        <v>42074</v>
      </c>
      <c r="T762" s="34">
        <v>42074</v>
      </c>
      <c r="U762" s="29">
        <v>-96.337999999999994</v>
      </c>
      <c r="V762" s="26">
        <v>11</v>
      </c>
      <c r="W762" s="29">
        <v>193.51</v>
      </c>
      <c r="X762" s="26">
        <v>91235</v>
      </c>
      <c r="Y762" s="35">
        <v>6.19</v>
      </c>
      <c r="Z762" s="1" t="s">
        <v>3012</v>
      </c>
      <c r="AA762" s="36">
        <v>18.471199999999996</v>
      </c>
      <c r="AB762" s="54">
        <v>36.766899999999985</v>
      </c>
      <c r="AC762" s="54">
        <v>14.249372727272727</v>
      </c>
      <c r="AD762" s="36">
        <v>268.07679999999999</v>
      </c>
    </row>
    <row r="763" spans="1:30" s="37" customFormat="1" ht="15.75" customHeight="1" x14ac:dyDescent="0.2">
      <c r="A763" s="26">
        <v>1494</v>
      </c>
      <c r="B763" s="27" t="s">
        <v>1571</v>
      </c>
      <c r="C763" s="27" t="s">
        <v>26</v>
      </c>
      <c r="D763" s="28">
        <v>0.06</v>
      </c>
      <c r="E763" s="29">
        <v>8.3699999999999992</v>
      </c>
      <c r="F763" s="29">
        <v>10.16</v>
      </c>
      <c r="G763" s="30" t="s">
        <v>39</v>
      </c>
      <c r="H763" s="27" t="s">
        <v>94</v>
      </c>
      <c r="I763" s="27" t="s">
        <v>29</v>
      </c>
      <c r="J763" s="27" t="s">
        <v>126</v>
      </c>
      <c r="K763" s="27" t="s">
        <v>65</v>
      </c>
      <c r="L763" s="31" t="s">
        <v>1572</v>
      </c>
      <c r="M763" s="32">
        <v>0.59</v>
      </c>
      <c r="N763" s="27" t="s">
        <v>33</v>
      </c>
      <c r="O763" s="27" t="s">
        <v>111</v>
      </c>
      <c r="P763" s="27" t="s">
        <v>418</v>
      </c>
      <c r="Q763" s="27" t="s">
        <v>1573</v>
      </c>
      <c r="R763" s="33">
        <v>21222</v>
      </c>
      <c r="S763" s="34">
        <v>42074</v>
      </c>
      <c r="T763" s="34">
        <v>42076</v>
      </c>
      <c r="U763" s="29">
        <v>-255.65</v>
      </c>
      <c r="V763" s="26">
        <v>18</v>
      </c>
      <c r="W763" s="29">
        <v>157.63999999999999</v>
      </c>
      <c r="X763" s="26">
        <v>85880</v>
      </c>
      <c r="Y763" s="35">
        <v>15.110000000000001</v>
      </c>
      <c r="Z763" s="1" t="s">
        <v>3014</v>
      </c>
      <c r="AA763" s="36">
        <v>9.0396000000000001</v>
      </c>
      <c r="AB763" s="54">
        <v>64.632400000000004</v>
      </c>
      <c r="AC763" s="54">
        <v>5.1670888888888884</v>
      </c>
      <c r="AD763" s="36">
        <v>394.09039999999999</v>
      </c>
    </row>
    <row r="764" spans="1:30" s="37" customFormat="1" ht="15.75" customHeight="1" x14ac:dyDescent="0.2">
      <c r="A764" s="26">
        <v>3397</v>
      </c>
      <c r="B764" s="27" t="s">
        <v>1584</v>
      </c>
      <c r="C764" s="27" t="s">
        <v>38</v>
      </c>
      <c r="D764" s="28">
        <v>0.1</v>
      </c>
      <c r="E764" s="29">
        <v>7.99</v>
      </c>
      <c r="F764" s="29">
        <v>5.03</v>
      </c>
      <c r="G764" s="30" t="s">
        <v>39</v>
      </c>
      <c r="H764" s="27" t="s">
        <v>3095</v>
      </c>
      <c r="I764" s="27" t="s">
        <v>41</v>
      </c>
      <c r="J764" s="27" t="s">
        <v>135</v>
      </c>
      <c r="K764" s="27" t="s">
        <v>144</v>
      </c>
      <c r="L764" s="31" t="s">
        <v>465</v>
      </c>
      <c r="M764" s="32">
        <v>0.6</v>
      </c>
      <c r="N764" s="27" t="s">
        <v>33</v>
      </c>
      <c r="O764" s="27" t="s">
        <v>53</v>
      </c>
      <c r="P764" s="27" t="s">
        <v>103</v>
      </c>
      <c r="Q764" s="27" t="s">
        <v>1586</v>
      </c>
      <c r="R764" s="33">
        <v>61832</v>
      </c>
      <c r="S764" s="34">
        <v>42074</v>
      </c>
      <c r="T764" s="34">
        <v>42075</v>
      </c>
      <c r="U764" s="29">
        <v>-160.952</v>
      </c>
      <c r="V764" s="26">
        <v>22</v>
      </c>
      <c r="W764" s="29">
        <v>143.12</v>
      </c>
      <c r="X764" s="26">
        <v>87536</v>
      </c>
      <c r="Y764" s="35">
        <v>2.6</v>
      </c>
      <c r="Z764" s="1" t="s">
        <v>3012</v>
      </c>
      <c r="AA764" s="36">
        <v>17.577999999999999</v>
      </c>
      <c r="AB764" s="54">
        <v>57.248000000000005</v>
      </c>
      <c r="AC764" s="54">
        <v>3.9032727272727272</v>
      </c>
      <c r="AD764" s="36">
        <v>281.464</v>
      </c>
    </row>
    <row r="765" spans="1:30" s="37" customFormat="1" ht="15.75" customHeight="1" x14ac:dyDescent="0.2">
      <c r="A765" s="26">
        <v>753</v>
      </c>
      <c r="B765" s="27" t="s">
        <v>1568</v>
      </c>
      <c r="C765" s="27" t="s">
        <v>26</v>
      </c>
      <c r="D765" s="28">
        <v>0.01</v>
      </c>
      <c r="E765" s="29">
        <v>6.35</v>
      </c>
      <c r="F765" s="29">
        <v>1.02</v>
      </c>
      <c r="G765" s="30" t="s">
        <v>39</v>
      </c>
      <c r="H765" s="27" t="s">
        <v>94</v>
      </c>
      <c r="I765" s="27" t="s">
        <v>49</v>
      </c>
      <c r="J765" s="27" t="s">
        <v>88</v>
      </c>
      <c r="K765" s="27" t="s">
        <v>51</v>
      </c>
      <c r="L765" s="31" t="s">
        <v>527</v>
      </c>
      <c r="M765" s="32">
        <v>0.39</v>
      </c>
      <c r="N765" s="27" t="s">
        <v>33</v>
      </c>
      <c r="O765" s="27" t="s">
        <v>60</v>
      </c>
      <c r="P765" s="27" t="s">
        <v>588</v>
      </c>
      <c r="Q765" s="27" t="s">
        <v>1570</v>
      </c>
      <c r="R765" s="33">
        <v>86301</v>
      </c>
      <c r="S765" s="34">
        <v>42074</v>
      </c>
      <c r="T765" s="34">
        <v>42076</v>
      </c>
      <c r="U765" s="29">
        <v>97.662599999999998</v>
      </c>
      <c r="V765" s="26">
        <v>22</v>
      </c>
      <c r="W765" s="29">
        <v>141.54</v>
      </c>
      <c r="X765" s="26">
        <v>90438</v>
      </c>
      <c r="Y765" s="35">
        <v>99.929999999999993</v>
      </c>
      <c r="Z765" s="1" t="s">
        <v>3013</v>
      </c>
      <c r="AA765" s="36">
        <v>1.397</v>
      </c>
      <c r="AB765" s="54">
        <v>86.339399999999998</v>
      </c>
      <c r="AC765" s="54">
        <v>2.5091181818181818</v>
      </c>
      <c r="AD765" s="36">
        <v>41.460399999999993</v>
      </c>
    </row>
    <row r="766" spans="1:30" s="37" customFormat="1" ht="15.75" customHeight="1" x14ac:dyDescent="0.2">
      <c r="A766" s="26">
        <v>796</v>
      </c>
      <c r="B766" s="27" t="s">
        <v>1588</v>
      </c>
      <c r="C766" s="27" t="s">
        <v>3094</v>
      </c>
      <c r="D766" s="28">
        <v>0.06</v>
      </c>
      <c r="E766" s="29">
        <v>8.6</v>
      </c>
      <c r="F766" s="29">
        <v>6.19</v>
      </c>
      <c r="G766" s="30" t="s">
        <v>39</v>
      </c>
      <c r="H766" s="27" t="s">
        <v>94</v>
      </c>
      <c r="I766" s="27" t="s">
        <v>49</v>
      </c>
      <c r="J766" s="27" t="s">
        <v>72</v>
      </c>
      <c r="K766" s="27" t="s">
        <v>73</v>
      </c>
      <c r="L766" s="31" t="s">
        <v>532</v>
      </c>
      <c r="M766" s="32">
        <v>0.38</v>
      </c>
      <c r="N766" s="27" t="s">
        <v>33</v>
      </c>
      <c r="O766" s="27" t="s">
        <v>53</v>
      </c>
      <c r="P766" s="27" t="s">
        <v>133</v>
      </c>
      <c r="Q766" s="27" t="s">
        <v>1589</v>
      </c>
      <c r="R766" s="33">
        <v>68046</v>
      </c>
      <c r="S766" s="34">
        <v>42074</v>
      </c>
      <c r="T766" s="34">
        <v>42075</v>
      </c>
      <c r="U766" s="29">
        <v>-46.115000000000002</v>
      </c>
      <c r="V766" s="26">
        <v>9</v>
      </c>
      <c r="W766" s="29">
        <v>79.400000000000006</v>
      </c>
      <c r="X766" s="26">
        <v>86867</v>
      </c>
      <c r="Y766" s="35">
        <v>193.17</v>
      </c>
      <c r="Z766" s="1" t="s">
        <v>3012</v>
      </c>
      <c r="AA766" s="36">
        <v>4.6440000000000001</v>
      </c>
      <c r="AB766" s="54">
        <v>49.228000000000002</v>
      </c>
      <c r="AC766" s="54">
        <v>3.3524444444444446</v>
      </c>
      <c r="AD766" s="36">
        <v>114.68100000000001</v>
      </c>
    </row>
    <row r="767" spans="1:30" s="37" customFormat="1" ht="15.75" customHeight="1" x14ac:dyDescent="0.2">
      <c r="A767" s="26">
        <v>3151</v>
      </c>
      <c r="B767" s="27" t="s">
        <v>953</v>
      </c>
      <c r="C767" s="27" t="s">
        <v>116</v>
      </c>
      <c r="D767" s="28">
        <v>0.02</v>
      </c>
      <c r="E767" s="29">
        <v>5.98</v>
      </c>
      <c r="F767" s="29">
        <v>1.49</v>
      </c>
      <c r="G767" s="30" t="s">
        <v>39</v>
      </c>
      <c r="H767" s="27" t="s">
        <v>94</v>
      </c>
      <c r="I767" s="27" t="s">
        <v>49</v>
      </c>
      <c r="J767" s="27" t="s">
        <v>72</v>
      </c>
      <c r="K767" s="27" t="s">
        <v>73</v>
      </c>
      <c r="L767" s="31" t="s">
        <v>1587</v>
      </c>
      <c r="M767" s="32">
        <v>0.39</v>
      </c>
      <c r="N767" s="27" t="s">
        <v>33</v>
      </c>
      <c r="O767" s="27" t="s">
        <v>60</v>
      </c>
      <c r="P767" s="27" t="s">
        <v>90</v>
      </c>
      <c r="Q767" s="27" t="s">
        <v>954</v>
      </c>
      <c r="R767" s="33">
        <v>92277</v>
      </c>
      <c r="S767" s="34">
        <v>42074</v>
      </c>
      <c r="T767" s="34">
        <v>42075</v>
      </c>
      <c r="U767" s="29">
        <v>28.526</v>
      </c>
      <c r="V767" s="26">
        <v>10</v>
      </c>
      <c r="W767" s="29">
        <v>59.9</v>
      </c>
      <c r="X767" s="26">
        <v>88547</v>
      </c>
      <c r="Y767" s="35">
        <v>20.91</v>
      </c>
      <c r="Z767" s="1" t="s">
        <v>3013</v>
      </c>
      <c r="AA767" s="36">
        <v>1.1960000000000002</v>
      </c>
      <c r="AB767" s="54">
        <v>36.539000000000001</v>
      </c>
      <c r="AC767" s="54">
        <v>2.3361000000000001</v>
      </c>
      <c r="AD767" s="36">
        <v>28.687999999999999</v>
      </c>
    </row>
    <row r="768" spans="1:30" s="37" customFormat="1" ht="15.75" customHeight="1" x14ac:dyDescent="0.2">
      <c r="A768" s="26">
        <v>2616</v>
      </c>
      <c r="B768" s="27" t="s">
        <v>1577</v>
      </c>
      <c r="C768" s="27" t="s">
        <v>26</v>
      </c>
      <c r="D768" s="28">
        <v>0</v>
      </c>
      <c r="E768" s="29">
        <v>2.6</v>
      </c>
      <c r="F768" s="29">
        <v>2.4</v>
      </c>
      <c r="G768" s="30" t="s">
        <v>39</v>
      </c>
      <c r="H768" s="27" t="s">
        <v>94</v>
      </c>
      <c r="I768" s="27" t="s">
        <v>49</v>
      </c>
      <c r="J768" s="27" t="s">
        <v>50</v>
      </c>
      <c r="K768" s="27" t="s">
        <v>51</v>
      </c>
      <c r="L768" s="31" t="s">
        <v>356</v>
      </c>
      <c r="M768" s="32">
        <v>0.57999999999999996</v>
      </c>
      <c r="N768" s="27" t="s">
        <v>33</v>
      </c>
      <c r="O768" s="27" t="s">
        <v>53</v>
      </c>
      <c r="P768" s="27" t="s">
        <v>289</v>
      </c>
      <c r="Q768" s="27" t="s">
        <v>1578</v>
      </c>
      <c r="R768" s="33">
        <v>49002</v>
      </c>
      <c r="S768" s="34">
        <v>42074</v>
      </c>
      <c r="T768" s="34">
        <v>42076</v>
      </c>
      <c r="U768" s="29">
        <v>-45.21</v>
      </c>
      <c r="V768" s="26">
        <v>16</v>
      </c>
      <c r="W768" s="29">
        <v>44.75</v>
      </c>
      <c r="X768" s="26">
        <v>91495</v>
      </c>
      <c r="Y768" s="35">
        <v>10.89</v>
      </c>
      <c r="Z768" s="1" t="s">
        <v>3012</v>
      </c>
      <c r="AA768" s="36">
        <v>0</v>
      </c>
      <c r="AB768" s="54">
        <v>18.795000000000002</v>
      </c>
      <c r="AC768" s="54">
        <v>1.6221874999999999</v>
      </c>
      <c r="AD768" s="36">
        <v>87.56</v>
      </c>
    </row>
    <row r="769" spans="1:30" s="37" customFormat="1" ht="15.75" customHeight="1" x14ac:dyDescent="0.2">
      <c r="A769" s="26">
        <v>1494</v>
      </c>
      <c r="B769" s="27" t="s">
        <v>1571</v>
      </c>
      <c r="C769" s="27" t="s">
        <v>26</v>
      </c>
      <c r="D769" s="28">
        <v>0.09</v>
      </c>
      <c r="E769" s="29">
        <v>6.48</v>
      </c>
      <c r="F769" s="29">
        <v>9.17</v>
      </c>
      <c r="G769" s="30" t="s">
        <v>87</v>
      </c>
      <c r="H769" s="27" t="s">
        <v>94</v>
      </c>
      <c r="I769" s="27" t="s">
        <v>49</v>
      </c>
      <c r="J769" s="27" t="s">
        <v>88</v>
      </c>
      <c r="K769" s="27" t="s">
        <v>73</v>
      </c>
      <c r="L769" s="31" t="s">
        <v>394</v>
      </c>
      <c r="M769" s="32">
        <v>0.37</v>
      </c>
      <c r="N769" s="27" t="s">
        <v>33</v>
      </c>
      <c r="O769" s="27" t="s">
        <v>111</v>
      </c>
      <c r="P769" s="27" t="s">
        <v>418</v>
      </c>
      <c r="Q769" s="27" t="s">
        <v>1573</v>
      </c>
      <c r="R769" s="33">
        <v>21222</v>
      </c>
      <c r="S769" s="34">
        <v>42074</v>
      </c>
      <c r="T769" s="34">
        <v>42076</v>
      </c>
      <c r="U769" s="29">
        <v>-76.540000000000006</v>
      </c>
      <c r="V769" s="26">
        <v>6</v>
      </c>
      <c r="W769" s="29">
        <v>42.16</v>
      </c>
      <c r="X769" s="26">
        <v>85880</v>
      </c>
      <c r="Y769" s="35">
        <v>7.8900000000000006</v>
      </c>
      <c r="Z769" s="1" t="s">
        <v>3014</v>
      </c>
      <c r="AA769" s="36">
        <v>3.4992000000000001</v>
      </c>
      <c r="AB769" s="54">
        <v>26.560799999999997</v>
      </c>
      <c r="AC769" s="54">
        <v>2.5998666666666663</v>
      </c>
      <c r="AD769" s="36">
        <v>106.0308</v>
      </c>
    </row>
    <row r="770" spans="1:30" s="37" customFormat="1" ht="15.75" customHeight="1" x14ac:dyDescent="0.2">
      <c r="A770" s="26">
        <v>753</v>
      </c>
      <c r="B770" s="27" t="s">
        <v>1568</v>
      </c>
      <c r="C770" s="27" t="s">
        <v>26</v>
      </c>
      <c r="D770" s="28">
        <v>0.06</v>
      </c>
      <c r="E770" s="29">
        <v>2.61</v>
      </c>
      <c r="F770" s="29">
        <v>0.5</v>
      </c>
      <c r="G770" s="30" t="s">
        <v>87</v>
      </c>
      <c r="H770" s="27" t="s">
        <v>94</v>
      </c>
      <c r="I770" s="27" t="s">
        <v>49</v>
      </c>
      <c r="J770" s="27" t="s">
        <v>152</v>
      </c>
      <c r="K770" s="27" t="s">
        <v>73</v>
      </c>
      <c r="L770" s="31" t="s">
        <v>1569</v>
      </c>
      <c r="M770" s="32">
        <v>0.39</v>
      </c>
      <c r="N770" s="27" t="s">
        <v>33</v>
      </c>
      <c r="O770" s="27" t="s">
        <v>60</v>
      </c>
      <c r="P770" s="27" t="s">
        <v>588</v>
      </c>
      <c r="Q770" s="27" t="s">
        <v>1570</v>
      </c>
      <c r="R770" s="33">
        <v>86301</v>
      </c>
      <c r="S770" s="34">
        <v>42074</v>
      </c>
      <c r="T770" s="34">
        <v>42074</v>
      </c>
      <c r="U770" s="29">
        <v>10.85</v>
      </c>
      <c r="V770" s="26">
        <v>1</v>
      </c>
      <c r="W770" s="29">
        <v>17.59</v>
      </c>
      <c r="X770" s="26">
        <v>90438</v>
      </c>
      <c r="Y770" s="35">
        <v>5.9600000000000009</v>
      </c>
      <c r="Z770" s="1" t="s">
        <v>3013</v>
      </c>
      <c r="AA770" s="36">
        <v>0.15659999999999999</v>
      </c>
      <c r="AB770" s="54">
        <v>10.729899999999999</v>
      </c>
      <c r="AC770" s="54">
        <v>6.8601000000000001</v>
      </c>
      <c r="AD770" s="36">
        <v>6.083400000000001</v>
      </c>
    </row>
    <row r="771" spans="1:30" s="37" customFormat="1" ht="15.75" customHeight="1" x14ac:dyDescent="0.2">
      <c r="A771" s="26">
        <v>1497</v>
      </c>
      <c r="B771" s="27" t="s">
        <v>1574</v>
      </c>
      <c r="C771" s="27" t="s">
        <v>26</v>
      </c>
      <c r="D771" s="28">
        <v>0.09</v>
      </c>
      <c r="E771" s="29">
        <v>6.28</v>
      </c>
      <c r="F771" s="29">
        <v>5.29</v>
      </c>
      <c r="G771" s="30" t="s">
        <v>39</v>
      </c>
      <c r="H771" s="27" t="s">
        <v>94</v>
      </c>
      <c r="I771" s="27" t="s">
        <v>29</v>
      </c>
      <c r="J771" s="27" t="s">
        <v>126</v>
      </c>
      <c r="K771" s="27" t="s">
        <v>73</v>
      </c>
      <c r="L771" s="31" t="s">
        <v>1575</v>
      </c>
      <c r="M771" s="32">
        <v>0.43</v>
      </c>
      <c r="N771" s="27" t="s">
        <v>33</v>
      </c>
      <c r="O771" s="27" t="s">
        <v>111</v>
      </c>
      <c r="P771" s="27" t="s">
        <v>112</v>
      </c>
      <c r="Q771" s="27" t="s">
        <v>1576</v>
      </c>
      <c r="R771" s="33">
        <v>14901</v>
      </c>
      <c r="S771" s="34">
        <v>42074</v>
      </c>
      <c r="T771" s="34">
        <v>42075</v>
      </c>
      <c r="U771" s="29">
        <v>-10.09</v>
      </c>
      <c r="V771" s="26">
        <v>2</v>
      </c>
      <c r="W771" s="29">
        <v>14.08</v>
      </c>
      <c r="X771" s="26">
        <v>85880</v>
      </c>
      <c r="Y771" s="35">
        <v>8.5399999999999991</v>
      </c>
      <c r="Z771" s="1" t="s">
        <v>3014</v>
      </c>
      <c r="AA771" s="36">
        <v>1.1304000000000001</v>
      </c>
      <c r="AB771" s="54">
        <v>8.0256000000000007</v>
      </c>
      <c r="AC771" s="54">
        <v>3.0272000000000001</v>
      </c>
      <c r="AD771" s="36">
        <v>17.749600000000001</v>
      </c>
    </row>
    <row r="772" spans="1:30" s="37" customFormat="1" ht="15.75" customHeight="1" x14ac:dyDescent="0.2">
      <c r="A772" s="26">
        <v>32</v>
      </c>
      <c r="B772" s="27" t="s">
        <v>644</v>
      </c>
      <c r="C772" s="27" t="s">
        <v>48</v>
      </c>
      <c r="D772" s="28">
        <v>0.06</v>
      </c>
      <c r="E772" s="29">
        <v>205.99</v>
      </c>
      <c r="F772" s="29">
        <v>8.99</v>
      </c>
      <c r="G772" s="30" t="s">
        <v>39</v>
      </c>
      <c r="H772" s="27" t="s">
        <v>94</v>
      </c>
      <c r="I772" s="27" t="s">
        <v>41</v>
      </c>
      <c r="J772" s="27" t="s">
        <v>135</v>
      </c>
      <c r="K772" s="27" t="s">
        <v>73</v>
      </c>
      <c r="L772" s="31" t="s">
        <v>663</v>
      </c>
      <c r="M772" s="32">
        <v>0.56000000000000005</v>
      </c>
      <c r="N772" s="27" t="s">
        <v>33</v>
      </c>
      <c r="O772" s="27" t="s">
        <v>60</v>
      </c>
      <c r="P772" s="27" t="s">
        <v>139</v>
      </c>
      <c r="Q772" s="27" t="s">
        <v>646</v>
      </c>
      <c r="R772" s="33">
        <v>97526</v>
      </c>
      <c r="S772" s="34">
        <v>42075</v>
      </c>
      <c r="T772" s="34">
        <v>42082</v>
      </c>
      <c r="U772" s="29">
        <v>3568.096</v>
      </c>
      <c r="V772" s="26">
        <v>22</v>
      </c>
      <c r="W772" s="29">
        <v>3838.14</v>
      </c>
      <c r="X772" s="26">
        <v>89203</v>
      </c>
      <c r="Y772" s="35">
        <v>80.92</v>
      </c>
      <c r="Z772" s="1" t="s">
        <v>3013</v>
      </c>
      <c r="AA772" s="36">
        <v>271.90680000000003</v>
      </c>
      <c r="AB772" s="54">
        <v>1688.7815999999998</v>
      </c>
      <c r="AC772" s="54">
        <v>97.698109090909099</v>
      </c>
      <c r="AD772" s="36">
        <v>-10.852800000000116</v>
      </c>
    </row>
    <row r="773" spans="1:30" s="37" customFormat="1" ht="15.75" customHeight="1" x14ac:dyDescent="0.2">
      <c r="A773" s="26">
        <v>1027</v>
      </c>
      <c r="B773" s="27" t="s">
        <v>1593</v>
      </c>
      <c r="C773" s="27" t="s">
        <v>38</v>
      </c>
      <c r="D773" s="28">
        <v>0.05</v>
      </c>
      <c r="E773" s="29">
        <v>51.98</v>
      </c>
      <c r="F773" s="29">
        <v>10.17</v>
      </c>
      <c r="G773" s="30" t="s">
        <v>39</v>
      </c>
      <c r="H773" s="27" t="s">
        <v>3095</v>
      </c>
      <c r="I773" s="27" t="s">
        <v>41</v>
      </c>
      <c r="J773" s="27" t="s">
        <v>57</v>
      </c>
      <c r="K773" s="27" t="s">
        <v>144</v>
      </c>
      <c r="L773" s="31" t="s">
        <v>1547</v>
      </c>
      <c r="M773" s="32">
        <v>0.37</v>
      </c>
      <c r="N773" s="27" t="s">
        <v>33</v>
      </c>
      <c r="O773" s="27" t="s">
        <v>111</v>
      </c>
      <c r="P773" s="27" t="s">
        <v>112</v>
      </c>
      <c r="Q773" s="27" t="s">
        <v>1594</v>
      </c>
      <c r="R773" s="33">
        <v>14225</v>
      </c>
      <c r="S773" s="34">
        <v>42075</v>
      </c>
      <c r="T773" s="34">
        <v>42076</v>
      </c>
      <c r="U773" s="29">
        <v>329.9787</v>
      </c>
      <c r="V773" s="26">
        <v>9</v>
      </c>
      <c r="W773" s="29">
        <v>478.23</v>
      </c>
      <c r="X773" s="26">
        <v>89004</v>
      </c>
      <c r="Y773" s="35">
        <v>22.84</v>
      </c>
      <c r="Z773" s="1" t="s">
        <v>3014</v>
      </c>
      <c r="AA773" s="36">
        <v>23.391000000000002</v>
      </c>
      <c r="AB773" s="54">
        <v>301.28489999999999</v>
      </c>
      <c r="AC773" s="54">
        <v>19.660566666666668</v>
      </c>
      <c r="AD773" s="36">
        <v>114.69029999999998</v>
      </c>
    </row>
    <row r="774" spans="1:30" s="37" customFormat="1" ht="15.75" customHeight="1" x14ac:dyDescent="0.2">
      <c r="A774" s="26">
        <v>2787</v>
      </c>
      <c r="B774" s="27" t="s">
        <v>1605</v>
      </c>
      <c r="C774" s="27" t="s">
        <v>3094</v>
      </c>
      <c r="D774" s="28">
        <v>0.01</v>
      </c>
      <c r="E774" s="29">
        <v>47.98</v>
      </c>
      <c r="F774" s="29">
        <v>3.61</v>
      </c>
      <c r="G774" s="30" t="s">
        <v>87</v>
      </c>
      <c r="H774" s="27" t="s">
        <v>40</v>
      </c>
      <c r="I774" s="27" t="s">
        <v>41</v>
      </c>
      <c r="J774" s="27" t="s">
        <v>42</v>
      </c>
      <c r="K774" s="27" t="s">
        <v>43</v>
      </c>
      <c r="L774" s="31" t="s">
        <v>1239</v>
      </c>
      <c r="M774" s="32">
        <v>0.71</v>
      </c>
      <c r="N774" s="27" t="s">
        <v>33</v>
      </c>
      <c r="O774" s="27" t="s">
        <v>34</v>
      </c>
      <c r="P774" s="27" t="s">
        <v>168</v>
      </c>
      <c r="Q774" s="27" t="s">
        <v>1606</v>
      </c>
      <c r="R774" s="33">
        <v>70003</v>
      </c>
      <c r="S774" s="34">
        <v>42075</v>
      </c>
      <c r="T774" s="34">
        <v>42076</v>
      </c>
      <c r="U774" s="29">
        <v>-44.436</v>
      </c>
      <c r="V774" s="26">
        <v>8</v>
      </c>
      <c r="W774" s="29">
        <v>393.98</v>
      </c>
      <c r="X774" s="26">
        <v>91316</v>
      </c>
      <c r="Y774" s="35">
        <v>73.88000000000001</v>
      </c>
      <c r="Z774" s="1" t="s">
        <v>3011</v>
      </c>
      <c r="AA774" s="36">
        <v>3.8384</v>
      </c>
      <c r="AB774" s="54">
        <v>114.25420000000003</v>
      </c>
      <c r="AC774" s="54">
        <v>34.965724999999999</v>
      </c>
      <c r="AD774" s="36">
        <v>430.9676</v>
      </c>
    </row>
    <row r="775" spans="1:30" s="37" customFormat="1" ht="15.75" customHeight="1" x14ac:dyDescent="0.2">
      <c r="A775" s="26">
        <v>2896</v>
      </c>
      <c r="B775" s="27" t="s">
        <v>723</v>
      </c>
      <c r="C775" s="27" t="s">
        <v>26</v>
      </c>
      <c r="D775" s="28">
        <v>0</v>
      </c>
      <c r="E775" s="29">
        <v>22.84</v>
      </c>
      <c r="F775" s="29">
        <v>16.920000000000002</v>
      </c>
      <c r="G775" s="30" t="s">
        <v>39</v>
      </c>
      <c r="H775" s="27" t="s">
        <v>71</v>
      </c>
      <c r="I775" s="27" t="s">
        <v>49</v>
      </c>
      <c r="J775" s="27" t="s">
        <v>88</v>
      </c>
      <c r="K775" s="27" t="s">
        <v>73</v>
      </c>
      <c r="L775" s="31" t="s">
        <v>1592</v>
      </c>
      <c r="M775" s="32">
        <v>0.39</v>
      </c>
      <c r="N775" s="27" t="s">
        <v>33</v>
      </c>
      <c r="O775" s="27" t="s">
        <v>53</v>
      </c>
      <c r="P775" s="27" t="s">
        <v>84</v>
      </c>
      <c r="Q775" s="27" t="s">
        <v>724</v>
      </c>
      <c r="R775" s="33">
        <v>56001</v>
      </c>
      <c r="S775" s="34">
        <v>42075</v>
      </c>
      <c r="T775" s="34">
        <v>42077</v>
      </c>
      <c r="U775" s="29">
        <v>-83.75</v>
      </c>
      <c r="V775" s="26">
        <v>15</v>
      </c>
      <c r="W775" s="29">
        <v>370.62</v>
      </c>
      <c r="X775" s="26">
        <v>86927</v>
      </c>
      <c r="Y775" s="35">
        <v>51.93</v>
      </c>
      <c r="Z775" s="1" t="s">
        <v>3012</v>
      </c>
      <c r="AA775" s="36">
        <v>0</v>
      </c>
      <c r="AB775" s="54">
        <v>226.07820000000001</v>
      </c>
      <c r="AC775" s="54">
        <v>9.6361200000000018</v>
      </c>
      <c r="AD775" s="36">
        <v>437.45</v>
      </c>
    </row>
    <row r="776" spans="1:30" s="37" customFormat="1" ht="15.75" customHeight="1" x14ac:dyDescent="0.2">
      <c r="A776" s="26">
        <v>1027</v>
      </c>
      <c r="B776" s="27" t="s">
        <v>1593</v>
      </c>
      <c r="C776" s="27" t="s">
        <v>38</v>
      </c>
      <c r="D776" s="28">
        <v>0.1</v>
      </c>
      <c r="E776" s="29">
        <v>73.98</v>
      </c>
      <c r="F776" s="29">
        <v>4</v>
      </c>
      <c r="G776" s="30" t="s">
        <v>39</v>
      </c>
      <c r="H776" s="27" t="s">
        <v>3095</v>
      </c>
      <c r="I776" s="27" t="s">
        <v>41</v>
      </c>
      <c r="J776" s="27" t="s">
        <v>42</v>
      </c>
      <c r="K776" s="27" t="s">
        <v>73</v>
      </c>
      <c r="L776" s="31" t="s">
        <v>308</v>
      </c>
      <c r="M776" s="32">
        <v>0.79</v>
      </c>
      <c r="N776" s="27" t="s">
        <v>33</v>
      </c>
      <c r="O776" s="27" t="s">
        <v>111</v>
      </c>
      <c r="P776" s="27" t="s">
        <v>112</v>
      </c>
      <c r="Q776" s="27" t="s">
        <v>1594</v>
      </c>
      <c r="R776" s="33">
        <v>14225</v>
      </c>
      <c r="S776" s="34">
        <v>42075</v>
      </c>
      <c r="T776" s="34">
        <v>42076</v>
      </c>
      <c r="U776" s="29">
        <v>-229.87</v>
      </c>
      <c r="V776" s="26">
        <v>5</v>
      </c>
      <c r="W776" s="29">
        <v>347.23</v>
      </c>
      <c r="X776" s="26">
        <v>89004</v>
      </c>
      <c r="Y776" s="35">
        <v>205.93</v>
      </c>
      <c r="Z776" s="1" t="s">
        <v>3014</v>
      </c>
      <c r="AA776" s="36">
        <v>36.99</v>
      </c>
      <c r="AB776" s="54">
        <v>72.918299999999988</v>
      </c>
      <c r="AC776" s="54">
        <v>54.862340000000003</v>
      </c>
      <c r="AD776" s="36">
        <v>536.11</v>
      </c>
    </row>
    <row r="777" spans="1:30" s="37" customFormat="1" ht="15.75" customHeight="1" x14ac:dyDescent="0.2">
      <c r="A777" s="26">
        <v>2741</v>
      </c>
      <c r="B777" s="27" t="s">
        <v>1598</v>
      </c>
      <c r="C777" s="27" t="s">
        <v>48</v>
      </c>
      <c r="D777" s="28">
        <v>0.01</v>
      </c>
      <c r="E777" s="29">
        <v>35.99</v>
      </c>
      <c r="F777" s="29">
        <v>5.99</v>
      </c>
      <c r="G777" s="30" t="s">
        <v>39</v>
      </c>
      <c r="H777" s="27" t="s">
        <v>3095</v>
      </c>
      <c r="I777" s="27" t="s">
        <v>41</v>
      </c>
      <c r="J777" s="27" t="s">
        <v>135</v>
      </c>
      <c r="K777" s="27" t="s">
        <v>51</v>
      </c>
      <c r="L777" s="31" t="s">
        <v>1372</v>
      </c>
      <c r="M777" s="32">
        <v>0.38</v>
      </c>
      <c r="N777" s="27" t="s">
        <v>33</v>
      </c>
      <c r="O777" s="27" t="s">
        <v>60</v>
      </c>
      <c r="P777" s="27" t="s">
        <v>490</v>
      </c>
      <c r="Q777" s="27" t="s">
        <v>1599</v>
      </c>
      <c r="R777" s="33">
        <v>83605</v>
      </c>
      <c r="S777" s="34">
        <v>42075</v>
      </c>
      <c r="T777" s="34">
        <v>42082</v>
      </c>
      <c r="U777" s="29">
        <v>218.23320000000001</v>
      </c>
      <c r="V777" s="26">
        <v>10</v>
      </c>
      <c r="W777" s="29">
        <v>316.27999999999997</v>
      </c>
      <c r="X777" s="26">
        <v>89481</v>
      </c>
      <c r="Y777" s="35">
        <v>85.97999999999999</v>
      </c>
      <c r="Z777" s="1" t="s">
        <v>3013</v>
      </c>
      <c r="AA777" s="36">
        <v>3.5990000000000006</v>
      </c>
      <c r="AB777" s="54">
        <v>196.09359999999998</v>
      </c>
      <c r="AC777" s="54">
        <v>12.01864</v>
      </c>
      <c r="AD777" s="36">
        <v>88.457799999999963</v>
      </c>
    </row>
    <row r="778" spans="1:30" s="37" customFormat="1" ht="15.75" customHeight="1" x14ac:dyDescent="0.2">
      <c r="A778" s="26">
        <v>2037</v>
      </c>
      <c r="B778" s="27" t="s">
        <v>1604</v>
      </c>
      <c r="C778" s="27" t="s">
        <v>3094</v>
      </c>
      <c r="D778" s="28">
        <v>0</v>
      </c>
      <c r="E778" s="29">
        <v>73.98</v>
      </c>
      <c r="F778" s="29">
        <v>14.52</v>
      </c>
      <c r="G778" s="30" t="s">
        <v>39</v>
      </c>
      <c r="H778" s="27" t="s">
        <v>3095</v>
      </c>
      <c r="I778" s="27" t="s">
        <v>41</v>
      </c>
      <c r="J778" s="27" t="s">
        <v>42</v>
      </c>
      <c r="K778" s="27" t="s">
        <v>73</v>
      </c>
      <c r="L778" s="31" t="s">
        <v>308</v>
      </c>
      <c r="M778" s="32">
        <v>0.65</v>
      </c>
      <c r="N778" s="27" t="s">
        <v>33</v>
      </c>
      <c r="O778" s="27" t="s">
        <v>60</v>
      </c>
      <c r="P778" s="27" t="s">
        <v>277</v>
      </c>
      <c r="Q778" s="27" t="s">
        <v>916</v>
      </c>
      <c r="R778" s="33">
        <v>59715</v>
      </c>
      <c r="S778" s="34">
        <v>42075</v>
      </c>
      <c r="T778" s="34">
        <v>42077</v>
      </c>
      <c r="U778" s="29">
        <v>-88.61</v>
      </c>
      <c r="V778" s="26">
        <v>4</v>
      </c>
      <c r="W778" s="29">
        <v>305.70999999999998</v>
      </c>
      <c r="X778" s="26">
        <v>89333</v>
      </c>
      <c r="Y778" s="35">
        <v>35.980000000000004</v>
      </c>
      <c r="Z778" s="1" t="s">
        <v>3013</v>
      </c>
      <c r="AA778" s="36">
        <v>0</v>
      </c>
      <c r="AB778" s="54">
        <v>106.99849999999999</v>
      </c>
      <c r="AC778" s="54">
        <v>49.677875</v>
      </c>
      <c r="AD778" s="36">
        <v>379.79999999999995</v>
      </c>
    </row>
    <row r="779" spans="1:30" s="37" customFormat="1" ht="15.75" customHeight="1" x14ac:dyDescent="0.2">
      <c r="A779" s="26">
        <v>146</v>
      </c>
      <c r="B779" s="27" t="s">
        <v>1600</v>
      </c>
      <c r="C779" s="27" t="s">
        <v>3094</v>
      </c>
      <c r="D779" s="28">
        <v>0.01</v>
      </c>
      <c r="E779" s="29">
        <v>45.98</v>
      </c>
      <c r="F779" s="29">
        <v>4.8</v>
      </c>
      <c r="G779" s="30" t="s">
        <v>39</v>
      </c>
      <c r="H779" s="27" t="s">
        <v>3095</v>
      </c>
      <c r="I779" s="27" t="s">
        <v>29</v>
      </c>
      <c r="J779" s="27" t="s">
        <v>126</v>
      </c>
      <c r="K779" s="27" t="s">
        <v>51</v>
      </c>
      <c r="L779" s="31" t="s">
        <v>1601</v>
      </c>
      <c r="M779" s="32">
        <v>0.68</v>
      </c>
      <c r="N779" s="27" t="s">
        <v>33</v>
      </c>
      <c r="O779" s="27" t="s">
        <v>53</v>
      </c>
      <c r="P779" s="27" t="s">
        <v>187</v>
      </c>
      <c r="Q779" s="27" t="s">
        <v>1602</v>
      </c>
      <c r="R779" s="33">
        <v>76148</v>
      </c>
      <c r="S779" s="34">
        <v>42075</v>
      </c>
      <c r="T779" s="34">
        <v>42076</v>
      </c>
      <c r="U779" s="29">
        <v>133.5771</v>
      </c>
      <c r="V779" s="26">
        <v>4</v>
      </c>
      <c r="W779" s="29">
        <v>193.59</v>
      </c>
      <c r="X779" s="26">
        <v>91088</v>
      </c>
      <c r="Y779" s="35">
        <v>45.97</v>
      </c>
      <c r="Z779" s="1" t="s">
        <v>3012</v>
      </c>
      <c r="AA779" s="36">
        <v>1.8391999999999999</v>
      </c>
      <c r="AB779" s="54">
        <v>61.948799999999991</v>
      </c>
      <c r="AC779" s="54">
        <v>32.910299999999999</v>
      </c>
      <c r="AD779" s="36">
        <v>53.373699999999985</v>
      </c>
    </row>
    <row r="780" spans="1:30" s="37" customFormat="1" ht="15.75" customHeight="1" x14ac:dyDescent="0.2">
      <c r="A780" s="26">
        <v>1254</v>
      </c>
      <c r="B780" s="27" t="s">
        <v>1590</v>
      </c>
      <c r="C780" s="27" t="s">
        <v>26</v>
      </c>
      <c r="D780" s="28">
        <v>0.06</v>
      </c>
      <c r="E780" s="29">
        <v>80.98</v>
      </c>
      <c r="F780" s="29">
        <v>35</v>
      </c>
      <c r="G780" s="30" t="s">
        <v>39</v>
      </c>
      <c r="H780" s="27" t="s">
        <v>71</v>
      </c>
      <c r="I780" s="27" t="s">
        <v>49</v>
      </c>
      <c r="J780" s="27" t="s">
        <v>78</v>
      </c>
      <c r="K780" s="27" t="s">
        <v>65</v>
      </c>
      <c r="L780" s="31" t="s">
        <v>224</v>
      </c>
      <c r="M780" s="32">
        <v>0.81</v>
      </c>
      <c r="N780" s="27" t="s">
        <v>33</v>
      </c>
      <c r="O780" s="27" t="s">
        <v>53</v>
      </c>
      <c r="P780" s="27" t="s">
        <v>187</v>
      </c>
      <c r="Q780" s="27" t="s">
        <v>1591</v>
      </c>
      <c r="R780" s="33">
        <v>77530</v>
      </c>
      <c r="S780" s="34">
        <v>42075</v>
      </c>
      <c r="T780" s="34">
        <v>42076</v>
      </c>
      <c r="U780" s="29">
        <v>-218.77</v>
      </c>
      <c r="V780" s="26">
        <v>2</v>
      </c>
      <c r="W780" s="29">
        <v>172.79</v>
      </c>
      <c r="X780" s="26">
        <v>89983</v>
      </c>
      <c r="Y780" s="35">
        <v>5.98</v>
      </c>
      <c r="Z780" s="1" t="s">
        <v>3012</v>
      </c>
      <c r="AA780" s="36">
        <v>9.7176000000000009</v>
      </c>
      <c r="AB780" s="54">
        <v>32.830099999999987</v>
      </c>
      <c r="AC780" s="54">
        <v>69.979950000000002</v>
      </c>
      <c r="AD780" s="36">
        <v>346.8424</v>
      </c>
    </row>
    <row r="781" spans="1:30" s="37" customFormat="1" ht="15.75" customHeight="1" x14ac:dyDescent="0.2">
      <c r="A781" s="26">
        <v>2593</v>
      </c>
      <c r="B781" s="27" t="s">
        <v>1595</v>
      </c>
      <c r="C781" s="27" t="s">
        <v>48</v>
      </c>
      <c r="D781" s="28">
        <v>0.01</v>
      </c>
      <c r="E781" s="29">
        <v>85.99</v>
      </c>
      <c r="F781" s="29">
        <v>0.99</v>
      </c>
      <c r="G781" s="30" t="s">
        <v>39</v>
      </c>
      <c r="H781" s="27" t="s">
        <v>94</v>
      </c>
      <c r="I781" s="27" t="s">
        <v>41</v>
      </c>
      <c r="J781" s="27" t="s">
        <v>135</v>
      </c>
      <c r="K781" s="27" t="s">
        <v>51</v>
      </c>
      <c r="L781" s="31" t="s">
        <v>1596</v>
      </c>
      <c r="M781" s="32">
        <v>0.85</v>
      </c>
      <c r="N781" s="27" t="s">
        <v>33</v>
      </c>
      <c r="O781" s="27" t="s">
        <v>34</v>
      </c>
      <c r="P781" s="27" t="s">
        <v>75</v>
      </c>
      <c r="Q781" s="27" t="s">
        <v>1597</v>
      </c>
      <c r="R781" s="33">
        <v>30605</v>
      </c>
      <c r="S781" s="34">
        <v>42075</v>
      </c>
      <c r="T781" s="34">
        <v>42080</v>
      </c>
      <c r="U781" s="29">
        <v>311.73</v>
      </c>
      <c r="V781" s="26">
        <v>2</v>
      </c>
      <c r="W781" s="29">
        <v>146.16999999999999</v>
      </c>
      <c r="X781" s="26">
        <v>87773</v>
      </c>
      <c r="Y781" s="35">
        <v>73.98</v>
      </c>
      <c r="Z781" s="1" t="s">
        <v>3011</v>
      </c>
      <c r="AA781" s="36">
        <v>1.7198</v>
      </c>
      <c r="AB781" s="54">
        <v>21.925500000000003</v>
      </c>
      <c r="AC781" s="54">
        <v>62.122249999999994</v>
      </c>
      <c r="AD781" s="36">
        <v>-168.26980000000006</v>
      </c>
    </row>
    <row r="782" spans="1:30" s="37" customFormat="1" ht="15.75" customHeight="1" x14ac:dyDescent="0.2">
      <c r="A782" s="26">
        <v>903</v>
      </c>
      <c r="B782" s="27" t="s">
        <v>1603</v>
      </c>
      <c r="C782" s="27" t="s">
        <v>3094</v>
      </c>
      <c r="D782" s="28">
        <v>0</v>
      </c>
      <c r="E782" s="29">
        <v>5.98</v>
      </c>
      <c r="F782" s="29">
        <v>1.49</v>
      </c>
      <c r="G782" s="30" t="s">
        <v>39</v>
      </c>
      <c r="H782" s="27" t="s">
        <v>40</v>
      </c>
      <c r="I782" s="27" t="s">
        <v>49</v>
      </c>
      <c r="J782" s="27" t="s">
        <v>72</v>
      </c>
      <c r="K782" s="27" t="s">
        <v>73</v>
      </c>
      <c r="L782" s="31" t="s">
        <v>1587</v>
      </c>
      <c r="M782" s="32">
        <v>0.39</v>
      </c>
      <c r="N782" s="27" t="s">
        <v>33</v>
      </c>
      <c r="O782" s="27" t="s">
        <v>111</v>
      </c>
      <c r="P782" s="27" t="s">
        <v>403</v>
      </c>
      <c r="Q782" s="27" t="s">
        <v>1108</v>
      </c>
      <c r="R782" s="33">
        <v>1887</v>
      </c>
      <c r="S782" s="34">
        <v>42075</v>
      </c>
      <c r="T782" s="34">
        <v>42077</v>
      </c>
      <c r="U782" s="29">
        <v>80.674800000000005</v>
      </c>
      <c r="V782" s="26">
        <v>18</v>
      </c>
      <c r="W782" s="29">
        <v>116.92</v>
      </c>
      <c r="X782" s="26">
        <v>90806</v>
      </c>
      <c r="Y782" s="35">
        <v>47.97</v>
      </c>
      <c r="Z782" s="1" t="s">
        <v>3014</v>
      </c>
      <c r="AA782" s="36">
        <v>0</v>
      </c>
      <c r="AB782" s="54">
        <v>71.321200000000005</v>
      </c>
      <c r="AC782" s="54">
        <v>2.533266666666667</v>
      </c>
      <c r="AD782" s="36">
        <v>34.755200000000002</v>
      </c>
    </row>
    <row r="783" spans="1:30" s="37" customFormat="1" ht="15.75" customHeight="1" x14ac:dyDescent="0.2">
      <c r="A783" s="26">
        <v>3036</v>
      </c>
      <c r="B783" s="27" t="s">
        <v>564</v>
      </c>
      <c r="C783" s="27" t="s">
        <v>26</v>
      </c>
      <c r="D783" s="28">
        <v>0.08</v>
      </c>
      <c r="E783" s="29">
        <v>178.47</v>
      </c>
      <c r="F783" s="29">
        <v>19.989999999999998</v>
      </c>
      <c r="G783" s="30" t="s">
        <v>39</v>
      </c>
      <c r="H783" s="27" t="s">
        <v>71</v>
      </c>
      <c r="I783" s="27" t="s">
        <v>49</v>
      </c>
      <c r="J783" s="27" t="s">
        <v>78</v>
      </c>
      <c r="K783" s="27" t="s">
        <v>73</v>
      </c>
      <c r="L783" s="31" t="s">
        <v>1011</v>
      </c>
      <c r="M783" s="32">
        <v>0.55000000000000004</v>
      </c>
      <c r="N783" s="27" t="s">
        <v>33</v>
      </c>
      <c r="O783" s="27" t="s">
        <v>53</v>
      </c>
      <c r="P783" s="27" t="s">
        <v>565</v>
      </c>
      <c r="Q783" s="27" t="s">
        <v>566</v>
      </c>
      <c r="R783" s="33">
        <v>58554</v>
      </c>
      <c r="S783" s="34">
        <v>42076</v>
      </c>
      <c r="T783" s="34">
        <v>42079</v>
      </c>
      <c r="U783" s="29">
        <v>2267.2199999999998</v>
      </c>
      <c r="V783" s="26">
        <v>22</v>
      </c>
      <c r="W783" s="29">
        <v>3802.01</v>
      </c>
      <c r="X783" s="26">
        <v>89130</v>
      </c>
      <c r="Y783" s="35">
        <v>4.08</v>
      </c>
      <c r="Z783" s="1" t="s">
        <v>3012</v>
      </c>
      <c r="AA783" s="36">
        <v>314.10719999999998</v>
      </c>
      <c r="AB783" s="54">
        <v>1710.9044999999999</v>
      </c>
      <c r="AC783" s="54">
        <v>95.05025000000002</v>
      </c>
      <c r="AD783" s="36">
        <v>1200.6928000000007</v>
      </c>
    </row>
    <row r="784" spans="1:30" s="37" customFormat="1" ht="15.75" customHeight="1" x14ac:dyDescent="0.2">
      <c r="A784" s="26">
        <v>2484</v>
      </c>
      <c r="B784" s="27" t="s">
        <v>1619</v>
      </c>
      <c r="C784" s="27" t="s">
        <v>116</v>
      </c>
      <c r="D784" s="28">
        <v>0.03</v>
      </c>
      <c r="E784" s="29">
        <v>111.03</v>
      </c>
      <c r="F784" s="29">
        <v>8.64</v>
      </c>
      <c r="G784" s="30" t="s">
        <v>39</v>
      </c>
      <c r="H784" s="27" t="s">
        <v>94</v>
      </c>
      <c r="I784" s="27" t="s">
        <v>49</v>
      </c>
      <c r="J784" s="27" t="s">
        <v>78</v>
      </c>
      <c r="K784" s="27" t="s">
        <v>73</v>
      </c>
      <c r="L784" s="31" t="s">
        <v>1622</v>
      </c>
      <c r="M784" s="32">
        <v>0.78</v>
      </c>
      <c r="N784" s="27" t="s">
        <v>33</v>
      </c>
      <c r="O784" s="27" t="s">
        <v>34</v>
      </c>
      <c r="P784" s="27" t="s">
        <v>123</v>
      </c>
      <c r="Q784" s="27" t="s">
        <v>1621</v>
      </c>
      <c r="R784" s="33">
        <v>33881</v>
      </c>
      <c r="S784" s="34">
        <v>42076</v>
      </c>
      <c r="T784" s="34">
        <v>42077</v>
      </c>
      <c r="U784" s="29">
        <v>366.54</v>
      </c>
      <c r="V784" s="26">
        <v>8</v>
      </c>
      <c r="W784" s="29">
        <v>900.12</v>
      </c>
      <c r="X784" s="26">
        <v>88998</v>
      </c>
      <c r="Y784" s="35">
        <v>125.92</v>
      </c>
      <c r="Z784" s="1" t="s">
        <v>3011</v>
      </c>
      <c r="AA784" s="36">
        <v>26.647199999999998</v>
      </c>
      <c r="AB784" s="54">
        <v>198.02639999999997</v>
      </c>
      <c r="AC784" s="54">
        <v>87.761700000000005</v>
      </c>
      <c r="AD784" s="36">
        <v>498.2928</v>
      </c>
    </row>
    <row r="785" spans="1:30" s="37" customFormat="1" ht="15.75" customHeight="1" x14ac:dyDescent="0.2">
      <c r="A785" s="26">
        <v>2468</v>
      </c>
      <c r="B785" s="27" t="s">
        <v>1611</v>
      </c>
      <c r="C785" s="27" t="s">
        <v>26</v>
      </c>
      <c r="D785" s="28">
        <v>0.04</v>
      </c>
      <c r="E785" s="29">
        <v>65.989999999999995</v>
      </c>
      <c r="F785" s="29">
        <v>8.99</v>
      </c>
      <c r="G785" s="30" t="s">
        <v>39</v>
      </c>
      <c r="H785" s="27" t="s">
        <v>94</v>
      </c>
      <c r="I785" s="27" t="s">
        <v>41</v>
      </c>
      <c r="J785" s="27" t="s">
        <v>135</v>
      </c>
      <c r="K785" s="27" t="s">
        <v>73</v>
      </c>
      <c r="L785" s="31" t="s">
        <v>1612</v>
      </c>
      <c r="M785" s="32">
        <v>0.55000000000000004</v>
      </c>
      <c r="N785" s="27" t="s">
        <v>33</v>
      </c>
      <c r="O785" s="27" t="s">
        <v>34</v>
      </c>
      <c r="P785" s="27" t="s">
        <v>97</v>
      </c>
      <c r="Q785" s="27" t="s">
        <v>1613</v>
      </c>
      <c r="R785" s="33">
        <v>28144</v>
      </c>
      <c r="S785" s="34">
        <v>42076</v>
      </c>
      <c r="T785" s="34">
        <v>42077</v>
      </c>
      <c r="U785" s="29">
        <v>-335.041</v>
      </c>
      <c r="V785" s="26">
        <v>13</v>
      </c>
      <c r="W785" s="29">
        <v>724.57</v>
      </c>
      <c r="X785" s="26">
        <v>88137</v>
      </c>
      <c r="Y785" s="35">
        <v>99.96</v>
      </c>
      <c r="Z785" s="1" t="s">
        <v>3011</v>
      </c>
      <c r="AA785" s="36">
        <v>34.314799999999998</v>
      </c>
      <c r="AB785" s="54">
        <v>326.05649999999997</v>
      </c>
      <c r="AC785" s="54">
        <v>30.654884615384617</v>
      </c>
      <c r="AD785" s="36">
        <v>1016.3062</v>
      </c>
    </row>
    <row r="786" spans="1:30" s="37" customFormat="1" ht="15.75" customHeight="1" x14ac:dyDescent="0.2">
      <c r="A786" s="26">
        <v>1036</v>
      </c>
      <c r="B786" s="27" t="s">
        <v>1609</v>
      </c>
      <c r="C786" s="27" t="s">
        <v>26</v>
      </c>
      <c r="D786" s="28">
        <v>0.03</v>
      </c>
      <c r="E786" s="29">
        <v>99.99</v>
      </c>
      <c r="F786" s="29">
        <v>19.989999999999998</v>
      </c>
      <c r="G786" s="30" t="s">
        <v>39</v>
      </c>
      <c r="H786" s="27" t="s">
        <v>71</v>
      </c>
      <c r="I786" s="27" t="s">
        <v>41</v>
      </c>
      <c r="J786" s="27" t="s">
        <v>42</v>
      </c>
      <c r="K786" s="27" t="s">
        <v>73</v>
      </c>
      <c r="L786" s="31" t="s">
        <v>1580</v>
      </c>
      <c r="M786" s="32">
        <v>0.52</v>
      </c>
      <c r="N786" s="27" t="s">
        <v>33</v>
      </c>
      <c r="O786" s="27" t="s">
        <v>111</v>
      </c>
      <c r="P786" s="27" t="s">
        <v>317</v>
      </c>
      <c r="Q786" s="27" t="s">
        <v>1610</v>
      </c>
      <c r="R786" s="33">
        <v>43017</v>
      </c>
      <c r="S786" s="34">
        <v>42076</v>
      </c>
      <c r="T786" s="34">
        <v>42077</v>
      </c>
      <c r="U786" s="29">
        <v>293.66000000000003</v>
      </c>
      <c r="V786" s="26">
        <v>6</v>
      </c>
      <c r="W786" s="29">
        <v>598.38</v>
      </c>
      <c r="X786" s="26">
        <v>90710</v>
      </c>
      <c r="Y786" s="35">
        <v>65.949999999999989</v>
      </c>
      <c r="Z786" s="1" t="s">
        <v>3014</v>
      </c>
      <c r="AA786" s="36">
        <v>17.998199999999997</v>
      </c>
      <c r="AB786" s="54">
        <v>287.22239999999999</v>
      </c>
      <c r="AC786" s="54">
        <v>51.8596</v>
      </c>
      <c r="AD786" s="36">
        <v>266.73179999999996</v>
      </c>
    </row>
    <row r="787" spans="1:30" s="37" customFormat="1" ht="15.75" customHeight="1" x14ac:dyDescent="0.2">
      <c r="A787" s="26">
        <v>2285</v>
      </c>
      <c r="B787" s="27" t="s">
        <v>1617</v>
      </c>
      <c r="C787" s="27" t="s">
        <v>116</v>
      </c>
      <c r="D787" s="28">
        <v>0.02</v>
      </c>
      <c r="E787" s="29">
        <v>17.7</v>
      </c>
      <c r="F787" s="29">
        <v>9.4700000000000006</v>
      </c>
      <c r="G787" s="30" t="s">
        <v>87</v>
      </c>
      <c r="H787" s="27" t="s">
        <v>94</v>
      </c>
      <c r="I787" s="27" t="s">
        <v>49</v>
      </c>
      <c r="J787" s="27" t="s">
        <v>78</v>
      </c>
      <c r="K787" s="27" t="s">
        <v>73</v>
      </c>
      <c r="L787" s="31" t="s">
        <v>1051</v>
      </c>
      <c r="M787" s="32">
        <v>0.59</v>
      </c>
      <c r="N787" s="27" t="s">
        <v>33</v>
      </c>
      <c r="O787" s="27" t="s">
        <v>34</v>
      </c>
      <c r="P787" s="27" t="s">
        <v>271</v>
      </c>
      <c r="Q787" s="27" t="s">
        <v>1618</v>
      </c>
      <c r="R787" s="33">
        <v>29730</v>
      </c>
      <c r="S787" s="34">
        <v>42076</v>
      </c>
      <c r="T787" s="34">
        <v>42078</v>
      </c>
      <c r="U787" s="29">
        <v>-85.022000000000006</v>
      </c>
      <c r="V787" s="26">
        <v>21</v>
      </c>
      <c r="W787" s="29">
        <v>374.6</v>
      </c>
      <c r="X787" s="26">
        <v>90148</v>
      </c>
      <c r="Y787" s="35">
        <v>178.39</v>
      </c>
      <c r="Z787" s="1" t="s">
        <v>3011</v>
      </c>
      <c r="AA787" s="36">
        <v>7.4339999999999993</v>
      </c>
      <c r="AB787" s="54">
        <v>153.58600000000001</v>
      </c>
      <c r="AC787" s="54">
        <v>10.524476190476189</v>
      </c>
      <c r="AD787" s="36">
        <v>442.71800000000002</v>
      </c>
    </row>
    <row r="788" spans="1:30" s="37" customFormat="1" ht="15.75" customHeight="1" x14ac:dyDescent="0.2">
      <c r="A788" s="26">
        <v>2484</v>
      </c>
      <c r="B788" s="27" t="s">
        <v>1619</v>
      </c>
      <c r="C788" s="27" t="s">
        <v>116</v>
      </c>
      <c r="D788" s="28">
        <v>0.05</v>
      </c>
      <c r="E788" s="29">
        <v>6.48</v>
      </c>
      <c r="F788" s="29">
        <v>7.91</v>
      </c>
      <c r="G788" s="30" t="s">
        <v>39</v>
      </c>
      <c r="H788" s="27" t="s">
        <v>94</v>
      </c>
      <c r="I788" s="27" t="s">
        <v>49</v>
      </c>
      <c r="J788" s="27" t="s">
        <v>88</v>
      </c>
      <c r="K788" s="27" t="s">
        <v>73</v>
      </c>
      <c r="L788" s="31" t="s">
        <v>1620</v>
      </c>
      <c r="M788" s="32">
        <v>0.37</v>
      </c>
      <c r="N788" s="27" t="s">
        <v>33</v>
      </c>
      <c r="O788" s="27" t="s">
        <v>34</v>
      </c>
      <c r="P788" s="27" t="s">
        <v>123</v>
      </c>
      <c r="Q788" s="27" t="s">
        <v>1621</v>
      </c>
      <c r="R788" s="33">
        <v>33881</v>
      </c>
      <c r="S788" s="34">
        <v>42076</v>
      </c>
      <c r="T788" s="34">
        <v>42077</v>
      </c>
      <c r="U788" s="29">
        <v>322.12200000000001</v>
      </c>
      <c r="V788" s="26">
        <v>16</v>
      </c>
      <c r="W788" s="29">
        <v>109.99</v>
      </c>
      <c r="X788" s="26">
        <v>88998</v>
      </c>
      <c r="Y788" s="35">
        <v>6.4200000000000008</v>
      </c>
      <c r="Z788" s="1" t="s">
        <v>3011</v>
      </c>
      <c r="AA788" s="36">
        <v>5.1840000000000011</v>
      </c>
      <c r="AB788" s="54">
        <v>69.293700000000001</v>
      </c>
      <c r="AC788" s="54">
        <v>2.5435187500000001</v>
      </c>
      <c r="AD788" s="36">
        <v>-225.22600000000006</v>
      </c>
    </row>
    <row r="789" spans="1:30" s="37" customFormat="1" ht="15.75" customHeight="1" x14ac:dyDescent="0.2">
      <c r="A789" s="26">
        <v>1035</v>
      </c>
      <c r="B789" s="27" t="s">
        <v>1607</v>
      </c>
      <c r="C789" s="27" t="s">
        <v>26</v>
      </c>
      <c r="D789" s="28">
        <v>7.0000000000000007E-2</v>
      </c>
      <c r="E789" s="29">
        <v>125.99</v>
      </c>
      <c r="F789" s="29">
        <v>2.5</v>
      </c>
      <c r="G789" s="30" t="s">
        <v>39</v>
      </c>
      <c r="H789" s="27" t="s">
        <v>71</v>
      </c>
      <c r="I789" s="27" t="s">
        <v>41</v>
      </c>
      <c r="J789" s="27" t="s">
        <v>135</v>
      </c>
      <c r="K789" s="27" t="s">
        <v>73</v>
      </c>
      <c r="L789" s="31" t="s">
        <v>948</v>
      </c>
      <c r="M789" s="32">
        <v>0.6</v>
      </c>
      <c r="N789" s="27" t="s">
        <v>33</v>
      </c>
      <c r="O789" s="27" t="s">
        <v>111</v>
      </c>
      <c r="P789" s="27" t="s">
        <v>317</v>
      </c>
      <c r="Q789" s="27" t="s">
        <v>1608</v>
      </c>
      <c r="R789" s="33">
        <v>43015</v>
      </c>
      <c r="S789" s="34">
        <v>42076</v>
      </c>
      <c r="T789" s="34">
        <v>42076</v>
      </c>
      <c r="U789" s="29">
        <v>-604.40599999999995</v>
      </c>
      <c r="V789" s="26">
        <v>1</v>
      </c>
      <c r="W789" s="29">
        <v>100.59</v>
      </c>
      <c r="X789" s="26">
        <v>90710</v>
      </c>
      <c r="Y789" s="35">
        <v>17.68</v>
      </c>
      <c r="Z789" s="1" t="s">
        <v>3014</v>
      </c>
      <c r="AA789" s="36">
        <v>8.8193000000000001</v>
      </c>
      <c r="AB789" s="54">
        <v>40.236000000000004</v>
      </c>
      <c r="AC789" s="54">
        <v>60.353999999999999</v>
      </c>
      <c r="AD789" s="36">
        <v>693.67669999999998</v>
      </c>
    </row>
    <row r="790" spans="1:30" s="37" customFormat="1" ht="15.75" customHeight="1" x14ac:dyDescent="0.2">
      <c r="A790" s="26">
        <v>600</v>
      </c>
      <c r="B790" s="27" t="s">
        <v>1614</v>
      </c>
      <c r="C790" s="27" t="s">
        <v>116</v>
      </c>
      <c r="D790" s="28">
        <v>0.06</v>
      </c>
      <c r="E790" s="29">
        <v>6.48</v>
      </c>
      <c r="F790" s="29">
        <v>7.37</v>
      </c>
      <c r="G790" s="30" t="s">
        <v>39</v>
      </c>
      <c r="H790" s="27" t="s">
        <v>94</v>
      </c>
      <c r="I790" s="27" t="s">
        <v>49</v>
      </c>
      <c r="J790" s="27" t="s">
        <v>88</v>
      </c>
      <c r="K790" s="27" t="s">
        <v>73</v>
      </c>
      <c r="L790" s="31" t="s">
        <v>1615</v>
      </c>
      <c r="M790" s="32">
        <v>0.37</v>
      </c>
      <c r="N790" s="27" t="s">
        <v>33</v>
      </c>
      <c r="O790" s="27" t="s">
        <v>111</v>
      </c>
      <c r="P790" s="27" t="s">
        <v>418</v>
      </c>
      <c r="Q790" s="27" t="s">
        <v>1616</v>
      </c>
      <c r="R790" s="33">
        <v>21136</v>
      </c>
      <c r="S790" s="34">
        <v>42076</v>
      </c>
      <c r="T790" s="34">
        <v>42077</v>
      </c>
      <c r="U790" s="29">
        <v>-75.44</v>
      </c>
      <c r="V790" s="26">
        <v>5</v>
      </c>
      <c r="W790" s="29">
        <v>32.39</v>
      </c>
      <c r="X790" s="26">
        <v>87579</v>
      </c>
      <c r="Y790" s="35">
        <v>6.4300000000000006</v>
      </c>
      <c r="Z790" s="1" t="s">
        <v>3014</v>
      </c>
      <c r="AA790" s="36">
        <v>1.9440000000000002</v>
      </c>
      <c r="AB790" s="54">
        <v>20.4057</v>
      </c>
      <c r="AC790" s="54">
        <v>2.3968599999999998</v>
      </c>
      <c r="AD790" s="36">
        <v>98.515999999999991</v>
      </c>
    </row>
    <row r="791" spans="1:30" s="37" customFormat="1" ht="15.75" customHeight="1" x14ac:dyDescent="0.2">
      <c r="A791" s="26">
        <v>573</v>
      </c>
      <c r="B791" s="27" t="s">
        <v>1380</v>
      </c>
      <c r="C791" s="27" t="s">
        <v>26</v>
      </c>
      <c r="D791" s="28">
        <v>0.05</v>
      </c>
      <c r="E791" s="29">
        <v>4.13</v>
      </c>
      <c r="F791" s="29">
        <v>5.04</v>
      </c>
      <c r="G791" s="30" t="s">
        <v>39</v>
      </c>
      <c r="H791" s="27" t="s">
        <v>71</v>
      </c>
      <c r="I791" s="27" t="s">
        <v>49</v>
      </c>
      <c r="J791" s="27" t="s">
        <v>72</v>
      </c>
      <c r="K791" s="27" t="s">
        <v>73</v>
      </c>
      <c r="L791" s="31" t="s">
        <v>1019</v>
      </c>
      <c r="M791" s="32">
        <v>0.38</v>
      </c>
      <c r="N791" s="27" t="s">
        <v>33</v>
      </c>
      <c r="O791" s="27" t="s">
        <v>53</v>
      </c>
      <c r="P791" s="27" t="s">
        <v>103</v>
      </c>
      <c r="Q791" s="27" t="s">
        <v>1382</v>
      </c>
      <c r="R791" s="33">
        <v>61554</v>
      </c>
      <c r="S791" s="34">
        <v>42076</v>
      </c>
      <c r="T791" s="34">
        <v>42077</v>
      </c>
      <c r="U791" s="29">
        <v>-12.1555</v>
      </c>
      <c r="V791" s="26">
        <v>1</v>
      </c>
      <c r="W791" s="29">
        <v>5.84</v>
      </c>
      <c r="X791" s="26">
        <v>86555</v>
      </c>
      <c r="Y791" s="35">
        <v>111</v>
      </c>
      <c r="Z791" s="1" t="s">
        <v>3012</v>
      </c>
      <c r="AA791" s="36">
        <v>0.20650000000000002</v>
      </c>
      <c r="AB791" s="54">
        <v>3.6208</v>
      </c>
      <c r="AC791" s="54">
        <v>2.2191999999999998</v>
      </c>
      <c r="AD791" s="36">
        <v>12.748999999999999</v>
      </c>
    </row>
    <row r="792" spans="1:30" s="37" customFormat="1" ht="15.75" customHeight="1" x14ac:dyDescent="0.2">
      <c r="A792" s="26">
        <v>373</v>
      </c>
      <c r="B792" s="27" t="s">
        <v>1638</v>
      </c>
      <c r="C792" s="27" t="s">
        <v>3094</v>
      </c>
      <c r="D792" s="28">
        <v>0.02</v>
      </c>
      <c r="E792" s="29">
        <v>200.98</v>
      </c>
      <c r="F792" s="29">
        <v>55.96</v>
      </c>
      <c r="G792" s="30" t="s">
        <v>27</v>
      </c>
      <c r="H792" s="27" t="s">
        <v>3095</v>
      </c>
      <c r="I792" s="27" t="s">
        <v>29</v>
      </c>
      <c r="J792" s="27" t="s">
        <v>117</v>
      </c>
      <c r="K792" s="27" t="s">
        <v>31</v>
      </c>
      <c r="L792" s="31" t="s">
        <v>1639</v>
      </c>
      <c r="M792" s="32">
        <v>0.75</v>
      </c>
      <c r="N792" s="27" t="s">
        <v>33</v>
      </c>
      <c r="O792" s="27" t="s">
        <v>53</v>
      </c>
      <c r="P792" s="27" t="s">
        <v>289</v>
      </c>
      <c r="Q792" s="27" t="s">
        <v>1163</v>
      </c>
      <c r="R792" s="33">
        <v>48234</v>
      </c>
      <c r="S792" s="34">
        <v>42077</v>
      </c>
      <c r="T792" s="34">
        <v>42079</v>
      </c>
      <c r="U792" s="29">
        <v>-163.63</v>
      </c>
      <c r="V792" s="26">
        <v>45</v>
      </c>
      <c r="W792" s="29">
        <v>9539.6</v>
      </c>
      <c r="X792" s="26">
        <v>24193</v>
      </c>
      <c r="Y792" s="35">
        <v>154.04</v>
      </c>
      <c r="Z792" s="1" t="s">
        <v>3012</v>
      </c>
      <c r="AA792" s="36">
        <v>180.88199999999998</v>
      </c>
      <c r="AB792" s="54">
        <v>2384.9</v>
      </c>
      <c r="AC792" s="54">
        <v>158.99333333333334</v>
      </c>
      <c r="AD792" s="36">
        <v>9466.3880000000008</v>
      </c>
    </row>
    <row r="793" spans="1:30" s="37" customFormat="1" ht="15.75" customHeight="1" x14ac:dyDescent="0.2">
      <c r="A793" s="26">
        <v>604</v>
      </c>
      <c r="B793" s="27" t="s">
        <v>741</v>
      </c>
      <c r="C793" s="27" t="s">
        <v>26</v>
      </c>
      <c r="D793" s="28">
        <v>0.09</v>
      </c>
      <c r="E793" s="29">
        <v>154.13</v>
      </c>
      <c r="F793" s="29">
        <v>69</v>
      </c>
      <c r="G793" s="30" t="s">
        <v>87</v>
      </c>
      <c r="H793" s="27" t="s">
        <v>94</v>
      </c>
      <c r="I793" s="27" t="s">
        <v>29</v>
      </c>
      <c r="J793" s="27" t="s">
        <v>30</v>
      </c>
      <c r="K793" s="27" t="s">
        <v>65</v>
      </c>
      <c r="L793" s="31" t="s">
        <v>924</v>
      </c>
      <c r="M793" s="32">
        <v>0.68</v>
      </c>
      <c r="N793" s="27" t="s">
        <v>33</v>
      </c>
      <c r="O793" s="27" t="s">
        <v>60</v>
      </c>
      <c r="P793" s="27" t="s">
        <v>90</v>
      </c>
      <c r="Q793" s="27" t="s">
        <v>100</v>
      </c>
      <c r="R793" s="33">
        <v>90045</v>
      </c>
      <c r="S793" s="34">
        <v>42077</v>
      </c>
      <c r="T793" s="34">
        <v>42078</v>
      </c>
      <c r="U793" s="29">
        <v>-1763.7476999999999</v>
      </c>
      <c r="V793" s="26">
        <v>38</v>
      </c>
      <c r="W793" s="29">
        <v>5679.59</v>
      </c>
      <c r="X793" s="26">
        <v>28647</v>
      </c>
      <c r="Y793" s="35">
        <v>154.04</v>
      </c>
      <c r="Z793" s="1" t="s">
        <v>3013</v>
      </c>
      <c r="AA793" s="36">
        <v>527.12459999999999</v>
      </c>
      <c r="AB793" s="54">
        <v>1817.4687999999999</v>
      </c>
      <c r="AC793" s="54">
        <v>101.63476842105264</v>
      </c>
      <c r="AD793" s="36">
        <v>6847.2130999999999</v>
      </c>
    </row>
    <row r="794" spans="1:30" s="37" customFormat="1" ht="15.75" customHeight="1" x14ac:dyDescent="0.2">
      <c r="A794" s="26">
        <v>375</v>
      </c>
      <c r="B794" s="27" t="s">
        <v>1640</v>
      </c>
      <c r="C794" s="27" t="s">
        <v>3094</v>
      </c>
      <c r="D794" s="28">
        <v>0.02</v>
      </c>
      <c r="E794" s="29">
        <v>200.98</v>
      </c>
      <c r="F794" s="29">
        <v>55.96</v>
      </c>
      <c r="G794" s="30" t="s">
        <v>27</v>
      </c>
      <c r="H794" s="27" t="s">
        <v>3095</v>
      </c>
      <c r="I794" s="27" t="s">
        <v>29</v>
      </c>
      <c r="J794" s="27" t="s">
        <v>117</v>
      </c>
      <c r="K794" s="27" t="s">
        <v>31</v>
      </c>
      <c r="L794" s="31" t="s">
        <v>1639</v>
      </c>
      <c r="M794" s="32">
        <v>0.75</v>
      </c>
      <c r="N794" s="27" t="s">
        <v>33</v>
      </c>
      <c r="O794" s="27" t="s">
        <v>34</v>
      </c>
      <c r="P794" s="27" t="s">
        <v>400</v>
      </c>
      <c r="Q794" s="27" t="s">
        <v>1641</v>
      </c>
      <c r="R794" s="33">
        <v>37814</v>
      </c>
      <c r="S794" s="34">
        <v>42077</v>
      </c>
      <c r="T794" s="34">
        <v>42079</v>
      </c>
      <c r="U794" s="29">
        <v>-224.9478</v>
      </c>
      <c r="V794" s="26">
        <v>11</v>
      </c>
      <c r="W794" s="29">
        <v>2331.9</v>
      </c>
      <c r="X794" s="26">
        <v>90917</v>
      </c>
      <c r="Y794" s="35">
        <v>400.88</v>
      </c>
      <c r="Z794" s="1" t="s">
        <v>3011</v>
      </c>
      <c r="AA794" s="36">
        <v>44.215599999999995</v>
      </c>
      <c r="AB794" s="54">
        <v>582.97500000000002</v>
      </c>
      <c r="AC794" s="54">
        <v>158.99318181818182</v>
      </c>
      <c r="AD794" s="36">
        <v>2456.6722</v>
      </c>
    </row>
    <row r="795" spans="1:30" s="37" customFormat="1" ht="15.75" customHeight="1" x14ac:dyDescent="0.2">
      <c r="A795" s="26">
        <v>2345</v>
      </c>
      <c r="B795" s="27" t="s">
        <v>1631</v>
      </c>
      <c r="C795" s="27" t="s">
        <v>116</v>
      </c>
      <c r="D795" s="28">
        <v>7.0000000000000007E-2</v>
      </c>
      <c r="E795" s="29">
        <v>200.98</v>
      </c>
      <c r="F795" s="29">
        <v>23.76</v>
      </c>
      <c r="G795" s="30" t="s">
        <v>27</v>
      </c>
      <c r="H795" s="27" t="s">
        <v>94</v>
      </c>
      <c r="I795" s="27" t="s">
        <v>29</v>
      </c>
      <c r="J795" s="27" t="s">
        <v>109</v>
      </c>
      <c r="K795" s="27" t="s">
        <v>58</v>
      </c>
      <c r="L795" s="31" t="s">
        <v>1632</v>
      </c>
      <c r="M795" s="32">
        <v>0.57999999999999996</v>
      </c>
      <c r="N795" s="27" t="s">
        <v>33</v>
      </c>
      <c r="O795" s="27" t="s">
        <v>34</v>
      </c>
      <c r="P795" s="27" t="s">
        <v>388</v>
      </c>
      <c r="Q795" s="27" t="s">
        <v>827</v>
      </c>
      <c r="R795" s="33">
        <v>42003</v>
      </c>
      <c r="S795" s="34">
        <v>42077</v>
      </c>
      <c r="T795" s="34">
        <v>42078</v>
      </c>
      <c r="U795" s="29">
        <v>-132.42599999999999</v>
      </c>
      <c r="V795" s="26">
        <v>9</v>
      </c>
      <c r="W795" s="29">
        <v>1805.9</v>
      </c>
      <c r="X795" s="26">
        <v>89504</v>
      </c>
      <c r="Y795" s="35">
        <v>45.11</v>
      </c>
      <c r="Z795" s="1" t="s">
        <v>3011</v>
      </c>
      <c r="AA795" s="36">
        <v>126.6174</v>
      </c>
      <c r="AB795" s="54">
        <v>758.47800000000007</v>
      </c>
      <c r="AC795" s="54">
        <v>116.38022222222222</v>
      </c>
      <c r="AD795" s="36">
        <v>1787.9486000000002</v>
      </c>
    </row>
    <row r="796" spans="1:30" s="37" customFormat="1" ht="15.75" customHeight="1" x14ac:dyDescent="0.2">
      <c r="A796" s="26">
        <v>605</v>
      </c>
      <c r="B796" s="27" t="s">
        <v>1623</v>
      </c>
      <c r="C796" s="27" t="s">
        <v>26</v>
      </c>
      <c r="D796" s="28">
        <v>0.09</v>
      </c>
      <c r="E796" s="29">
        <v>154.13</v>
      </c>
      <c r="F796" s="29">
        <v>69</v>
      </c>
      <c r="G796" s="30" t="s">
        <v>87</v>
      </c>
      <c r="H796" s="27" t="s">
        <v>94</v>
      </c>
      <c r="I796" s="27" t="s">
        <v>29</v>
      </c>
      <c r="J796" s="27" t="s">
        <v>30</v>
      </c>
      <c r="K796" s="27" t="s">
        <v>65</v>
      </c>
      <c r="L796" s="31" t="s">
        <v>924</v>
      </c>
      <c r="M796" s="32">
        <v>0.68</v>
      </c>
      <c r="N796" s="27" t="s">
        <v>33</v>
      </c>
      <c r="O796" s="27" t="s">
        <v>111</v>
      </c>
      <c r="P796" s="27" t="s">
        <v>112</v>
      </c>
      <c r="Q796" s="27" t="s">
        <v>1624</v>
      </c>
      <c r="R796" s="33">
        <v>11795</v>
      </c>
      <c r="S796" s="34">
        <v>42077</v>
      </c>
      <c r="T796" s="34">
        <v>42078</v>
      </c>
      <c r="U796" s="29">
        <v>-1763.7476999999999</v>
      </c>
      <c r="V796" s="26">
        <v>10</v>
      </c>
      <c r="W796" s="29">
        <v>1494.63</v>
      </c>
      <c r="X796" s="26">
        <v>91144</v>
      </c>
      <c r="Y796" s="35">
        <v>33.949999999999996</v>
      </c>
      <c r="Z796" s="1" t="s">
        <v>3014</v>
      </c>
      <c r="AA796" s="36">
        <v>138.71699999999998</v>
      </c>
      <c r="AB796" s="54">
        <v>478.28159999999997</v>
      </c>
      <c r="AC796" s="54">
        <v>101.63484000000003</v>
      </c>
      <c r="AD796" s="36">
        <v>3050.6606999999999</v>
      </c>
    </row>
    <row r="797" spans="1:30" s="37" customFormat="1" ht="15.75" customHeight="1" x14ac:dyDescent="0.2">
      <c r="A797" s="26">
        <v>373</v>
      </c>
      <c r="B797" s="27" t="s">
        <v>1638</v>
      </c>
      <c r="C797" s="27" t="s">
        <v>3094</v>
      </c>
      <c r="D797" s="28">
        <v>0.04</v>
      </c>
      <c r="E797" s="29">
        <v>85.99</v>
      </c>
      <c r="F797" s="29">
        <v>0.99</v>
      </c>
      <c r="G797" s="30" t="s">
        <v>39</v>
      </c>
      <c r="H797" s="27" t="s">
        <v>3095</v>
      </c>
      <c r="I797" s="27" t="s">
        <v>41</v>
      </c>
      <c r="J797" s="27" t="s">
        <v>135</v>
      </c>
      <c r="K797" s="27" t="s">
        <v>51</v>
      </c>
      <c r="L797" s="31" t="s">
        <v>1596</v>
      </c>
      <c r="M797" s="32">
        <v>0.85</v>
      </c>
      <c r="N797" s="27" t="s">
        <v>33</v>
      </c>
      <c r="O797" s="27" t="s">
        <v>53</v>
      </c>
      <c r="P797" s="27" t="s">
        <v>289</v>
      </c>
      <c r="Q797" s="27" t="s">
        <v>1163</v>
      </c>
      <c r="R797" s="33">
        <v>48234</v>
      </c>
      <c r="S797" s="34">
        <v>42077</v>
      </c>
      <c r="T797" s="34">
        <v>42079</v>
      </c>
      <c r="U797" s="29">
        <v>-175.17500000000001</v>
      </c>
      <c r="V797" s="26">
        <v>19</v>
      </c>
      <c r="W797" s="29">
        <v>1426.51</v>
      </c>
      <c r="X797" s="26">
        <v>24193</v>
      </c>
      <c r="Y797" s="35">
        <v>200.91</v>
      </c>
      <c r="Z797" s="1" t="s">
        <v>3012</v>
      </c>
      <c r="AA797" s="36">
        <v>65.352400000000003</v>
      </c>
      <c r="AB797" s="54">
        <v>213.97650000000004</v>
      </c>
      <c r="AC797" s="54">
        <v>63.817552631578948</v>
      </c>
      <c r="AD797" s="36">
        <v>1535.3425999999999</v>
      </c>
    </row>
    <row r="798" spans="1:30" s="37" customFormat="1" ht="15.75" customHeight="1" x14ac:dyDescent="0.2">
      <c r="A798" s="26">
        <v>994</v>
      </c>
      <c r="B798" s="27" t="s">
        <v>1625</v>
      </c>
      <c r="C798" s="27" t="s">
        <v>38</v>
      </c>
      <c r="D798" s="28">
        <v>0.1</v>
      </c>
      <c r="E798" s="29">
        <v>400.98</v>
      </c>
      <c r="F798" s="29">
        <v>76.37</v>
      </c>
      <c r="G798" s="30" t="s">
        <v>27</v>
      </c>
      <c r="H798" s="27" t="s">
        <v>3095</v>
      </c>
      <c r="I798" s="27" t="s">
        <v>29</v>
      </c>
      <c r="J798" s="27" t="s">
        <v>30</v>
      </c>
      <c r="K798" s="27" t="s">
        <v>31</v>
      </c>
      <c r="L798" s="31" t="s">
        <v>1002</v>
      </c>
      <c r="M798" s="32">
        <v>0.6</v>
      </c>
      <c r="N798" s="27" t="s">
        <v>33</v>
      </c>
      <c r="O798" s="27" t="s">
        <v>111</v>
      </c>
      <c r="P798" s="27" t="s">
        <v>331</v>
      </c>
      <c r="Q798" s="27" t="s">
        <v>332</v>
      </c>
      <c r="R798" s="33">
        <v>4073</v>
      </c>
      <c r="S798" s="34">
        <v>42077</v>
      </c>
      <c r="T798" s="34">
        <v>42078</v>
      </c>
      <c r="U798" s="29">
        <v>-969.04836599999999</v>
      </c>
      <c r="V798" s="26">
        <v>2</v>
      </c>
      <c r="W798" s="29">
        <v>810.47</v>
      </c>
      <c r="X798" s="26">
        <v>89433</v>
      </c>
      <c r="Y798" s="35">
        <v>179.26999999999998</v>
      </c>
      <c r="Z798" s="1" t="s">
        <v>3014</v>
      </c>
      <c r="AA798" s="36">
        <v>80.196000000000012</v>
      </c>
      <c r="AB798" s="54">
        <v>324.18800000000005</v>
      </c>
      <c r="AC798" s="54">
        <v>243.14099999999999</v>
      </c>
      <c r="AD798" s="36">
        <v>1622.952366</v>
      </c>
    </row>
    <row r="799" spans="1:30" s="37" customFormat="1" ht="15.75" customHeight="1" x14ac:dyDescent="0.2">
      <c r="A799" s="26">
        <v>2417</v>
      </c>
      <c r="B799" s="27" t="s">
        <v>1633</v>
      </c>
      <c r="C799" s="27" t="s">
        <v>116</v>
      </c>
      <c r="D799" s="28">
        <v>0</v>
      </c>
      <c r="E799" s="29">
        <v>65.989999999999995</v>
      </c>
      <c r="F799" s="29">
        <v>3.99</v>
      </c>
      <c r="G799" s="30" t="s">
        <v>39</v>
      </c>
      <c r="H799" s="27" t="s">
        <v>40</v>
      </c>
      <c r="I799" s="27" t="s">
        <v>41</v>
      </c>
      <c r="J799" s="27" t="s">
        <v>135</v>
      </c>
      <c r="K799" s="27" t="s">
        <v>73</v>
      </c>
      <c r="L799" s="31" t="s">
        <v>1634</v>
      </c>
      <c r="M799" s="32">
        <v>0.59</v>
      </c>
      <c r="N799" s="27" t="s">
        <v>33</v>
      </c>
      <c r="O799" s="27" t="s">
        <v>34</v>
      </c>
      <c r="P799" s="27" t="s">
        <v>242</v>
      </c>
      <c r="Q799" s="27" t="s">
        <v>1635</v>
      </c>
      <c r="R799" s="33">
        <v>22124</v>
      </c>
      <c r="S799" s="34">
        <v>42077</v>
      </c>
      <c r="T799" s="34">
        <v>42078</v>
      </c>
      <c r="U799" s="29">
        <v>-60.564</v>
      </c>
      <c r="V799" s="26">
        <v>13</v>
      </c>
      <c r="W799" s="29">
        <v>765.65</v>
      </c>
      <c r="X799" s="26">
        <v>86754</v>
      </c>
      <c r="Y799" s="35">
        <v>65.989999999999995</v>
      </c>
      <c r="Z799" s="1" t="s">
        <v>3011</v>
      </c>
      <c r="AA799" s="36">
        <v>0</v>
      </c>
      <c r="AB799" s="54">
        <v>313.91650000000004</v>
      </c>
      <c r="AC799" s="54">
        <v>34.748730769230768</v>
      </c>
      <c r="AD799" s="36">
        <v>822.22399999999993</v>
      </c>
    </row>
    <row r="800" spans="1:30" s="37" customFormat="1" ht="15.75" customHeight="1" x14ac:dyDescent="0.2">
      <c r="A800" s="26">
        <v>3177</v>
      </c>
      <c r="B800" s="27" t="s">
        <v>1642</v>
      </c>
      <c r="C800" s="27" t="s">
        <v>3094</v>
      </c>
      <c r="D800" s="28">
        <v>0.1</v>
      </c>
      <c r="E800" s="29">
        <v>62.18</v>
      </c>
      <c r="F800" s="29">
        <v>10.84</v>
      </c>
      <c r="G800" s="30" t="s">
        <v>39</v>
      </c>
      <c r="H800" s="27" t="s">
        <v>40</v>
      </c>
      <c r="I800" s="27" t="s">
        <v>29</v>
      </c>
      <c r="J800" s="27" t="s">
        <v>126</v>
      </c>
      <c r="K800" s="27" t="s">
        <v>144</v>
      </c>
      <c r="L800" s="31" t="s">
        <v>1231</v>
      </c>
      <c r="M800" s="32">
        <v>0.63</v>
      </c>
      <c r="N800" s="27" t="s">
        <v>33</v>
      </c>
      <c r="O800" s="27" t="s">
        <v>34</v>
      </c>
      <c r="P800" s="27" t="s">
        <v>123</v>
      </c>
      <c r="Q800" s="27" t="s">
        <v>1643</v>
      </c>
      <c r="R800" s="33">
        <v>33458</v>
      </c>
      <c r="S800" s="34">
        <v>42077</v>
      </c>
      <c r="T800" s="34">
        <v>42079</v>
      </c>
      <c r="U800" s="29">
        <v>-29.666</v>
      </c>
      <c r="V800" s="26">
        <v>9</v>
      </c>
      <c r="W800" s="29">
        <v>511.57</v>
      </c>
      <c r="X800" s="26">
        <v>90818</v>
      </c>
      <c r="Y800" s="35">
        <v>45.980000000000004</v>
      </c>
      <c r="Z800" s="1" t="s">
        <v>3011</v>
      </c>
      <c r="AA800" s="36">
        <v>55.962000000000003</v>
      </c>
      <c r="AB800" s="54">
        <v>189.2809</v>
      </c>
      <c r="AC800" s="54">
        <v>35.809899999999999</v>
      </c>
      <c r="AD800" s="36">
        <v>474.43399999999997</v>
      </c>
    </row>
    <row r="801" spans="1:30" s="37" customFormat="1" ht="15.75" customHeight="1" x14ac:dyDescent="0.2">
      <c r="A801" s="26">
        <v>1000</v>
      </c>
      <c r="B801" s="27" t="s">
        <v>1628</v>
      </c>
      <c r="C801" s="27" t="s">
        <v>38</v>
      </c>
      <c r="D801" s="28">
        <v>0.03</v>
      </c>
      <c r="E801" s="29">
        <v>33.979999999999997</v>
      </c>
      <c r="F801" s="29">
        <v>19.989999999999998</v>
      </c>
      <c r="G801" s="30" t="s">
        <v>39</v>
      </c>
      <c r="H801" s="27" t="s">
        <v>3095</v>
      </c>
      <c r="I801" s="27" t="s">
        <v>29</v>
      </c>
      <c r="J801" s="27" t="s">
        <v>126</v>
      </c>
      <c r="K801" s="27" t="s">
        <v>73</v>
      </c>
      <c r="L801" s="31" t="s">
        <v>1629</v>
      </c>
      <c r="M801" s="32">
        <v>0.55000000000000004</v>
      </c>
      <c r="N801" s="27" t="s">
        <v>33</v>
      </c>
      <c r="O801" s="27" t="s">
        <v>111</v>
      </c>
      <c r="P801" s="27" t="s">
        <v>633</v>
      </c>
      <c r="Q801" s="27" t="s">
        <v>1630</v>
      </c>
      <c r="R801" s="33">
        <v>5201</v>
      </c>
      <c r="S801" s="34">
        <v>42077</v>
      </c>
      <c r="T801" s="34">
        <v>42078</v>
      </c>
      <c r="U801" s="29">
        <v>-0.74</v>
      </c>
      <c r="V801" s="26">
        <v>12</v>
      </c>
      <c r="W801" s="29">
        <v>432.44</v>
      </c>
      <c r="X801" s="26">
        <v>89433</v>
      </c>
      <c r="Y801" s="35">
        <v>200.95999999999998</v>
      </c>
      <c r="Z801" s="1" t="s">
        <v>3014</v>
      </c>
      <c r="AA801" s="36">
        <v>12.232799999999997</v>
      </c>
      <c r="AB801" s="54">
        <v>194.59799999999998</v>
      </c>
      <c r="AC801" s="54">
        <v>19.820166666666669</v>
      </c>
      <c r="AD801" s="36">
        <v>400.9572</v>
      </c>
    </row>
    <row r="802" spans="1:30" s="37" customFormat="1" ht="15.75" customHeight="1" x14ac:dyDescent="0.2">
      <c r="A802" s="26">
        <v>2345</v>
      </c>
      <c r="B802" s="27" t="s">
        <v>1631</v>
      </c>
      <c r="C802" s="27" t="s">
        <v>116</v>
      </c>
      <c r="D802" s="28">
        <v>0.02</v>
      </c>
      <c r="E802" s="29">
        <v>179.29</v>
      </c>
      <c r="F802" s="29">
        <v>29.21</v>
      </c>
      <c r="G802" s="30" t="s">
        <v>27</v>
      </c>
      <c r="H802" s="27" t="s">
        <v>94</v>
      </c>
      <c r="I802" s="27" t="s">
        <v>29</v>
      </c>
      <c r="J802" s="27" t="s">
        <v>30</v>
      </c>
      <c r="K802" s="27" t="s">
        <v>31</v>
      </c>
      <c r="L802" s="31" t="s">
        <v>543</v>
      </c>
      <c r="M802" s="32">
        <v>0.76</v>
      </c>
      <c r="N802" s="27" t="s">
        <v>33</v>
      </c>
      <c r="O802" s="27" t="s">
        <v>34</v>
      </c>
      <c r="P802" s="27" t="s">
        <v>388</v>
      </c>
      <c r="Q802" s="27" t="s">
        <v>827</v>
      </c>
      <c r="R802" s="33">
        <v>42003</v>
      </c>
      <c r="S802" s="34">
        <v>42077</v>
      </c>
      <c r="T802" s="34">
        <v>42077</v>
      </c>
      <c r="U802" s="29">
        <v>-411.23599999999999</v>
      </c>
      <c r="V802" s="26">
        <v>2</v>
      </c>
      <c r="W802" s="29">
        <v>311.41000000000003</v>
      </c>
      <c r="X802" s="26">
        <v>89504</v>
      </c>
      <c r="Y802" s="35">
        <v>4.2600000000000007</v>
      </c>
      <c r="Z802" s="1" t="s">
        <v>3011</v>
      </c>
      <c r="AA802" s="36">
        <v>7.1715999999999998</v>
      </c>
      <c r="AB802" s="54">
        <v>74.738399999999999</v>
      </c>
      <c r="AC802" s="54">
        <v>118.33580000000001</v>
      </c>
      <c r="AD802" s="36">
        <v>686.26440000000002</v>
      </c>
    </row>
    <row r="803" spans="1:30" s="37" customFormat="1" ht="15.75" customHeight="1" x14ac:dyDescent="0.2">
      <c r="A803" s="26">
        <v>1682</v>
      </c>
      <c r="B803" s="27" t="s">
        <v>1186</v>
      </c>
      <c r="C803" s="27" t="s">
        <v>3094</v>
      </c>
      <c r="D803" s="28">
        <v>0.08</v>
      </c>
      <c r="E803" s="29">
        <v>4.9800000000000004</v>
      </c>
      <c r="F803" s="29">
        <v>4.7</v>
      </c>
      <c r="G803" s="30" t="s">
        <v>39</v>
      </c>
      <c r="H803" s="27" t="s">
        <v>40</v>
      </c>
      <c r="I803" s="27" t="s">
        <v>49</v>
      </c>
      <c r="J803" s="27" t="s">
        <v>88</v>
      </c>
      <c r="K803" s="27" t="s">
        <v>73</v>
      </c>
      <c r="L803" s="31" t="s">
        <v>1334</v>
      </c>
      <c r="M803" s="32">
        <v>0.38</v>
      </c>
      <c r="N803" s="27" t="s">
        <v>33</v>
      </c>
      <c r="O803" s="27" t="s">
        <v>53</v>
      </c>
      <c r="P803" s="27" t="s">
        <v>103</v>
      </c>
      <c r="Q803" s="27" t="s">
        <v>533</v>
      </c>
      <c r="R803" s="33">
        <v>60611</v>
      </c>
      <c r="S803" s="34">
        <v>42077</v>
      </c>
      <c r="T803" s="34">
        <v>42078</v>
      </c>
      <c r="U803" s="29">
        <v>-56.35</v>
      </c>
      <c r="V803" s="26">
        <v>47</v>
      </c>
      <c r="W803" s="29">
        <v>225.98</v>
      </c>
      <c r="X803" s="26">
        <v>38080</v>
      </c>
      <c r="Y803" s="35">
        <v>85.949999999999989</v>
      </c>
      <c r="Z803" s="1" t="s">
        <v>3012</v>
      </c>
      <c r="AA803" s="36">
        <v>18.724800000000002</v>
      </c>
      <c r="AB803" s="54">
        <v>140.10759999999999</v>
      </c>
      <c r="AC803" s="54">
        <v>1.8270723404255318</v>
      </c>
      <c r="AD803" s="36">
        <v>258.90519999999998</v>
      </c>
    </row>
    <row r="804" spans="1:30" s="37" customFormat="1" ht="15.75" customHeight="1" x14ac:dyDescent="0.2">
      <c r="A804" s="26">
        <v>999</v>
      </c>
      <c r="B804" s="27" t="s">
        <v>1626</v>
      </c>
      <c r="C804" s="27" t="s">
        <v>38</v>
      </c>
      <c r="D804" s="28">
        <v>0.08</v>
      </c>
      <c r="E804" s="29">
        <v>45.19</v>
      </c>
      <c r="F804" s="29">
        <v>1.99</v>
      </c>
      <c r="G804" s="30" t="s">
        <v>39</v>
      </c>
      <c r="H804" s="27" t="s">
        <v>3095</v>
      </c>
      <c r="I804" s="27" t="s">
        <v>41</v>
      </c>
      <c r="J804" s="27" t="s">
        <v>42</v>
      </c>
      <c r="K804" s="27" t="s">
        <v>43</v>
      </c>
      <c r="L804" s="31" t="s">
        <v>44</v>
      </c>
      <c r="M804" s="32">
        <v>0.55000000000000004</v>
      </c>
      <c r="N804" s="27" t="s">
        <v>33</v>
      </c>
      <c r="O804" s="27" t="s">
        <v>111</v>
      </c>
      <c r="P804" s="27" t="s">
        <v>397</v>
      </c>
      <c r="Q804" s="27" t="s">
        <v>1627</v>
      </c>
      <c r="R804" s="33">
        <v>7450</v>
      </c>
      <c r="S804" s="34">
        <v>42077</v>
      </c>
      <c r="T804" s="34">
        <v>42078</v>
      </c>
      <c r="U804" s="29">
        <v>-71.83</v>
      </c>
      <c r="V804" s="26">
        <v>3</v>
      </c>
      <c r="W804" s="29">
        <v>127.22</v>
      </c>
      <c r="X804" s="26">
        <v>89433</v>
      </c>
      <c r="Y804" s="35">
        <v>200.95999999999998</v>
      </c>
      <c r="Z804" s="1" t="s">
        <v>3014</v>
      </c>
      <c r="AA804" s="36">
        <v>10.845599999999999</v>
      </c>
      <c r="AB804" s="54">
        <v>57.248999999999995</v>
      </c>
      <c r="AC804" s="54">
        <v>23.323666666666668</v>
      </c>
      <c r="AD804" s="36">
        <v>186.21440000000001</v>
      </c>
    </row>
    <row r="805" spans="1:30" s="37" customFormat="1" ht="15.75" customHeight="1" x14ac:dyDescent="0.2">
      <c r="A805" s="26">
        <v>3279</v>
      </c>
      <c r="B805" s="27" t="s">
        <v>1636</v>
      </c>
      <c r="C805" s="27" t="s">
        <v>116</v>
      </c>
      <c r="D805" s="28">
        <v>0.01</v>
      </c>
      <c r="E805" s="29">
        <v>45.99</v>
      </c>
      <c r="F805" s="29">
        <v>4.99</v>
      </c>
      <c r="G805" s="30" t="s">
        <v>39</v>
      </c>
      <c r="H805" s="27" t="s">
        <v>71</v>
      </c>
      <c r="I805" s="27" t="s">
        <v>41</v>
      </c>
      <c r="J805" s="27" t="s">
        <v>135</v>
      </c>
      <c r="K805" s="27" t="s">
        <v>73</v>
      </c>
      <c r="L805" s="31" t="s">
        <v>1446</v>
      </c>
      <c r="M805" s="32">
        <v>0.56000000000000005</v>
      </c>
      <c r="N805" s="27" t="s">
        <v>33</v>
      </c>
      <c r="O805" s="27" t="s">
        <v>34</v>
      </c>
      <c r="P805" s="27" t="s">
        <v>271</v>
      </c>
      <c r="Q805" s="27" t="s">
        <v>1637</v>
      </c>
      <c r="R805" s="33">
        <v>29203</v>
      </c>
      <c r="S805" s="34">
        <v>42077</v>
      </c>
      <c r="T805" s="34">
        <v>42079</v>
      </c>
      <c r="U805" s="29">
        <v>24.018000000000001</v>
      </c>
      <c r="V805" s="26">
        <v>3</v>
      </c>
      <c r="W805" s="29">
        <v>125.19</v>
      </c>
      <c r="X805" s="26">
        <v>90767</v>
      </c>
      <c r="Y805" s="35">
        <v>4.2600000000000007</v>
      </c>
      <c r="Z805" s="1" t="s">
        <v>3011</v>
      </c>
      <c r="AA805" s="36">
        <v>1.3797000000000001</v>
      </c>
      <c r="AB805" s="54">
        <v>55.08359999999999</v>
      </c>
      <c r="AC805" s="54">
        <v>23.3688</v>
      </c>
      <c r="AD805" s="36">
        <v>94.802300000000002</v>
      </c>
    </row>
    <row r="806" spans="1:30" s="37" customFormat="1" ht="15.75" customHeight="1" x14ac:dyDescent="0.2">
      <c r="A806" s="26">
        <v>373</v>
      </c>
      <c r="B806" s="27" t="s">
        <v>1638</v>
      </c>
      <c r="C806" s="27" t="s">
        <v>3094</v>
      </c>
      <c r="D806" s="28">
        <v>0.02</v>
      </c>
      <c r="E806" s="29">
        <v>4.28</v>
      </c>
      <c r="F806" s="29">
        <v>5.17</v>
      </c>
      <c r="G806" s="30" t="s">
        <v>39</v>
      </c>
      <c r="H806" s="27" t="s">
        <v>3095</v>
      </c>
      <c r="I806" s="27" t="s">
        <v>49</v>
      </c>
      <c r="J806" s="27" t="s">
        <v>88</v>
      </c>
      <c r="K806" s="27" t="s">
        <v>73</v>
      </c>
      <c r="L806" s="31" t="s">
        <v>1254</v>
      </c>
      <c r="M806" s="32">
        <v>0.4</v>
      </c>
      <c r="N806" s="27" t="s">
        <v>33</v>
      </c>
      <c r="O806" s="27" t="s">
        <v>53</v>
      </c>
      <c r="P806" s="27" t="s">
        <v>289</v>
      </c>
      <c r="Q806" s="27" t="s">
        <v>1163</v>
      </c>
      <c r="R806" s="33">
        <v>48234</v>
      </c>
      <c r="S806" s="34">
        <v>42077</v>
      </c>
      <c r="T806" s="34">
        <v>42078</v>
      </c>
      <c r="U806" s="29">
        <v>-63.87</v>
      </c>
      <c r="V806" s="26">
        <v>24</v>
      </c>
      <c r="W806" s="29">
        <v>109.86</v>
      </c>
      <c r="X806" s="26">
        <v>24193</v>
      </c>
      <c r="Y806" s="35">
        <v>4.9000000000000004</v>
      </c>
      <c r="Z806" s="1" t="s">
        <v>3012</v>
      </c>
      <c r="AA806" s="36">
        <v>2.0544000000000002</v>
      </c>
      <c r="AB806" s="54">
        <v>65.915999999999997</v>
      </c>
      <c r="AC806" s="54">
        <v>1.831</v>
      </c>
      <c r="AD806" s="36">
        <v>166.50559999999999</v>
      </c>
    </row>
    <row r="807" spans="1:30" s="37" customFormat="1" ht="15.75" customHeight="1" x14ac:dyDescent="0.2">
      <c r="A807" s="26">
        <v>1683</v>
      </c>
      <c r="B807" s="27" t="s">
        <v>1187</v>
      </c>
      <c r="C807" s="27" t="s">
        <v>3094</v>
      </c>
      <c r="D807" s="28">
        <v>0.08</v>
      </c>
      <c r="E807" s="29">
        <v>4.9800000000000004</v>
      </c>
      <c r="F807" s="29">
        <v>4.7</v>
      </c>
      <c r="G807" s="30" t="s">
        <v>39</v>
      </c>
      <c r="H807" s="27" t="s">
        <v>40</v>
      </c>
      <c r="I807" s="27" t="s">
        <v>49</v>
      </c>
      <c r="J807" s="27" t="s">
        <v>88</v>
      </c>
      <c r="K807" s="27" t="s">
        <v>73</v>
      </c>
      <c r="L807" s="31" t="s">
        <v>1334</v>
      </c>
      <c r="M807" s="32">
        <v>0.38</v>
      </c>
      <c r="N807" s="27" t="s">
        <v>33</v>
      </c>
      <c r="O807" s="27" t="s">
        <v>53</v>
      </c>
      <c r="P807" s="27" t="s">
        <v>187</v>
      </c>
      <c r="Q807" s="27" t="s">
        <v>1188</v>
      </c>
      <c r="R807" s="33">
        <v>77301</v>
      </c>
      <c r="S807" s="34">
        <v>42077</v>
      </c>
      <c r="T807" s="34">
        <v>42078</v>
      </c>
      <c r="U807" s="29">
        <v>-56.35</v>
      </c>
      <c r="V807" s="26">
        <v>12</v>
      </c>
      <c r="W807" s="29">
        <v>57.7</v>
      </c>
      <c r="X807" s="26">
        <v>90613</v>
      </c>
      <c r="Y807" s="35">
        <v>4.9000000000000004</v>
      </c>
      <c r="Z807" s="1" t="s">
        <v>3012</v>
      </c>
      <c r="AA807" s="36">
        <v>4.7808000000000002</v>
      </c>
      <c r="AB807" s="54">
        <v>35.774000000000001</v>
      </c>
      <c r="AC807" s="54">
        <v>1.8271666666666668</v>
      </c>
      <c r="AD807" s="36">
        <v>104.5692</v>
      </c>
    </row>
    <row r="808" spans="1:30" s="37" customFormat="1" ht="15.75" customHeight="1" x14ac:dyDescent="0.2">
      <c r="A808" s="26">
        <v>375</v>
      </c>
      <c r="B808" s="27" t="s">
        <v>1640</v>
      </c>
      <c r="C808" s="27" t="s">
        <v>3094</v>
      </c>
      <c r="D808" s="28">
        <v>0.02</v>
      </c>
      <c r="E808" s="29">
        <v>4.28</v>
      </c>
      <c r="F808" s="29">
        <v>5.17</v>
      </c>
      <c r="G808" s="30" t="s">
        <v>39</v>
      </c>
      <c r="H808" s="27" t="s">
        <v>3095</v>
      </c>
      <c r="I808" s="27" t="s">
        <v>49</v>
      </c>
      <c r="J808" s="27" t="s">
        <v>88</v>
      </c>
      <c r="K808" s="27" t="s">
        <v>73</v>
      </c>
      <c r="L808" s="31" t="s">
        <v>1254</v>
      </c>
      <c r="M808" s="32">
        <v>0.4</v>
      </c>
      <c r="N808" s="27" t="s">
        <v>33</v>
      </c>
      <c r="O808" s="27" t="s">
        <v>34</v>
      </c>
      <c r="P808" s="27" t="s">
        <v>400</v>
      </c>
      <c r="Q808" s="27" t="s">
        <v>1641</v>
      </c>
      <c r="R808" s="33">
        <v>37814</v>
      </c>
      <c r="S808" s="34">
        <v>42077</v>
      </c>
      <c r="T808" s="34">
        <v>42078</v>
      </c>
      <c r="U808" s="29">
        <v>196.8</v>
      </c>
      <c r="V808" s="26">
        <v>6</v>
      </c>
      <c r="W808" s="29">
        <v>27.47</v>
      </c>
      <c r="X808" s="26">
        <v>90917</v>
      </c>
      <c r="Y808" s="35">
        <v>62.08</v>
      </c>
      <c r="Z808" s="1" t="s">
        <v>3011</v>
      </c>
      <c r="AA808" s="36">
        <v>0.51360000000000006</v>
      </c>
      <c r="AB808" s="54">
        <v>16.481999999999999</v>
      </c>
      <c r="AC808" s="54">
        <v>1.8313333333333333</v>
      </c>
      <c r="AD808" s="36">
        <v>-175.0136</v>
      </c>
    </row>
    <row r="809" spans="1:30" s="37" customFormat="1" ht="15.75" customHeight="1" x14ac:dyDescent="0.2">
      <c r="A809" s="26">
        <v>83</v>
      </c>
      <c r="B809" s="27" t="s">
        <v>1646</v>
      </c>
      <c r="C809" s="27" t="s">
        <v>38</v>
      </c>
      <c r="D809" s="28">
        <v>0.04</v>
      </c>
      <c r="E809" s="29">
        <v>296.18</v>
      </c>
      <c r="F809" s="29">
        <v>54.12</v>
      </c>
      <c r="G809" s="30" t="s">
        <v>27</v>
      </c>
      <c r="H809" s="27" t="s">
        <v>94</v>
      </c>
      <c r="I809" s="27" t="s">
        <v>29</v>
      </c>
      <c r="J809" s="27" t="s">
        <v>30</v>
      </c>
      <c r="K809" s="27" t="s">
        <v>31</v>
      </c>
      <c r="L809" s="31" t="s">
        <v>1079</v>
      </c>
      <c r="M809" s="32">
        <v>0.76</v>
      </c>
      <c r="N809" s="27" t="s">
        <v>33</v>
      </c>
      <c r="O809" s="27" t="s">
        <v>111</v>
      </c>
      <c r="P809" s="27" t="s">
        <v>317</v>
      </c>
      <c r="Q809" s="27" t="s">
        <v>997</v>
      </c>
      <c r="R809" s="33">
        <v>44708</v>
      </c>
      <c r="S809" s="34">
        <v>42078</v>
      </c>
      <c r="T809" s="34">
        <v>42078</v>
      </c>
      <c r="U809" s="29">
        <v>-715.77820599999995</v>
      </c>
      <c r="V809" s="26">
        <v>6</v>
      </c>
      <c r="W809" s="29">
        <v>1821.89</v>
      </c>
      <c r="X809" s="26">
        <v>87365</v>
      </c>
      <c r="Y809" s="35">
        <v>13.7</v>
      </c>
      <c r="Z809" s="1" t="s">
        <v>3014</v>
      </c>
      <c r="AA809" s="36">
        <v>71.083200000000005</v>
      </c>
      <c r="AB809" s="54">
        <v>437.25360000000001</v>
      </c>
      <c r="AC809" s="54">
        <v>230.77273333333335</v>
      </c>
      <c r="AD809" s="36">
        <v>2412.4650059999999</v>
      </c>
    </row>
    <row r="810" spans="1:30" s="37" customFormat="1" ht="15.75" customHeight="1" x14ac:dyDescent="0.2">
      <c r="A810" s="26">
        <v>2356</v>
      </c>
      <c r="B810" s="27" t="s">
        <v>1659</v>
      </c>
      <c r="C810" s="27" t="s">
        <v>116</v>
      </c>
      <c r="D810" s="28">
        <v>0</v>
      </c>
      <c r="E810" s="29">
        <v>29.34</v>
      </c>
      <c r="F810" s="29">
        <v>7.87</v>
      </c>
      <c r="G810" s="30" t="s">
        <v>39</v>
      </c>
      <c r="H810" s="27" t="s">
        <v>40</v>
      </c>
      <c r="I810" s="27" t="s">
        <v>29</v>
      </c>
      <c r="J810" s="27" t="s">
        <v>126</v>
      </c>
      <c r="K810" s="27" t="s">
        <v>73</v>
      </c>
      <c r="L810" s="31" t="s">
        <v>1660</v>
      </c>
      <c r="M810" s="32">
        <v>0.54</v>
      </c>
      <c r="N810" s="27" t="s">
        <v>33</v>
      </c>
      <c r="O810" s="27" t="s">
        <v>60</v>
      </c>
      <c r="P810" s="27" t="s">
        <v>1060</v>
      </c>
      <c r="Q810" s="27" t="s">
        <v>1661</v>
      </c>
      <c r="R810" s="33">
        <v>82901</v>
      </c>
      <c r="S810" s="34">
        <v>42078</v>
      </c>
      <c r="T810" s="34">
        <v>42080</v>
      </c>
      <c r="U810" s="29">
        <v>385.37</v>
      </c>
      <c r="V810" s="26">
        <v>22</v>
      </c>
      <c r="W810" s="29">
        <v>668.38</v>
      </c>
      <c r="X810" s="26">
        <v>91305</v>
      </c>
      <c r="Y810" s="35">
        <v>296.14</v>
      </c>
      <c r="Z810" s="1" t="s">
        <v>3013</v>
      </c>
      <c r="AA810" s="36">
        <v>0</v>
      </c>
      <c r="AB810" s="54">
        <v>307.45479999999998</v>
      </c>
      <c r="AC810" s="54">
        <v>16.405690909090911</v>
      </c>
      <c r="AD810" s="36">
        <v>275.14</v>
      </c>
    </row>
    <row r="811" spans="1:30" s="37" customFormat="1" ht="15.75" customHeight="1" x14ac:dyDescent="0.2">
      <c r="A811" s="26">
        <v>1123</v>
      </c>
      <c r="B811" s="27" t="s">
        <v>1647</v>
      </c>
      <c r="C811" s="27" t="s">
        <v>38</v>
      </c>
      <c r="D811" s="28">
        <v>0.03</v>
      </c>
      <c r="E811" s="29">
        <v>7.3</v>
      </c>
      <c r="F811" s="29">
        <v>7.72</v>
      </c>
      <c r="G811" s="30" t="s">
        <v>39</v>
      </c>
      <c r="H811" s="27" t="s">
        <v>3095</v>
      </c>
      <c r="I811" s="27" t="s">
        <v>49</v>
      </c>
      <c r="J811" s="27" t="s">
        <v>72</v>
      </c>
      <c r="K811" s="27" t="s">
        <v>73</v>
      </c>
      <c r="L811" s="31" t="s">
        <v>1648</v>
      </c>
      <c r="M811" s="32">
        <v>0.38</v>
      </c>
      <c r="N811" s="27" t="s">
        <v>33</v>
      </c>
      <c r="O811" s="27" t="s">
        <v>60</v>
      </c>
      <c r="P811" s="27" t="s">
        <v>90</v>
      </c>
      <c r="Q811" s="27" t="s">
        <v>1649</v>
      </c>
      <c r="R811" s="33">
        <v>95661</v>
      </c>
      <c r="S811" s="34">
        <v>42078</v>
      </c>
      <c r="T811" s="34">
        <v>42081</v>
      </c>
      <c r="U811" s="29">
        <v>-127.05200000000001</v>
      </c>
      <c r="V811" s="26">
        <v>14</v>
      </c>
      <c r="W811" s="29">
        <v>103.61</v>
      </c>
      <c r="X811" s="26">
        <v>87015</v>
      </c>
      <c r="Y811" s="35">
        <v>7.27</v>
      </c>
      <c r="Z811" s="1" t="s">
        <v>3013</v>
      </c>
      <c r="AA811" s="36">
        <v>3.0659999999999998</v>
      </c>
      <c r="AB811" s="54">
        <v>64.238200000000006</v>
      </c>
      <c r="AC811" s="54">
        <v>2.8122714285714285</v>
      </c>
      <c r="AD811" s="36">
        <v>219.876</v>
      </c>
    </row>
    <row r="812" spans="1:30" s="37" customFormat="1" ht="15.75" customHeight="1" x14ac:dyDescent="0.2">
      <c r="A812" s="26">
        <v>724</v>
      </c>
      <c r="B812" s="27" t="s">
        <v>1653</v>
      </c>
      <c r="C812" s="27" t="s">
        <v>116</v>
      </c>
      <c r="D812" s="28">
        <v>0.09</v>
      </c>
      <c r="E812" s="29">
        <v>125.99</v>
      </c>
      <c r="F812" s="29">
        <v>8.99</v>
      </c>
      <c r="G812" s="30" t="s">
        <v>39</v>
      </c>
      <c r="H812" s="27" t="s">
        <v>40</v>
      </c>
      <c r="I812" s="27" t="s">
        <v>41</v>
      </c>
      <c r="J812" s="27" t="s">
        <v>135</v>
      </c>
      <c r="K812" s="27" t="s">
        <v>73</v>
      </c>
      <c r="L812" s="31" t="s">
        <v>1654</v>
      </c>
      <c r="M812" s="32">
        <v>0.55000000000000004</v>
      </c>
      <c r="N812" s="27" t="s">
        <v>33</v>
      </c>
      <c r="O812" s="27" t="s">
        <v>111</v>
      </c>
      <c r="P812" s="27" t="s">
        <v>248</v>
      </c>
      <c r="Q812" s="27" t="s">
        <v>1655</v>
      </c>
      <c r="R812" s="33">
        <v>6614</v>
      </c>
      <c r="S812" s="34">
        <v>42078</v>
      </c>
      <c r="T812" s="34">
        <v>42079</v>
      </c>
      <c r="U812" s="29">
        <v>-605.37400000000002</v>
      </c>
      <c r="V812" s="26">
        <v>1</v>
      </c>
      <c r="W812" s="29">
        <v>100.38</v>
      </c>
      <c r="X812" s="26">
        <v>90359</v>
      </c>
      <c r="Y812" s="35">
        <v>30.85</v>
      </c>
      <c r="Z812" s="1" t="s">
        <v>3014</v>
      </c>
      <c r="AA812" s="36">
        <v>11.339099999999998</v>
      </c>
      <c r="AB812" s="54">
        <v>45.170999999999992</v>
      </c>
      <c r="AC812" s="54">
        <v>55.209000000000003</v>
      </c>
      <c r="AD812" s="36">
        <v>685.42489999999998</v>
      </c>
    </row>
    <row r="813" spans="1:30" s="37" customFormat="1" ht="15.75" customHeight="1" x14ac:dyDescent="0.2">
      <c r="A813" s="26">
        <v>2426</v>
      </c>
      <c r="B813" s="27" t="s">
        <v>1650</v>
      </c>
      <c r="C813" s="27" t="s">
        <v>38</v>
      </c>
      <c r="D813" s="28">
        <v>0.08</v>
      </c>
      <c r="E813" s="29">
        <v>30.93</v>
      </c>
      <c r="F813" s="29">
        <v>3.92</v>
      </c>
      <c r="G813" s="30" t="s">
        <v>39</v>
      </c>
      <c r="H813" s="27" t="s">
        <v>3095</v>
      </c>
      <c r="I813" s="27" t="s">
        <v>29</v>
      </c>
      <c r="J813" s="27" t="s">
        <v>126</v>
      </c>
      <c r="K813" s="27" t="s">
        <v>43</v>
      </c>
      <c r="L813" s="31" t="s">
        <v>1651</v>
      </c>
      <c r="M813" s="32">
        <v>0.44</v>
      </c>
      <c r="N813" s="27" t="s">
        <v>33</v>
      </c>
      <c r="O813" s="27" t="s">
        <v>53</v>
      </c>
      <c r="P813" s="27" t="s">
        <v>187</v>
      </c>
      <c r="Q813" s="27" t="s">
        <v>1652</v>
      </c>
      <c r="R813" s="33">
        <v>75061</v>
      </c>
      <c r="S813" s="34">
        <v>42078</v>
      </c>
      <c r="T813" s="34">
        <v>42079</v>
      </c>
      <c r="U813" s="29">
        <v>63.059100000000001</v>
      </c>
      <c r="V813" s="26">
        <v>3</v>
      </c>
      <c r="W813" s="29">
        <v>91.39</v>
      </c>
      <c r="X813" s="26">
        <v>90859</v>
      </c>
      <c r="Y813" s="35">
        <v>125.89999999999999</v>
      </c>
      <c r="Z813" s="1" t="s">
        <v>3012</v>
      </c>
      <c r="AA813" s="36">
        <v>7.4232000000000005</v>
      </c>
      <c r="AB813" s="54">
        <v>51.178400000000003</v>
      </c>
      <c r="AC813" s="54">
        <v>13.403866666666667</v>
      </c>
      <c r="AD813" s="36">
        <v>16.987700000000004</v>
      </c>
    </row>
    <row r="814" spans="1:30" s="37" customFormat="1" ht="15.75" customHeight="1" x14ac:dyDescent="0.2">
      <c r="A814" s="26">
        <v>727</v>
      </c>
      <c r="B814" s="27" t="s">
        <v>1656</v>
      </c>
      <c r="C814" s="27" t="s">
        <v>116</v>
      </c>
      <c r="D814" s="28">
        <v>0.1</v>
      </c>
      <c r="E814" s="29">
        <v>17.98</v>
      </c>
      <c r="F814" s="29">
        <v>4</v>
      </c>
      <c r="G814" s="30" t="s">
        <v>39</v>
      </c>
      <c r="H814" s="27" t="s">
        <v>40</v>
      </c>
      <c r="I814" s="27" t="s">
        <v>41</v>
      </c>
      <c r="J814" s="27" t="s">
        <v>42</v>
      </c>
      <c r="K814" s="27" t="s">
        <v>73</v>
      </c>
      <c r="L814" s="31" t="s">
        <v>1657</v>
      </c>
      <c r="M814" s="32">
        <v>0.79</v>
      </c>
      <c r="N814" s="27" t="s">
        <v>33</v>
      </c>
      <c r="O814" s="27" t="s">
        <v>111</v>
      </c>
      <c r="P814" s="27" t="s">
        <v>331</v>
      </c>
      <c r="Q814" s="27" t="s">
        <v>1658</v>
      </c>
      <c r="R814" s="33">
        <v>4240</v>
      </c>
      <c r="S814" s="34">
        <v>42078</v>
      </c>
      <c r="T814" s="34">
        <v>42079</v>
      </c>
      <c r="U814" s="29">
        <v>-99.55</v>
      </c>
      <c r="V814" s="26">
        <v>4</v>
      </c>
      <c r="W814" s="29">
        <v>66.319999999999993</v>
      </c>
      <c r="X814" s="26">
        <v>90359</v>
      </c>
      <c r="Y814" s="35">
        <v>17.88</v>
      </c>
      <c r="Z814" s="1" t="s">
        <v>3014</v>
      </c>
      <c r="AA814" s="36">
        <v>7.1920000000000002</v>
      </c>
      <c r="AB814" s="54">
        <v>13.927199999999996</v>
      </c>
      <c r="AC814" s="54">
        <v>13.098199999999999</v>
      </c>
      <c r="AD814" s="36">
        <v>154.678</v>
      </c>
    </row>
    <row r="815" spans="1:30" s="37" customFormat="1" ht="15.75" customHeight="1" x14ac:dyDescent="0.2">
      <c r="A815" s="26">
        <v>1646</v>
      </c>
      <c r="B815" s="27" t="s">
        <v>1667</v>
      </c>
      <c r="C815" s="27" t="s">
        <v>3094</v>
      </c>
      <c r="D815" s="28">
        <v>0.06</v>
      </c>
      <c r="E815" s="29">
        <v>3.29</v>
      </c>
      <c r="F815" s="29">
        <v>1.35</v>
      </c>
      <c r="G815" s="30" t="s">
        <v>39</v>
      </c>
      <c r="H815" s="27" t="s">
        <v>3095</v>
      </c>
      <c r="I815" s="27" t="s">
        <v>49</v>
      </c>
      <c r="J815" s="27" t="s">
        <v>176</v>
      </c>
      <c r="K815" s="27" t="s">
        <v>51</v>
      </c>
      <c r="L815" s="31" t="s">
        <v>1668</v>
      </c>
      <c r="M815" s="32">
        <v>0.4</v>
      </c>
      <c r="N815" s="27" t="s">
        <v>33</v>
      </c>
      <c r="O815" s="27" t="s">
        <v>111</v>
      </c>
      <c r="P815" s="27" t="s">
        <v>112</v>
      </c>
      <c r="Q815" s="27" t="s">
        <v>1669</v>
      </c>
      <c r="R815" s="33">
        <v>11714</v>
      </c>
      <c r="S815" s="34">
        <v>42078</v>
      </c>
      <c r="T815" s="34">
        <v>42080</v>
      </c>
      <c r="U815" s="29">
        <v>8.5299999999999994</v>
      </c>
      <c r="V815" s="26">
        <v>11</v>
      </c>
      <c r="W815" s="29">
        <v>35.97</v>
      </c>
      <c r="X815" s="26">
        <v>90932</v>
      </c>
      <c r="Y815" s="35">
        <v>29.34</v>
      </c>
      <c r="Z815" s="1" t="s">
        <v>3014</v>
      </c>
      <c r="AA815" s="36">
        <v>2.1713999999999998</v>
      </c>
      <c r="AB815" s="54">
        <v>21.581999999999997</v>
      </c>
      <c r="AC815" s="54">
        <v>1.3080000000000001</v>
      </c>
      <c r="AD815" s="36">
        <v>23.918599999999998</v>
      </c>
    </row>
    <row r="816" spans="1:30" s="37" customFormat="1" ht="15.75" customHeight="1" x14ac:dyDescent="0.2">
      <c r="A816" s="26">
        <v>871</v>
      </c>
      <c r="B816" s="27" t="s">
        <v>1665</v>
      </c>
      <c r="C816" s="27" t="s">
        <v>3094</v>
      </c>
      <c r="D816" s="28">
        <v>0.03</v>
      </c>
      <c r="E816" s="29">
        <v>14.2</v>
      </c>
      <c r="F816" s="29">
        <v>5.3</v>
      </c>
      <c r="G816" s="30" t="s">
        <v>39</v>
      </c>
      <c r="H816" s="27" t="s">
        <v>71</v>
      </c>
      <c r="I816" s="27" t="s">
        <v>29</v>
      </c>
      <c r="J816" s="27" t="s">
        <v>126</v>
      </c>
      <c r="K816" s="27" t="s">
        <v>51</v>
      </c>
      <c r="L816" s="31" t="s">
        <v>288</v>
      </c>
      <c r="M816" s="32">
        <v>0.46</v>
      </c>
      <c r="N816" s="27" t="s">
        <v>33</v>
      </c>
      <c r="O816" s="27" t="s">
        <v>60</v>
      </c>
      <c r="P816" s="27" t="s">
        <v>296</v>
      </c>
      <c r="Q816" s="27" t="s">
        <v>1666</v>
      </c>
      <c r="R816" s="33">
        <v>89502</v>
      </c>
      <c r="S816" s="34">
        <v>42078</v>
      </c>
      <c r="T816" s="34">
        <v>42080</v>
      </c>
      <c r="U816" s="29">
        <v>21.555599999999998</v>
      </c>
      <c r="V816" s="26">
        <v>2</v>
      </c>
      <c r="W816" s="29">
        <v>31.24</v>
      </c>
      <c r="X816" s="26">
        <v>90577</v>
      </c>
      <c r="Y816" s="35">
        <v>1.75</v>
      </c>
      <c r="Z816" s="1" t="s">
        <v>3013</v>
      </c>
      <c r="AA816" s="36">
        <v>0.85199999999999998</v>
      </c>
      <c r="AB816" s="54">
        <v>16.869600000000002</v>
      </c>
      <c r="AC816" s="54">
        <v>7.1852</v>
      </c>
      <c r="AD816" s="36">
        <v>3.5323999999999991</v>
      </c>
    </row>
    <row r="817" spans="1:30" s="37" customFormat="1" ht="15.75" customHeight="1" x14ac:dyDescent="0.2">
      <c r="A817" s="26">
        <v>594</v>
      </c>
      <c r="B817" s="27" t="s">
        <v>1644</v>
      </c>
      <c r="C817" s="27" t="s">
        <v>26</v>
      </c>
      <c r="D817" s="28">
        <v>0.09</v>
      </c>
      <c r="E817" s="29">
        <v>13.79</v>
      </c>
      <c r="F817" s="29">
        <v>8.7799999999999994</v>
      </c>
      <c r="G817" s="30" t="s">
        <v>39</v>
      </c>
      <c r="H817" s="27" t="s">
        <v>40</v>
      </c>
      <c r="I817" s="27" t="s">
        <v>29</v>
      </c>
      <c r="J817" s="27" t="s">
        <v>126</v>
      </c>
      <c r="K817" s="27" t="s">
        <v>73</v>
      </c>
      <c r="L817" s="31" t="s">
        <v>1326</v>
      </c>
      <c r="M817" s="32">
        <v>0.43</v>
      </c>
      <c r="N817" s="27" t="s">
        <v>33</v>
      </c>
      <c r="O817" s="27" t="s">
        <v>53</v>
      </c>
      <c r="P817" s="27" t="s">
        <v>54</v>
      </c>
      <c r="Q817" s="27" t="s">
        <v>1645</v>
      </c>
      <c r="R817" s="33">
        <v>46016</v>
      </c>
      <c r="S817" s="34">
        <v>42078</v>
      </c>
      <c r="T817" s="34">
        <v>42080</v>
      </c>
      <c r="U817" s="29">
        <v>-22.12</v>
      </c>
      <c r="V817" s="26">
        <v>1</v>
      </c>
      <c r="W817" s="29">
        <v>17.440000000000001</v>
      </c>
      <c r="X817" s="26">
        <v>86309</v>
      </c>
      <c r="Y817" s="35">
        <v>14.17</v>
      </c>
      <c r="Z817" s="1" t="s">
        <v>3012</v>
      </c>
      <c r="AA817" s="36">
        <v>1.2410999999999999</v>
      </c>
      <c r="AB817" s="54">
        <v>9.9408000000000012</v>
      </c>
      <c r="AC817" s="54">
        <v>7.4992000000000001</v>
      </c>
      <c r="AD817" s="36">
        <v>29.538900000000005</v>
      </c>
    </row>
    <row r="818" spans="1:30" s="37" customFormat="1" ht="15.75" customHeight="1" x14ac:dyDescent="0.2">
      <c r="A818" s="26">
        <v>2372</v>
      </c>
      <c r="B818" s="27" t="s">
        <v>1662</v>
      </c>
      <c r="C818" s="27" t="s">
        <v>116</v>
      </c>
      <c r="D818" s="28">
        <v>0.01</v>
      </c>
      <c r="E818" s="29">
        <v>1.76</v>
      </c>
      <c r="F818" s="29">
        <v>0.7</v>
      </c>
      <c r="G818" s="30" t="s">
        <v>39</v>
      </c>
      <c r="H818" s="27" t="s">
        <v>94</v>
      </c>
      <c r="I818" s="27" t="s">
        <v>49</v>
      </c>
      <c r="J818" s="27" t="s">
        <v>50</v>
      </c>
      <c r="K818" s="27" t="s">
        <v>51</v>
      </c>
      <c r="L818" s="31" t="s">
        <v>1663</v>
      </c>
      <c r="M818" s="32">
        <v>0.56000000000000005</v>
      </c>
      <c r="N818" s="27" t="s">
        <v>33</v>
      </c>
      <c r="O818" s="27" t="s">
        <v>53</v>
      </c>
      <c r="P818" s="27" t="s">
        <v>84</v>
      </c>
      <c r="Q818" s="27" t="s">
        <v>1664</v>
      </c>
      <c r="R818" s="33">
        <v>55803</v>
      </c>
      <c r="S818" s="34">
        <v>42078</v>
      </c>
      <c r="T818" s="34">
        <v>42079</v>
      </c>
      <c r="U818" s="29">
        <v>-1.56</v>
      </c>
      <c r="V818" s="26">
        <v>4</v>
      </c>
      <c r="W818" s="29">
        <v>7.2</v>
      </c>
      <c r="X818" s="26">
        <v>90714</v>
      </c>
      <c r="Y818" s="35">
        <v>3.23</v>
      </c>
      <c r="Z818" s="1" t="s">
        <v>3012</v>
      </c>
      <c r="AA818" s="36">
        <v>7.0400000000000004E-2</v>
      </c>
      <c r="AB818" s="54">
        <v>3.1679999999999997</v>
      </c>
      <c r="AC818" s="54">
        <v>1.0080000000000002</v>
      </c>
      <c r="AD818" s="36">
        <v>7.9896000000000003</v>
      </c>
    </row>
    <row r="819" spans="1:30" s="37" customFormat="1" ht="15.75" customHeight="1" x14ac:dyDescent="0.2">
      <c r="A819" s="26">
        <v>1241</v>
      </c>
      <c r="B819" s="27" t="s">
        <v>1684</v>
      </c>
      <c r="C819" s="27" t="s">
        <v>3094</v>
      </c>
      <c r="D819" s="28">
        <v>0</v>
      </c>
      <c r="E819" s="29">
        <v>387.99</v>
      </c>
      <c r="F819" s="29">
        <v>19.989999999999998</v>
      </c>
      <c r="G819" s="30" t="s">
        <v>39</v>
      </c>
      <c r="H819" s="27" t="s">
        <v>94</v>
      </c>
      <c r="I819" s="27" t="s">
        <v>49</v>
      </c>
      <c r="J819" s="27" t="s">
        <v>72</v>
      </c>
      <c r="K819" s="27" t="s">
        <v>73</v>
      </c>
      <c r="L819" s="31" t="s">
        <v>1685</v>
      </c>
      <c r="M819" s="32">
        <v>0.38</v>
      </c>
      <c r="N819" s="27" t="s">
        <v>33</v>
      </c>
      <c r="O819" s="27" t="s">
        <v>34</v>
      </c>
      <c r="P819" s="27" t="s">
        <v>164</v>
      </c>
      <c r="Q819" s="27" t="s">
        <v>1204</v>
      </c>
      <c r="R819" s="33">
        <v>36830</v>
      </c>
      <c r="S819" s="34">
        <v>42079</v>
      </c>
      <c r="T819" s="34">
        <v>42080</v>
      </c>
      <c r="U819" s="29">
        <v>-70.14</v>
      </c>
      <c r="V819" s="26">
        <v>23</v>
      </c>
      <c r="W819" s="29">
        <v>9280.7199999999993</v>
      </c>
      <c r="X819" s="26">
        <v>90880</v>
      </c>
      <c r="Y819" s="35">
        <v>4.1900000000000004</v>
      </c>
      <c r="Z819" s="1" t="s">
        <v>3011</v>
      </c>
      <c r="AA819" s="36">
        <v>0</v>
      </c>
      <c r="AB819" s="54">
        <v>5754.0463999999993</v>
      </c>
      <c r="AC819" s="54">
        <v>153.3336347826087</v>
      </c>
      <c r="AD819" s="36">
        <v>9330.869999999999</v>
      </c>
    </row>
    <row r="820" spans="1:30" s="37" customFormat="1" ht="15.75" customHeight="1" x14ac:dyDescent="0.2">
      <c r="A820" s="26">
        <v>2157</v>
      </c>
      <c r="B820" s="27" t="s">
        <v>1681</v>
      </c>
      <c r="C820" s="27" t="s">
        <v>48</v>
      </c>
      <c r="D820" s="28">
        <v>0.05</v>
      </c>
      <c r="E820" s="29">
        <v>442.14</v>
      </c>
      <c r="F820" s="29">
        <v>14.7</v>
      </c>
      <c r="G820" s="30" t="s">
        <v>27</v>
      </c>
      <c r="H820" s="27" t="s">
        <v>71</v>
      </c>
      <c r="I820" s="27" t="s">
        <v>41</v>
      </c>
      <c r="J820" s="27" t="s">
        <v>57</v>
      </c>
      <c r="K820" s="27" t="s">
        <v>58</v>
      </c>
      <c r="L820" s="31" t="s">
        <v>1312</v>
      </c>
      <c r="M820" s="32">
        <v>0.56000000000000005</v>
      </c>
      <c r="N820" s="27" t="s">
        <v>33</v>
      </c>
      <c r="O820" s="27" t="s">
        <v>53</v>
      </c>
      <c r="P820" s="27" t="s">
        <v>289</v>
      </c>
      <c r="Q820" s="27" t="s">
        <v>1683</v>
      </c>
      <c r="R820" s="33">
        <v>48093</v>
      </c>
      <c r="S820" s="34">
        <v>42079</v>
      </c>
      <c r="T820" s="34">
        <v>42088</v>
      </c>
      <c r="U820" s="29">
        <v>2963.48</v>
      </c>
      <c r="V820" s="26">
        <v>14</v>
      </c>
      <c r="W820" s="29">
        <v>5880.46</v>
      </c>
      <c r="X820" s="26">
        <v>90385</v>
      </c>
      <c r="Y820" s="35">
        <v>15.65</v>
      </c>
      <c r="Z820" s="1" t="s">
        <v>3012</v>
      </c>
      <c r="AA820" s="36">
        <v>309.49799999999999</v>
      </c>
      <c r="AB820" s="54">
        <v>2587.4023999999995</v>
      </c>
      <c r="AC820" s="54">
        <v>235.21840000000003</v>
      </c>
      <c r="AD820" s="36">
        <v>2592.7820000000002</v>
      </c>
    </row>
    <row r="821" spans="1:30" s="37" customFormat="1" ht="15.75" customHeight="1" x14ac:dyDescent="0.2">
      <c r="A821" s="26">
        <v>145</v>
      </c>
      <c r="B821" s="27" t="s">
        <v>528</v>
      </c>
      <c r="C821" s="27" t="s">
        <v>48</v>
      </c>
      <c r="D821" s="28">
        <v>7.0000000000000007E-2</v>
      </c>
      <c r="E821" s="29">
        <v>154.13</v>
      </c>
      <c r="F821" s="29">
        <v>69</v>
      </c>
      <c r="G821" s="30" t="s">
        <v>87</v>
      </c>
      <c r="H821" s="27" t="s">
        <v>71</v>
      </c>
      <c r="I821" s="27" t="s">
        <v>29</v>
      </c>
      <c r="J821" s="27" t="s">
        <v>30</v>
      </c>
      <c r="K821" s="27" t="s">
        <v>65</v>
      </c>
      <c r="L821" s="31" t="s">
        <v>924</v>
      </c>
      <c r="M821" s="32">
        <v>0.68</v>
      </c>
      <c r="N821" s="27" t="s">
        <v>33</v>
      </c>
      <c r="O821" s="27" t="s">
        <v>111</v>
      </c>
      <c r="P821" s="27" t="s">
        <v>320</v>
      </c>
      <c r="Q821" s="27" t="s">
        <v>530</v>
      </c>
      <c r="R821" s="33">
        <v>15122</v>
      </c>
      <c r="S821" s="34">
        <v>42079</v>
      </c>
      <c r="T821" s="34">
        <v>42079</v>
      </c>
      <c r="U821" s="29">
        <v>-634.73410000000001</v>
      </c>
      <c r="V821" s="26">
        <v>3</v>
      </c>
      <c r="W821" s="29">
        <v>453.62</v>
      </c>
      <c r="X821" s="26">
        <v>91089</v>
      </c>
      <c r="Y821" s="35">
        <v>68.73</v>
      </c>
      <c r="Z821" s="1" t="s">
        <v>3014</v>
      </c>
      <c r="AA821" s="36">
        <v>32.3673</v>
      </c>
      <c r="AB821" s="54">
        <v>145.15839999999997</v>
      </c>
      <c r="AC821" s="54">
        <v>102.82053333333334</v>
      </c>
      <c r="AD821" s="36">
        <v>986.98680000000002</v>
      </c>
    </row>
    <row r="822" spans="1:30" s="37" customFormat="1" ht="15.75" customHeight="1" x14ac:dyDescent="0.2">
      <c r="A822" s="26">
        <v>2323</v>
      </c>
      <c r="B822" s="27" t="s">
        <v>1675</v>
      </c>
      <c r="C822" s="27" t="s">
        <v>38</v>
      </c>
      <c r="D822" s="28">
        <v>0.08</v>
      </c>
      <c r="E822" s="29">
        <v>68.81</v>
      </c>
      <c r="F822" s="29">
        <v>60</v>
      </c>
      <c r="G822" s="30" t="s">
        <v>27</v>
      </c>
      <c r="H822" s="27" t="s">
        <v>3095</v>
      </c>
      <c r="I822" s="27" t="s">
        <v>49</v>
      </c>
      <c r="J822" s="27" t="s">
        <v>95</v>
      </c>
      <c r="K822" s="27" t="s">
        <v>58</v>
      </c>
      <c r="L822" s="31" t="s">
        <v>1676</v>
      </c>
      <c r="M822" s="32">
        <v>0.41</v>
      </c>
      <c r="N822" s="27" t="s">
        <v>33</v>
      </c>
      <c r="O822" s="27" t="s">
        <v>60</v>
      </c>
      <c r="P822" s="27" t="s">
        <v>90</v>
      </c>
      <c r="Q822" s="27" t="s">
        <v>1214</v>
      </c>
      <c r="R822" s="33">
        <v>92236</v>
      </c>
      <c r="S822" s="34">
        <v>42079</v>
      </c>
      <c r="T822" s="34">
        <v>42080</v>
      </c>
      <c r="U822" s="29">
        <v>-550.42999999999995</v>
      </c>
      <c r="V822" s="26">
        <v>5</v>
      </c>
      <c r="W822" s="29">
        <v>337.86</v>
      </c>
      <c r="X822" s="26">
        <v>88721</v>
      </c>
      <c r="Y822" s="35">
        <v>21.34</v>
      </c>
      <c r="Z822" s="1" t="s">
        <v>3013</v>
      </c>
      <c r="AA822" s="36">
        <v>27.524000000000001</v>
      </c>
      <c r="AB822" s="54">
        <v>199.33740000000003</v>
      </c>
      <c r="AC822" s="54">
        <v>27.704519999999999</v>
      </c>
      <c r="AD822" s="36">
        <v>800.76599999999996</v>
      </c>
    </row>
    <row r="823" spans="1:30" s="37" customFormat="1" ht="15.75" customHeight="1" x14ac:dyDescent="0.2">
      <c r="A823" s="26">
        <v>1068</v>
      </c>
      <c r="B823" s="27" t="s">
        <v>1678</v>
      </c>
      <c r="C823" s="27" t="s">
        <v>48</v>
      </c>
      <c r="D823" s="28">
        <v>0.04</v>
      </c>
      <c r="E823" s="29">
        <v>22.84</v>
      </c>
      <c r="F823" s="29">
        <v>16.87</v>
      </c>
      <c r="G823" s="30" t="s">
        <v>39</v>
      </c>
      <c r="H823" s="27" t="s">
        <v>71</v>
      </c>
      <c r="I823" s="27" t="s">
        <v>49</v>
      </c>
      <c r="J823" s="27" t="s">
        <v>88</v>
      </c>
      <c r="K823" s="27" t="s">
        <v>73</v>
      </c>
      <c r="L823" s="31" t="s">
        <v>1679</v>
      </c>
      <c r="M823" s="32">
        <v>0.39</v>
      </c>
      <c r="N823" s="27" t="s">
        <v>33</v>
      </c>
      <c r="O823" s="27" t="s">
        <v>53</v>
      </c>
      <c r="P823" s="27" t="s">
        <v>103</v>
      </c>
      <c r="Q823" s="27" t="s">
        <v>1680</v>
      </c>
      <c r="R823" s="33">
        <v>60409</v>
      </c>
      <c r="S823" s="34">
        <v>42079</v>
      </c>
      <c r="T823" s="34">
        <v>42079</v>
      </c>
      <c r="U823" s="29">
        <v>-97.28</v>
      </c>
      <c r="V823" s="26">
        <v>12</v>
      </c>
      <c r="W823" s="29">
        <v>286.39999999999998</v>
      </c>
      <c r="X823" s="26">
        <v>87109</v>
      </c>
      <c r="Y823" s="35">
        <v>154.06</v>
      </c>
      <c r="Z823" s="1" t="s">
        <v>3012</v>
      </c>
      <c r="AA823" s="36">
        <v>10.963200000000001</v>
      </c>
      <c r="AB823" s="54">
        <v>174.70399999999998</v>
      </c>
      <c r="AC823" s="54">
        <v>9.3079999999999998</v>
      </c>
      <c r="AD823" s="36">
        <v>355.84679999999997</v>
      </c>
    </row>
    <row r="824" spans="1:30" s="37" customFormat="1" ht="15.75" customHeight="1" x14ac:dyDescent="0.2">
      <c r="A824" s="26">
        <v>2157</v>
      </c>
      <c r="B824" s="27" t="s">
        <v>1681</v>
      </c>
      <c r="C824" s="27" t="s">
        <v>48</v>
      </c>
      <c r="D824" s="28">
        <v>0.05</v>
      </c>
      <c r="E824" s="29">
        <v>55.5</v>
      </c>
      <c r="F824" s="29">
        <v>52.2</v>
      </c>
      <c r="G824" s="30" t="s">
        <v>39</v>
      </c>
      <c r="H824" s="27" t="s">
        <v>71</v>
      </c>
      <c r="I824" s="27" t="s">
        <v>29</v>
      </c>
      <c r="J824" s="27" t="s">
        <v>126</v>
      </c>
      <c r="K824" s="27" t="s">
        <v>144</v>
      </c>
      <c r="L824" s="31" t="s">
        <v>1682</v>
      </c>
      <c r="M824" s="32">
        <v>0.72</v>
      </c>
      <c r="N824" s="27" t="s">
        <v>33</v>
      </c>
      <c r="O824" s="27" t="s">
        <v>53</v>
      </c>
      <c r="P824" s="27" t="s">
        <v>289</v>
      </c>
      <c r="Q824" s="27" t="s">
        <v>1683</v>
      </c>
      <c r="R824" s="33">
        <v>48093</v>
      </c>
      <c r="S824" s="34">
        <v>42079</v>
      </c>
      <c r="T824" s="34">
        <v>42079</v>
      </c>
      <c r="U824" s="29">
        <v>-118.54</v>
      </c>
      <c r="V824" s="26">
        <v>4</v>
      </c>
      <c r="W824" s="29">
        <v>253.87</v>
      </c>
      <c r="X824" s="26">
        <v>90385</v>
      </c>
      <c r="Y824" s="35">
        <v>22.8</v>
      </c>
      <c r="Z824" s="1" t="s">
        <v>3012</v>
      </c>
      <c r="AA824" s="36">
        <v>11.100000000000001</v>
      </c>
      <c r="AB824" s="54">
        <v>71.083600000000004</v>
      </c>
      <c r="AC824" s="54">
        <v>45.696599999999997</v>
      </c>
      <c r="AD824" s="36">
        <v>309.11</v>
      </c>
    </row>
    <row r="825" spans="1:30" s="37" customFormat="1" ht="15.75" customHeight="1" x14ac:dyDescent="0.2">
      <c r="A825" s="26">
        <v>2323</v>
      </c>
      <c r="B825" s="27" t="s">
        <v>1675</v>
      </c>
      <c r="C825" s="27" t="s">
        <v>38</v>
      </c>
      <c r="D825" s="28">
        <v>0.04</v>
      </c>
      <c r="E825" s="29">
        <v>21.38</v>
      </c>
      <c r="F825" s="29">
        <v>8.99</v>
      </c>
      <c r="G825" s="30" t="s">
        <v>39</v>
      </c>
      <c r="H825" s="27" t="s">
        <v>3095</v>
      </c>
      <c r="I825" s="27" t="s">
        <v>49</v>
      </c>
      <c r="J825" s="27" t="s">
        <v>50</v>
      </c>
      <c r="K825" s="27" t="s">
        <v>43</v>
      </c>
      <c r="L825" s="31" t="s">
        <v>1677</v>
      </c>
      <c r="M825" s="32">
        <v>0.59</v>
      </c>
      <c r="N825" s="27" t="s">
        <v>33</v>
      </c>
      <c r="O825" s="27" t="s">
        <v>60</v>
      </c>
      <c r="P825" s="27" t="s">
        <v>90</v>
      </c>
      <c r="Q825" s="27" t="s">
        <v>1214</v>
      </c>
      <c r="R825" s="33">
        <v>92236</v>
      </c>
      <c r="S825" s="34">
        <v>42079</v>
      </c>
      <c r="T825" s="34">
        <v>42081</v>
      </c>
      <c r="U825" s="29">
        <v>-52.12</v>
      </c>
      <c r="V825" s="26">
        <v>4</v>
      </c>
      <c r="W825" s="29">
        <v>84.21</v>
      </c>
      <c r="X825" s="26">
        <v>88721</v>
      </c>
      <c r="Y825" s="35">
        <v>55.45</v>
      </c>
      <c r="Z825" s="1" t="s">
        <v>3013</v>
      </c>
      <c r="AA825" s="36">
        <v>3.4207999999999998</v>
      </c>
      <c r="AB825" s="54">
        <v>34.5261</v>
      </c>
      <c r="AC825" s="54">
        <v>12.420974999999999</v>
      </c>
      <c r="AD825" s="36">
        <v>123.91919999999999</v>
      </c>
    </row>
    <row r="826" spans="1:30" s="37" customFormat="1" ht="15.75" customHeight="1" x14ac:dyDescent="0.2">
      <c r="A826" s="26">
        <v>2272</v>
      </c>
      <c r="B826" s="27" t="s">
        <v>1673</v>
      </c>
      <c r="C826" s="27" t="s">
        <v>38</v>
      </c>
      <c r="D826" s="28">
        <v>0.08</v>
      </c>
      <c r="E826" s="29">
        <v>15.73</v>
      </c>
      <c r="F826" s="29">
        <v>7.42</v>
      </c>
      <c r="G826" s="30" t="s">
        <v>87</v>
      </c>
      <c r="H826" s="27" t="s">
        <v>94</v>
      </c>
      <c r="I826" s="27" t="s">
        <v>49</v>
      </c>
      <c r="J826" s="27" t="s">
        <v>568</v>
      </c>
      <c r="K826" s="27" t="s">
        <v>43</v>
      </c>
      <c r="L826" s="31" t="s">
        <v>955</v>
      </c>
      <c r="M826" s="32">
        <v>0.56000000000000005</v>
      </c>
      <c r="N826" s="27" t="s">
        <v>33</v>
      </c>
      <c r="O826" s="27" t="s">
        <v>53</v>
      </c>
      <c r="P826" s="27" t="s">
        <v>187</v>
      </c>
      <c r="Q826" s="27" t="s">
        <v>1674</v>
      </c>
      <c r="R826" s="33">
        <v>76543</v>
      </c>
      <c r="S826" s="34">
        <v>42079</v>
      </c>
      <c r="T826" s="34">
        <v>42081</v>
      </c>
      <c r="U826" s="29">
        <v>-37.6</v>
      </c>
      <c r="V826" s="26">
        <v>5</v>
      </c>
      <c r="W826" s="29">
        <v>78.08</v>
      </c>
      <c r="X826" s="26">
        <v>90110</v>
      </c>
      <c r="Y826" s="35">
        <v>442.09</v>
      </c>
      <c r="Z826" s="1" t="s">
        <v>3012</v>
      </c>
      <c r="AA826" s="36">
        <v>6.2919999999999998</v>
      </c>
      <c r="AB826" s="54">
        <v>34.355199999999996</v>
      </c>
      <c r="AC826" s="54">
        <v>8.7449600000000007</v>
      </c>
      <c r="AD826" s="36">
        <v>101.96799999999999</v>
      </c>
    </row>
    <row r="827" spans="1:30" s="37" customFormat="1" ht="15.75" customHeight="1" x14ac:dyDescent="0.2">
      <c r="A827" s="26">
        <v>853</v>
      </c>
      <c r="B827" s="27" t="s">
        <v>1670</v>
      </c>
      <c r="C827" s="27" t="s">
        <v>38</v>
      </c>
      <c r="D827" s="28">
        <v>0.05</v>
      </c>
      <c r="E827" s="29">
        <v>4.24</v>
      </c>
      <c r="F827" s="29">
        <v>5.41</v>
      </c>
      <c r="G827" s="30" t="s">
        <v>39</v>
      </c>
      <c r="H827" s="27" t="s">
        <v>3095</v>
      </c>
      <c r="I827" s="27" t="s">
        <v>49</v>
      </c>
      <c r="J827" s="27" t="s">
        <v>72</v>
      </c>
      <c r="K827" s="27" t="s">
        <v>73</v>
      </c>
      <c r="L827" s="31" t="s">
        <v>1671</v>
      </c>
      <c r="M827" s="32">
        <v>0.35</v>
      </c>
      <c r="N827" s="27" t="s">
        <v>33</v>
      </c>
      <c r="O827" s="27" t="s">
        <v>60</v>
      </c>
      <c r="P827" s="27" t="s">
        <v>90</v>
      </c>
      <c r="Q827" s="27" t="s">
        <v>1672</v>
      </c>
      <c r="R827" s="33">
        <v>92345</v>
      </c>
      <c r="S827" s="34">
        <v>42079</v>
      </c>
      <c r="T827" s="34">
        <v>42081</v>
      </c>
      <c r="U827" s="29">
        <v>-89.216999999999999</v>
      </c>
      <c r="V827" s="26">
        <v>12</v>
      </c>
      <c r="W827" s="29">
        <v>50.83</v>
      </c>
      <c r="X827" s="26">
        <v>88570</v>
      </c>
      <c r="Y827" s="35">
        <v>387.99</v>
      </c>
      <c r="Z827" s="1" t="s">
        <v>3013</v>
      </c>
      <c r="AA827" s="36">
        <v>2.5440000000000005</v>
      </c>
      <c r="AB827" s="54">
        <v>33.039499999999997</v>
      </c>
      <c r="AC827" s="54">
        <v>1.4825416666666664</v>
      </c>
      <c r="AD827" s="36">
        <v>132.09300000000002</v>
      </c>
    </row>
    <row r="828" spans="1:30" s="37" customFormat="1" ht="15.75" customHeight="1" x14ac:dyDescent="0.2">
      <c r="A828" s="26">
        <v>1711</v>
      </c>
      <c r="B828" s="27" t="s">
        <v>1686</v>
      </c>
      <c r="C828" s="27" t="s">
        <v>3094</v>
      </c>
      <c r="D828" s="28">
        <v>7.0000000000000007E-2</v>
      </c>
      <c r="E828" s="29">
        <v>7.59</v>
      </c>
      <c r="F828" s="29">
        <v>4</v>
      </c>
      <c r="G828" s="30" t="s">
        <v>39</v>
      </c>
      <c r="H828" s="27" t="s">
        <v>94</v>
      </c>
      <c r="I828" s="27" t="s">
        <v>29</v>
      </c>
      <c r="J828" s="27" t="s">
        <v>126</v>
      </c>
      <c r="K828" s="27" t="s">
        <v>51</v>
      </c>
      <c r="L828" s="31" t="s">
        <v>1687</v>
      </c>
      <c r="M828" s="32">
        <v>0.42</v>
      </c>
      <c r="N828" s="27" t="s">
        <v>33</v>
      </c>
      <c r="O828" s="27" t="s">
        <v>34</v>
      </c>
      <c r="P828" s="27" t="s">
        <v>75</v>
      </c>
      <c r="Q828" s="27" t="s">
        <v>1688</v>
      </c>
      <c r="R828" s="33">
        <v>30062</v>
      </c>
      <c r="S828" s="34">
        <v>42079</v>
      </c>
      <c r="T828" s="34">
        <v>42081</v>
      </c>
      <c r="U828" s="29">
        <v>-167.048</v>
      </c>
      <c r="V828" s="26">
        <v>3</v>
      </c>
      <c r="W828" s="29">
        <v>22.48</v>
      </c>
      <c r="X828" s="26">
        <v>87747</v>
      </c>
      <c r="Y828" s="35">
        <v>7.52</v>
      </c>
      <c r="Z828" s="1" t="s">
        <v>3011</v>
      </c>
      <c r="AA828" s="36">
        <v>1.5939000000000001</v>
      </c>
      <c r="AB828" s="54">
        <v>13.038400000000001</v>
      </c>
      <c r="AC828" s="54">
        <v>3.1471999999999998</v>
      </c>
      <c r="AD828" s="36">
        <v>183.9341</v>
      </c>
    </row>
    <row r="829" spans="1:30" s="37" customFormat="1" ht="15.75" customHeight="1" x14ac:dyDescent="0.2">
      <c r="A829" s="26">
        <v>2030</v>
      </c>
      <c r="B829" s="27" t="s">
        <v>1689</v>
      </c>
      <c r="C829" s="27" t="s">
        <v>26</v>
      </c>
      <c r="D829" s="28">
        <v>0</v>
      </c>
      <c r="E829" s="29">
        <v>195.99</v>
      </c>
      <c r="F829" s="29">
        <v>4.2</v>
      </c>
      <c r="G829" s="30" t="s">
        <v>39</v>
      </c>
      <c r="H829" s="27" t="s">
        <v>94</v>
      </c>
      <c r="I829" s="27" t="s">
        <v>41</v>
      </c>
      <c r="J829" s="27" t="s">
        <v>135</v>
      </c>
      <c r="K829" s="27" t="s">
        <v>73</v>
      </c>
      <c r="L829" s="31" t="s">
        <v>1691</v>
      </c>
      <c r="M829" s="32">
        <v>0.6</v>
      </c>
      <c r="N829" s="27" t="s">
        <v>33</v>
      </c>
      <c r="O829" s="27" t="s">
        <v>53</v>
      </c>
      <c r="P829" s="27" t="s">
        <v>187</v>
      </c>
      <c r="Q829" s="27" t="s">
        <v>1027</v>
      </c>
      <c r="R829" s="33">
        <v>75401</v>
      </c>
      <c r="S829" s="34">
        <v>42080</v>
      </c>
      <c r="T829" s="34">
        <v>42082</v>
      </c>
      <c r="U829" s="29">
        <v>1585.5029999999999</v>
      </c>
      <c r="V829" s="26">
        <v>16</v>
      </c>
      <c r="W829" s="29">
        <v>2692.12</v>
      </c>
      <c r="X829" s="26">
        <v>91059</v>
      </c>
      <c r="Y829" s="35">
        <v>120.92999999999999</v>
      </c>
      <c r="Z829" s="1" t="s">
        <v>3012</v>
      </c>
      <c r="AA829" s="36">
        <v>0</v>
      </c>
      <c r="AB829" s="54">
        <v>1076.848</v>
      </c>
      <c r="AC829" s="54">
        <v>100.9545</v>
      </c>
      <c r="AD829" s="36">
        <v>1102.4169999999999</v>
      </c>
    </row>
    <row r="830" spans="1:30" s="37" customFormat="1" ht="15.75" customHeight="1" x14ac:dyDescent="0.2">
      <c r="A830" s="26">
        <v>2030</v>
      </c>
      <c r="B830" s="27" t="s">
        <v>1689</v>
      </c>
      <c r="C830" s="27" t="s">
        <v>26</v>
      </c>
      <c r="D830" s="28">
        <v>0.04</v>
      </c>
      <c r="E830" s="29">
        <v>120.97</v>
      </c>
      <c r="F830" s="29">
        <v>7.11</v>
      </c>
      <c r="G830" s="30" t="s">
        <v>39</v>
      </c>
      <c r="H830" s="27" t="s">
        <v>94</v>
      </c>
      <c r="I830" s="27" t="s">
        <v>41</v>
      </c>
      <c r="J830" s="27" t="s">
        <v>57</v>
      </c>
      <c r="K830" s="27" t="s">
        <v>144</v>
      </c>
      <c r="L830" s="31" t="s">
        <v>1690</v>
      </c>
      <c r="M830" s="32">
        <v>0.36</v>
      </c>
      <c r="N830" s="27" t="s">
        <v>33</v>
      </c>
      <c r="O830" s="27" t="s">
        <v>53</v>
      </c>
      <c r="P830" s="27" t="s">
        <v>187</v>
      </c>
      <c r="Q830" s="27" t="s">
        <v>1027</v>
      </c>
      <c r="R830" s="33">
        <v>75401</v>
      </c>
      <c r="S830" s="34">
        <v>42080</v>
      </c>
      <c r="T830" s="34">
        <v>42080</v>
      </c>
      <c r="U830" s="29">
        <v>1320.5496000000001</v>
      </c>
      <c r="V830" s="26">
        <v>16</v>
      </c>
      <c r="W830" s="29">
        <v>1913.84</v>
      </c>
      <c r="X830" s="26">
        <v>91059</v>
      </c>
      <c r="Y830" s="35">
        <v>195.99</v>
      </c>
      <c r="Z830" s="1" t="s">
        <v>3012</v>
      </c>
      <c r="AA830" s="36">
        <v>77.4208</v>
      </c>
      <c r="AB830" s="54">
        <v>1224.8576</v>
      </c>
      <c r="AC830" s="54">
        <v>43.061399999999999</v>
      </c>
      <c r="AD830" s="36">
        <v>508.75959999999986</v>
      </c>
    </row>
    <row r="831" spans="1:30" s="37" customFormat="1" ht="15.75" customHeight="1" x14ac:dyDescent="0.2">
      <c r="A831" s="26">
        <v>2647</v>
      </c>
      <c r="B831" s="27" t="s">
        <v>1692</v>
      </c>
      <c r="C831" s="27" t="s">
        <v>48</v>
      </c>
      <c r="D831" s="28">
        <v>0.01</v>
      </c>
      <c r="E831" s="29">
        <v>39.979999999999997</v>
      </c>
      <c r="F831" s="29">
        <v>9.1999999999999993</v>
      </c>
      <c r="G831" s="30" t="s">
        <v>39</v>
      </c>
      <c r="H831" s="27" t="s">
        <v>94</v>
      </c>
      <c r="I831" s="27" t="s">
        <v>29</v>
      </c>
      <c r="J831" s="27" t="s">
        <v>126</v>
      </c>
      <c r="K831" s="27" t="s">
        <v>51</v>
      </c>
      <c r="L831" s="31" t="s">
        <v>1695</v>
      </c>
      <c r="M831" s="32">
        <v>0.65</v>
      </c>
      <c r="N831" s="27" t="s">
        <v>33</v>
      </c>
      <c r="O831" s="27" t="s">
        <v>60</v>
      </c>
      <c r="P831" s="27" t="s">
        <v>90</v>
      </c>
      <c r="Q831" s="27" t="s">
        <v>1694</v>
      </c>
      <c r="R831" s="33">
        <v>93309</v>
      </c>
      <c r="S831" s="34">
        <v>42080</v>
      </c>
      <c r="T831" s="34">
        <v>42082</v>
      </c>
      <c r="U831" s="29">
        <v>117.52079999999999</v>
      </c>
      <c r="V831" s="26">
        <v>4</v>
      </c>
      <c r="W831" s="29">
        <v>170.32</v>
      </c>
      <c r="X831" s="26">
        <v>91386</v>
      </c>
      <c r="Y831" s="35">
        <v>10.88</v>
      </c>
      <c r="Z831" s="1" t="s">
        <v>3013</v>
      </c>
      <c r="AA831" s="36">
        <v>1.5992</v>
      </c>
      <c r="AB831" s="54">
        <v>59.611999999999995</v>
      </c>
      <c r="AC831" s="54">
        <v>27.677</v>
      </c>
      <c r="AD831" s="36">
        <v>42</v>
      </c>
    </row>
    <row r="832" spans="1:30" s="37" customFormat="1" ht="15.75" customHeight="1" x14ac:dyDescent="0.2">
      <c r="A832" s="26">
        <v>3001</v>
      </c>
      <c r="B832" s="27" t="s">
        <v>1702</v>
      </c>
      <c r="C832" s="27" t="s">
        <v>3094</v>
      </c>
      <c r="D832" s="28">
        <v>0.03</v>
      </c>
      <c r="E832" s="29">
        <v>5.4</v>
      </c>
      <c r="F832" s="29">
        <v>7.78</v>
      </c>
      <c r="G832" s="30" t="s">
        <v>39</v>
      </c>
      <c r="H832" s="27" t="s">
        <v>40</v>
      </c>
      <c r="I832" s="27" t="s">
        <v>49</v>
      </c>
      <c r="J832" s="27" t="s">
        <v>72</v>
      </c>
      <c r="K832" s="27" t="s">
        <v>73</v>
      </c>
      <c r="L832" s="31" t="s">
        <v>1484</v>
      </c>
      <c r="M832" s="32">
        <v>0.37</v>
      </c>
      <c r="N832" s="27" t="s">
        <v>33</v>
      </c>
      <c r="O832" s="27" t="s">
        <v>53</v>
      </c>
      <c r="P832" s="27" t="s">
        <v>289</v>
      </c>
      <c r="Q832" s="27" t="s">
        <v>1536</v>
      </c>
      <c r="R832" s="33">
        <v>48060</v>
      </c>
      <c r="S832" s="34">
        <v>42080</v>
      </c>
      <c r="T832" s="34">
        <v>42082</v>
      </c>
      <c r="U832" s="29">
        <v>-237.54400000000001</v>
      </c>
      <c r="V832" s="26">
        <v>21</v>
      </c>
      <c r="W832" s="29">
        <v>117.87</v>
      </c>
      <c r="X832" s="26">
        <v>87043</v>
      </c>
      <c r="Y832" s="35">
        <v>39.97</v>
      </c>
      <c r="Z832" s="1" t="s">
        <v>3012</v>
      </c>
      <c r="AA832" s="36">
        <v>3.4020000000000001</v>
      </c>
      <c r="AB832" s="54">
        <v>74.258099999999999</v>
      </c>
      <c r="AC832" s="54">
        <v>2.0767571428571427</v>
      </c>
      <c r="AD832" s="36">
        <v>344.23200000000003</v>
      </c>
    </row>
    <row r="833" spans="1:30" s="37" customFormat="1" ht="15.75" customHeight="1" x14ac:dyDescent="0.2">
      <c r="A833" s="26">
        <v>339</v>
      </c>
      <c r="B833" s="27" t="s">
        <v>1696</v>
      </c>
      <c r="C833" s="27" t="s">
        <v>116</v>
      </c>
      <c r="D833" s="28">
        <v>7.0000000000000007E-2</v>
      </c>
      <c r="E833" s="29">
        <v>7.59</v>
      </c>
      <c r="F833" s="29">
        <v>4</v>
      </c>
      <c r="G833" s="30" t="s">
        <v>39</v>
      </c>
      <c r="H833" s="27" t="s">
        <v>94</v>
      </c>
      <c r="I833" s="27" t="s">
        <v>29</v>
      </c>
      <c r="J833" s="27" t="s">
        <v>126</v>
      </c>
      <c r="K833" s="27" t="s">
        <v>51</v>
      </c>
      <c r="L833" s="31" t="s">
        <v>1687</v>
      </c>
      <c r="M833" s="32">
        <v>0.42</v>
      </c>
      <c r="N833" s="27" t="s">
        <v>33</v>
      </c>
      <c r="O833" s="27" t="s">
        <v>111</v>
      </c>
      <c r="P833" s="27" t="s">
        <v>317</v>
      </c>
      <c r="Q833" s="27" t="s">
        <v>1483</v>
      </c>
      <c r="R833" s="33">
        <v>43229</v>
      </c>
      <c r="S833" s="34">
        <v>42080</v>
      </c>
      <c r="T833" s="34">
        <v>42082</v>
      </c>
      <c r="U833" s="29">
        <v>24.39</v>
      </c>
      <c r="V833" s="26">
        <v>15</v>
      </c>
      <c r="W833" s="29">
        <v>111.88</v>
      </c>
      <c r="X833" s="26">
        <v>90583</v>
      </c>
      <c r="Y833" s="35">
        <v>7.6899999999999995</v>
      </c>
      <c r="Z833" s="1" t="s">
        <v>3014</v>
      </c>
      <c r="AA833" s="36">
        <v>7.9695</v>
      </c>
      <c r="AB833" s="54">
        <v>64.8904</v>
      </c>
      <c r="AC833" s="54">
        <v>3.1326399999999999</v>
      </c>
      <c r="AD833" s="36">
        <v>75.520499999999998</v>
      </c>
    </row>
    <row r="834" spans="1:30" s="37" customFormat="1" ht="15.75" customHeight="1" x14ac:dyDescent="0.2">
      <c r="A834" s="26">
        <v>1808</v>
      </c>
      <c r="B834" s="27" t="s">
        <v>1697</v>
      </c>
      <c r="C834" s="27" t="s">
        <v>116</v>
      </c>
      <c r="D834" s="28">
        <v>0.01</v>
      </c>
      <c r="E834" s="29">
        <v>8.1199999999999992</v>
      </c>
      <c r="F834" s="29">
        <v>2.83</v>
      </c>
      <c r="G834" s="30" t="s">
        <v>87</v>
      </c>
      <c r="H834" s="27" t="s">
        <v>71</v>
      </c>
      <c r="I834" s="27" t="s">
        <v>41</v>
      </c>
      <c r="J834" s="27" t="s">
        <v>42</v>
      </c>
      <c r="K834" s="27" t="s">
        <v>43</v>
      </c>
      <c r="L834" s="31" t="s">
        <v>1698</v>
      </c>
      <c r="M834" s="32">
        <v>0.77</v>
      </c>
      <c r="N834" s="27" t="s">
        <v>33</v>
      </c>
      <c r="O834" s="27" t="s">
        <v>111</v>
      </c>
      <c r="P834" s="27" t="s">
        <v>903</v>
      </c>
      <c r="Q834" s="27" t="s">
        <v>1699</v>
      </c>
      <c r="R834" s="33">
        <v>26101</v>
      </c>
      <c r="S834" s="34">
        <v>42080</v>
      </c>
      <c r="T834" s="34">
        <v>42081</v>
      </c>
      <c r="U834" s="29">
        <v>-40.76</v>
      </c>
      <c r="V834" s="26">
        <v>10</v>
      </c>
      <c r="W834" s="29">
        <v>88.64</v>
      </c>
      <c r="X834" s="26">
        <v>89251</v>
      </c>
      <c r="Y834" s="35">
        <v>7.52</v>
      </c>
      <c r="Z834" s="1" t="s">
        <v>3014</v>
      </c>
      <c r="AA834" s="36">
        <v>0.81199999999999994</v>
      </c>
      <c r="AB834" s="54">
        <v>20.3872</v>
      </c>
      <c r="AC834" s="54">
        <v>6.8252800000000011</v>
      </c>
      <c r="AD834" s="36">
        <v>125.75800000000001</v>
      </c>
    </row>
    <row r="835" spans="1:30" s="37" customFormat="1" ht="15.75" customHeight="1" x14ac:dyDescent="0.2">
      <c r="A835" s="26">
        <v>1364</v>
      </c>
      <c r="B835" s="27" t="s">
        <v>1700</v>
      </c>
      <c r="C835" s="27" t="s">
        <v>3094</v>
      </c>
      <c r="D835" s="28">
        <v>0.1</v>
      </c>
      <c r="E835" s="29">
        <v>5.98</v>
      </c>
      <c r="F835" s="29">
        <v>5.35</v>
      </c>
      <c r="G835" s="30" t="s">
        <v>39</v>
      </c>
      <c r="H835" s="27" t="s">
        <v>71</v>
      </c>
      <c r="I835" s="27" t="s">
        <v>49</v>
      </c>
      <c r="J835" s="27" t="s">
        <v>88</v>
      </c>
      <c r="K835" s="27" t="s">
        <v>73</v>
      </c>
      <c r="L835" s="31" t="s">
        <v>809</v>
      </c>
      <c r="M835" s="32">
        <v>0.4</v>
      </c>
      <c r="N835" s="27" t="s">
        <v>33</v>
      </c>
      <c r="O835" s="27" t="s">
        <v>111</v>
      </c>
      <c r="P835" s="27" t="s">
        <v>418</v>
      </c>
      <c r="Q835" s="27" t="s">
        <v>1701</v>
      </c>
      <c r="R835" s="33">
        <v>20746</v>
      </c>
      <c r="S835" s="34">
        <v>42080</v>
      </c>
      <c r="T835" s="34">
        <v>42080</v>
      </c>
      <c r="U835" s="29">
        <v>-90.26</v>
      </c>
      <c r="V835" s="26">
        <v>10</v>
      </c>
      <c r="W835" s="29">
        <v>57.34</v>
      </c>
      <c r="X835" s="26">
        <v>89994</v>
      </c>
      <c r="Y835" s="35">
        <v>8.11</v>
      </c>
      <c r="Z835" s="1" t="s">
        <v>3014</v>
      </c>
      <c r="AA835" s="36">
        <v>5.98</v>
      </c>
      <c r="AB835" s="54">
        <v>34.404000000000003</v>
      </c>
      <c r="AC835" s="54">
        <v>2.2936000000000001</v>
      </c>
      <c r="AD835" s="36">
        <v>136.27000000000001</v>
      </c>
    </row>
    <row r="836" spans="1:30" s="37" customFormat="1" ht="15.75" customHeight="1" x14ac:dyDescent="0.2">
      <c r="A836" s="26">
        <v>2647</v>
      </c>
      <c r="B836" s="27" t="s">
        <v>1692</v>
      </c>
      <c r="C836" s="27" t="s">
        <v>48</v>
      </c>
      <c r="D836" s="28">
        <v>0.1</v>
      </c>
      <c r="E836" s="29">
        <v>10.98</v>
      </c>
      <c r="F836" s="29">
        <v>3.99</v>
      </c>
      <c r="G836" s="30" t="s">
        <v>39</v>
      </c>
      <c r="H836" s="27" t="s">
        <v>94</v>
      </c>
      <c r="I836" s="27" t="s">
        <v>49</v>
      </c>
      <c r="J836" s="27" t="s">
        <v>95</v>
      </c>
      <c r="K836" s="27" t="s">
        <v>73</v>
      </c>
      <c r="L836" s="31" t="s">
        <v>1693</v>
      </c>
      <c r="M836" s="32">
        <v>0.57999999999999996</v>
      </c>
      <c r="N836" s="27" t="s">
        <v>33</v>
      </c>
      <c r="O836" s="27" t="s">
        <v>60</v>
      </c>
      <c r="P836" s="27" t="s">
        <v>90</v>
      </c>
      <c r="Q836" s="27" t="s">
        <v>1694</v>
      </c>
      <c r="R836" s="33">
        <v>93309</v>
      </c>
      <c r="S836" s="34">
        <v>42080</v>
      </c>
      <c r="T836" s="34">
        <v>42087</v>
      </c>
      <c r="U836" s="29">
        <v>-21.03</v>
      </c>
      <c r="V836" s="26">
        <v>5</v>
      </c>
      <c r="W836" s="29">
        <v>52.21</v>
      </c>
      <c r="X836" s="26">
        <v>91386</v>
      </c>
      <c r="Y836" s="35">
        <v>5.8800000000000008</v>
      </c>
      <c r="Z836" s="1" t="s">
        <v>3013</v>
      </c>
      <c r="AA836" s="36">
        <v>5.49</v>
      </c>
      <c r="AB836" s="54">
        <v>21.928200000000004</v>
      </c>
      <c r="AC836" s="54">
        <v>6.0563599999999997</v>
      </c>
      <c r="AD836" s="36">
        <v>63.76</v>
      </c>
    </row>
    <row r="837" spans="1:30" s="37" customFormat="1" ht="15.75" customHeight="1" x14ac:dyDescent="0.2">
      <c r="A837" s="26">
        <v>339</v>
      </c>
      <c r="B837" s="27" t="s">
        <v>1696</v>
      </c>
      <c r="C837" s="27" t="s">
        <v>116</v>
      </c>
      <c r="D837" s="28">
        <v>0.08</v>
      </c>
      <c r="E837" s="29">
        <v>7.77</v>
      </c>
      <c r="F837" s="29">
        <v>9.23</v>
      </c>
      <c r="G837" s="30" t="s">
        <v>39</v>
      </c>
      <c r="H837" s="27" t="s">
        <v>94</v>
      </c>
      <c r="I837" s="27" t="s">
        <v>49</v>
      </c>
      <c r="J837" s="27" t="s">
        <v>95</v>
      </c>
      <c r="K837" s="27" t="s">
        <v>73</v>
      </c>
      <c r="L837" s="31" t="s">
        <v>477</v>
      </c>
      <c r="M837" s="32">
        <v>0.57999999999999996</v>
      </c>
      <c r="N837" s="27" t="s">
        <v>33</v>
      </c>
      <c r="O837" s="27" t="s">
        <v>111</v>
      </c>
      <c r="P837" s="27" t="s">
        <v>317</v>
      </c>
      <c r="Q837" s="27" t="s">
        <v>1483</v>
      </c>
      <c r="R837" s="33">
        <v>43229</v>
      </c>
      <c r="S837" s="34">
        <v>42080</v>
      </c>
      <c r="T837" s="34">
        <v>42081</v>
      </c>
      <c r="U837" s="29">
        <v>-83.65</v>
      </c>
      <c r="V837" s="26">
        <v>5</v>
      </c>
      <c r="W837" s="29">
        <v>40.299999999999997</v>
      </c>
      <c r="X837" s="26">
        <v>90583</v>
      </c>
      <c r="Y837" s="35">
        <v>5.37</v>
      </c>
      <c r="Z837" s="1" t="s">
        <v>3014</v>
      </c>
      <c r="AA837" s="36">
        <v>3.1079999999999997</v>
      </c>
      <c r="AB837" s="54">
        <v>16.926000000000002</v>
      </c>
      <c r="AC837" s="54">
        <v>4.6747999999999985</v>
      </c>
      <c r="AD837" s="36">
        <v>111.61199999999999</v>
      </c>
    </row>
    <row r="838" spans="1:30" s="37" customFormat="1" ht="15.75" customHeight="1" x14ac:dyDescent="0.2">
      <c r="A838" s="26">
        <v>2747</v>
      </c>
      <c r="B838" s="27" t="s">
        <v>1006</v>
      </c>
      <c r="C838" s="27" t="s">
        <v>116</v>
      </c>
      <c r="D838" s="28">
        <v>0.01</v>
      </c>
      <c r="E838" s="29">
        <v>220.98</v>
      </c>
      <c r="F838" s="29">
        <v>64.66</v>
      </c>
      <c r="G838" s="30" t="s">
        <v>27</v>
      </c>
      <c r="H838" s="27" t="s">
        <v>94</v>
      </c>
      <c r="I838" s="27" t="s">
        <v>29</v>
      </c>
      <c r="J838" s="27" t="s">
        <v>117</v>
      </c>
      <c r="K838" s="27" t="s">
        <v>31</v>
      </c>
      <c r="L838" s="31" t="s">
        <v>1717</v>
      </c>
      <c r="M838" s="32">
        <v>0.62</v>
      </c>
      <c r="N838" s="27" t="s">
        <v>33</v>
      </c>
      <c r="O838" s="27" t="s">
        <v>111</v>
      </c>
      <c r="P838" s="27" t="s">
        <v>112</v>
      </c>
      <c r="Q838" s="27" t="s">
        <v>113</v>
      </c>
      <c r="R838" s="33">
        <v>10115</v>
      </c>
      <c r="S838" s="34">
        <v>42081</v>
      </c>
      <c r="T838" s="34">
        <v>42082</v>
      </c>
      <c r="U838" s="29">
        <v>1049.03</v>
      </c>
      <c r="V838" s="26">
        <v>44</v>
      </c>
      <c r="W838" s="29">
        <v>10364.36</v>
      </c>
      <c r="X838" s="26">
        <v>23751</v>
      </c>
      <c r="Y838" s="35">
        <v>5.8800000000000008</v>
      </c>
      <c r="Z838" s="1" t="s">
        <v>3014</v>
      </c>
      <c r="AA838" s="36">
        <v>97.231200000000001</v>
      </c>
      <c r="AB838" s="54">
        <v>3938.4568000000004</v>
      </c>
      <c r="AC838" s="54">
        <v>146.04325454545454</v>
      </c>
      <c r="AD838" s="36">
        <v>9153.4387999999999</v>
      </c>
    </row>
    <row r="839" spans="1:30" s="37" customFormat="1" ht="15.75" customHeight="1" x14ac:dyDescent="0.2">
      <c r="A839" s="26">
        <v>2745</v>
      </c>
      <c r="B839" s="27" t="s">
        <v>1716</v>
      </c>
      <c r="C839" s="27" t="s">
        <v>116</v>
      </c>
      <c r="D839" s="28">
        <v>0.01</v>
      </c>
      <c r="E839" s="29">
        <v>220.98</v>
      </c>
      <c r="F839" s="29">
        <v>64.66</v>
      </c>
      <c r="G839" s="30" t="s">
        <v>27</v>
      </c>
      <c r="H839" s="27" t="s">
        <v>94</v>
      </c>
      <c r="I839" s="27" t="s">
        <v>29</v>
      </c>
      <c r="J839" s="27" t="s">
        <v>117</v>
      </c>
      <c r="K839" s="27" t="s">
        <v>31</v>
      </c>
      <c r="L839" s="31" t="s">
        <v>1717</v>
      </c>
      <c r="M839" s="32">
        <v>0.62</v>
      </c>
      <c r="N839" s="27" t="s">
        <v>33</v>
      </c>
      <c r="O839" s="27" t="s">
        <v>60</v>
      </c>
      <c r="P839" s="27" t="s">
        <v>588</v>
      </c>
      <c r="Q839" s="27" t="s">
        <v>1718</v>
      </c>
      <c r="R839" s="33">
        <v>85224</v>
      </c>
      <c r="S839" s="34">
        <v>42081</v>
      </c>
      <c r="T839" s="34">
        <v>42082</v>
      </c>
      <c r="U839" s="29">
        <v>1049.03</v>
      </c>
      <c r="V839" s="26">
        <v>11</v>
      </c>
      <c r="W839" s="29">
        <v>2591.09</v>
      </c>
      <c r="X839" s="26">
        <v>86184</v>
      </c>
      <c r="Y839" s="35">
        <v>20.979999999999997</v>
      </c>
      <c r="Z839" s="1" t="s">
        <v>3013</v>
      </c>
      <c r="AA839" s="36">
        <v>24.3078</v>
      </c>
      <c r="AB839" s="54">
        <v>984.6142000000001</v>
      </c>
      <c r="AC839" s="54">
        <v>146.04325454545454</v>
      </c>
      <c r="AD839" s="36">
        <v>1453.0922</v>
      </c>
    </row>
    <row r="840" spans="1:30" s="37" customFormat="1" ht="15.75" customHeight="1" x14ac:dyDescent="0.2">
      <c r="A840" s="26">
        <v>1197</v>
      </c>
      <c r="B840" s="27" t="s">
        <v>1708</v>
      </c>
      <c r="C840" s="27" t="s">
        <v>38</v>
      </c>
      <c r="D840" s="28">
        <v>0.08</v>
      </c>
      <c r="E840" s="29">
        <v>355.98</v>
      </c>
      <c r="F840" s="29">
        <v>58.92</v>
      </c>
      <c r="G840" s="30" t="s">
        <v>27</v>
      </c>
      <c r="H840" s="27" t="s">
        <v>3095</v>
      </c>
      <c r="I840" s="27" t="s">
        <v>29</v>
      </c>
      <c r="J840" s="27" t="s">
        <v>109</v>
      </c>
      <c r="K840" s="27" t="s">
        <v>58</v>
      </c>
      <c r="L840" s="31" t="s">
        <v>694</v>
      </c>
      <c r="M840" s="32">
        <v>0.64</v>
      </c>
      <c r="N840" s="27" t="s">
        <v>33</v>
      </c>
      <c r="O840" s="27" t="s">
        <v>111</v>
      </c>
      <c r="P840" s="27" t="s">
        <v>403</v>
      </c>
      <c r="Q840" s="27" t="s">
        <v>1709</v>
      </c>
      <c r="R840" s="33">
        <v>1776</v>
      </c>
      <c r="S840" s="34">
        <v>42081</v>
      </c>
      <c r="T840" s="34">
        <v>42083</v>
      </c>
      <c r="U840" s="29">
        <v>103.83</v>
      </c>
      <c r="V840" s="26">
        <v>4</v>
      </c>
      <c r="W840" s="29">
        <v>1350.94</v>
      </c>
      <c r="X840" s="26">
        <v>87583</v>
      </c>
      <c r="Y840" s="35">
        <v>355.90000000000003</v>
      </c>
      <c r="Z840" s="1" t="s">
        <v>3014</v>
      </c>
      <c r="AA840" s="36">
        <v>113.9136</v>
      </c>
      <c r="AB840" s="54">
        <v>486.33839999999998</v>
      </c>
      <c r="AC840" s="54">
        <v>216.15040000000002</v>
      </c>
      <c r="AD840" s="36">
        <v>1074.2764000000002</v>
      </c>
    </row>
    <row r="841" spans="1:30" s="37" customFormat="1" ht="15.75" customHeight="1" x14ac:dyDescent="0.2">
      <c r="A841" s="26">
        <v>2030</v>
      </c>
      <c r="B841" s="27" t="s">
        <v>1689</v>
      </c>
      <c r="C841" s="27" t="s">
        <v>116</v>
      </c>
      <c r="D841" s="28">
        <v>0.03</v>
      </c>
      <c r="E841" s="29">
        <v>55.98</v>
      </c>
      <c r="F841" s="29">
        <v>4.8600000000000003</v>
      </c>
      <c r="G841" s="30" t="s">
        <v>39</v>
      </c>
      <c r="H841" s="27" t="s">
        <v>94</v>
      </c>
      <c r="I841" s="27" t="s">
        <v>49</v>
      </c>
      <c r="J841" s="27" t="s">
        <v>88</v>
      </c>
      <c r="K841" s="27" t="s">
        <v>73</v>
      </c>
      <c r="L841" s="31" t="s">
        <v>1715</v>
      </c>
      <c r="M841" s="32">
        <v>0.36</v>
      </c>
      <c r="N841" s="27" t="s">
        <v>33</v>
      </c>
      <c r="O841" s="27" t="s">
        <v>53</v>
      </c>
      <c r="P841" s="27" t="s">
        <v>187</v>
      </c>
      <c r="Q841" s="27" t="s">
        <v>1027</v>
      </c>
      <c r="R841" s="33">
        <v>75401</v>
      </c>
      <c r="S841" s="34">
        <v>42081</v>
      </c>
      <c r="T841" s="34">
        <v>42083</v>
      </c>
      <c r="U841" s="29">
        <v>526.04219999999998</v>
      </c>
      <c r="V841" s="26">
        <v>13</v>
      </c>
      <c r="W841" s="29">
        <v>762.38</v>
      </c>
      <c r="X841" s="26">
        <v>91060</v>
      </c>
      <c r="Y841" s="35">
        <v>26.16</v>
      </c>
      <c r="Z841" s="1" t="s">
        <v>3012</v>
      </c>
      <c r="AA841" s="36">
        <v>21.832199999999997</v>
      </c>
      <c r="AB841" s="54">
        <v>487.92320000000001</v>
      </c>
      <c r="AC841" s="54">
        <v>21.112061538461539</v>
      </c>
      <c r="AD841" s="36">
        <v>209.64560000000006</v>
      </c>
    </row>
    <row r="842" spans="1:30" s="37" customFormat="1" ht="15.75" customHeight="1" x14ac:dyDescent="0.2">
      <c r="A842" s="26">
        <v>1015</v>
      </c>
      <c r="B842" s="27" t="s">
        <v>1711</v>
      </c>
      <c r="C842" s="27" t="s">
        <v>116</v>
      </c>
      <c r="D842" s="28">
        <v>0</v>
      </c>
      <c r="E842" s="29">
        <v>43.98</v>
      </c>
      <c r="F842" s="29">
        <v>8.99</v>
      </c>
      <c r="G842" s="30" t="s">
        <v>39</v>
      </c>
      <c r="H842" s="27" t="s">
        <v>71</v>
      </c>
      <c r="I842" s="27" t="s">
        <v>49</v>
      </c>
      <c r="J842" s="27" t="s">
        <v>50</v>
      </c>
      <c r="K842" s="27" t="s">
        <v>43</v>
      </c>
      <c r="L842" s="31" t="s">
        <v>822</v>
      </c>
      <c r="M842" s="32">
        <v>0.57999999999999996</v>
      </c>
      <c r="N842" s="27" t="s">
        <v>33</v>
      </c>
      <c r="O842" s="27" t="s">
        <v>34</v>
      </c>
      <c r="P842" s="27" t="s">
        <v>97</v>
      </c>
      <c r="Q842" s="27" t="s">
        <v>1712</v>
      </c>
      <c r="R842" s="33">
        <v>27502</v>
      </c>
      <c r="S842" s="34">
        <v>42081</v>
      </c>
      <c r="T842" s="34">
        <v>42081</v>
      </c>
      <c r="U842" s="29">
        <v>829.46699999999998</v>
      </c>
      <c r="V842" s="26">
        <v>14</v>
      </c>
      <c r="W842" s="29">
        <v>650.70000000000005</v>
      </c>
      <c r="X842" s="26">
        <v>88390</v>
      </c>
      <c r="Y842" s="35">
        <v>43.98</v>
      </c>
      <c r="Z842" s="1" t="s">
        <v>3011</v>
      </c>
      <c r="AA842" s="36">
        <v>0</v>
      </c>
      <c r="AB842" s="54">
        <v>273.29400000000004</v>
      </c>
      <c r="AC842" s="54">
        <v>26.957571428571431</v>
      </c>
      <c r="AD842" s="36">
        <v>-187.75699999999995</v>
      </c>
    </row>
    <row r="843" spans="1:30" s="37" customFormat="1" ht="15.75" customHeight="1" x14ac:dyDescent="0.2">
      <c r="A843" s="26">
        <v>1967</v>
      </c>
      <c r="B843" s="27" t="s">
        <v>1713</v>
      </c>
      <c r="C843" s="27" t="s">
        <v>116</v>
      </c>
      <c r="D843" s="28">
        <v>0.01</v>
      </c>
      <c r="E843" s="29">
        <v>78.650000000000006</v>
      </c>
      <c r="F843" s="29">
        <v>13.99</v>
      </c>
      <c r="G843" s="30" t="s">
        <v>87</v>
      </c>
      <c r="H843" s="27" t="s">
        <v>3095</v>
      </c>
      <c r="I843" s="27" t="s">
        <v>49</v>
      </c>
      <c r="J843" s="27" t="s">
        <v>95</v>
      </c>
      <c r="K843" s="27" t="s">
        <v>144</v>
      </c>
      <c r="L843" s="31" t="s">
        <v>1714</v>
      </c>
      <c r="M843" s="32">
        <v>0.52</v>
      </c>
      <c r="N843" s="27" t="s">
        <v>33</v>
      </c>
      <c r="O843" s="27" t="s">
        <v>53</v>
      </c>
      <c r="P843" s="27" t="s">
        <v>213</v>
      </c>
      <c r="Q843" s="27" t="s">
        <v>36</v>
      </c>
      <c r="R843" s="33">
        <v>52732</v>
      </c>
      <c r="S843" s="34">
        <v>42081</v>
      </c>
      <c r="T843" s="34">
        <v>42082</v>
      </c>
      <c r="U843" s="29">
        <v>442.36590000000001</v>
      </c>
      <c r="V843" s="26">
        <v>8</v>
      </c>
      <c r="W843" s="29">
        <v>641.11</v>
      </c>
      <c r="X843" s="26">
        <v>89456</v>
      </c>
      <c r="Y843" s="35">
        <v>78.64</v>
      </c>
      <c r="Z843" s="1" t="s">
        <v>3012</v>
      </c>
      <c r="AA843" s="36">
        <v>6.2920000000000007</v>
      </c>
      <c r="AB843" s="54">
        <v>307.7328</v>
      </c>
      <c r="AC843" s="54">
        <v>41.672150000000002</v>
      </c>
      <c r="AD843" s="36">
        <v>178.46210000000002</v>
      </c>
    </row>
    <row r="844" spans="1:30" s="37" customFormat="1" ht="15.75" customHeight="1" x14ac:dyDescent="0.2">
      <c r="A844" s="26">
        <v>1894</v>
      </c>
      <c r="B844" s="27" t="s">
        <v>1339</v>
      </c>
      <c r="C844" s="27" t="s">
        <v>38</v>
      </c>
      <c r="D844" s="28">
        <v>0.01</v>
      </c>
      <c r="E844" s="29">
        <v>26.17</v>
      </c>
      <c r="F844" s="29">
        <v>1.39</v>
      </c>
      <c r="G844" s="30" t="s">
        <v>39</v>
      </c>
      <c r="H844" s="27" t="s">
        <v>40</v>
      </c>
      <c r="I844" s="27" t="s">
        <v>49</v>
      </c>
      <c r="J844" s="27" t="s">
        <v>345</v>
      </c>
      <c r="K844" s="27" t="s">
        <v>73</v>
      </c>
      <c r="L844" s="31" t="s">
        <v>1710</v>
      </c>
      <c r="M844" s="32">
        <v>0.38</v>
      </c>
      <c r="N844" s="27" t="s">
        <v>33</v>
      </c>
      <c r="O844" s="27" t="s">
        <v>53</v>
      </c>
      <c r="P844" s="27" t="s">
        <v>357</v>
      </c>
      <c r="Q844" s="27" t="s">
        <v>1341</v>
      </c>
      <c r="R844" s="33">
        <v>54915</v>
      </c>
      <c r="S844" s="34">
        <v>42081</v>
      </c>
      <c r="T844" s="34">
        <v>42082</v>
      </c>
      <c r="U844" s="29">
        <v>237.04259999999999</v>
      </c>
      <c r="V844" s="26">
        <v>13</v>
      </c>
      <c r="W844" s="29">
        <v>343.54</v>
      </c>
      <c r="X844" s="26">
        <v>91263</v>
      </c>
      <c r="Y844" s="35">
        <v>55.949999999999996</v>
      </c>
      <c r="Z844" s="1" t="s">
        <v>3012</v>
      </c>
      <c r="AA844" s="36">
        <v>3.4021000000000008</v>
      </c>
      <c r="AB844" s="54">
        <v>212.9948</v>
      </c>
      <c r="AC844" s="54">
        <v>10.041938461538463</v>
      </c>
      <c r="AD844" s="36">
        <v>101.70530000000005</v>
      </c>
    </row>
    <row r="845" spans="1:30" s="37" customFormat="1" ht="15.75" customHeight="1" x14ac:dyDescent="0.2">
      <c r="A845" s="26">
        <v>3191</v>
      </c>
      <c r="B845" s="27" t="s">
        <v>1706</v>
      </c>
      <c r="C845" s="27" t="s">
        <v>26</v>
      </c>
      <c r="D845" s="28">
        <v>0.01</v>
      </c>
      <c r="E845" s="29">
        <v>20.99</v>
      </c>
      <c r="F845" s="29">
        <v>4.8099999999999996</v>
      </c>
      <c r="G845" s="30" t="s">
        <v>39</v>
      </c>
      <c r="H845" s="27" t="s">
        <v>94</v>
      </c>
      <c r="I845" s="27" t="s">
        <v>41</v>
      </c>
      <c r="J845" s="27" t="s">
        <v>135</v>
      </c>
      <c r="K845" s="27" t="s">
        <v>144</v>
      </c>
      <c r="L845" s="31" t="s">
        <v>1431</v>
      </c>
      <c r="M845" s="32">
        <v>0.57999999999999996</v>
      </c>
      <c r="N845" s="27" t="s">
        <v>33</v>
      </c>
      <c r="O845" s="27" t="s">
        <v>53</v>
      </c>
      <c r="P845" s="27" t="s">
        <v>357</v>
      </c>
      <c r="Q845" s="27" t="s">
        <v>1707</v>
      </c>
      <c r="R845" s="33">
        <v>54481</v>
      </c>
      <c r="S845" s="34">
        <v>42081</v>
      </c>
      <c r="T845" s="34">
        <v>42081</v>
      </c>
      <c r="U845" s="29">
        <v>-9.1080000000000005</v>
      </c>
      <c r="V845" s="26">
        <v>5</v>
      </c>
      <c r="W845" s="29">
        <v>93.81</v>
      </c>
      <c r="X845" s="26">
        <v>86447</v>
      </c>
      <c r="Y845" s="35">
        <v>220.97</v>
      </c>
      <c r="Z845" s="1" t="s">
        <v>3012</v>
      </c>
      <c r="AA845" s="36">
        <v>1.0494999999999999</v>
      </c>
      <c r="AB845" s="54">
        <v>39.400200000000005</v>
      </c>
      <c r="AC845" s="54">
        <v>10.881959999999999</v>
      </c>
      <c r="AD845" s="36">
        <v>97.058500000000009</v>
      </c>
    </row>
    <row r="846" spans="1:30" s="37" customFormat="1" ht="15.75" customHeight="1" x14ac:dyDescent="0.2">
      <c r="A846" s="26">
        <v>2127</v>
      </c>
      <c r="B846" s="27" t="s">
        <v>1703</v>
      </c>
      <c r="C846" s="27" t="s">
        <v>26</v>
      </c>
      <c r="D846" s="28">
        <v>0.1</v>
      </c>
      <c r="E846" s="29">
        <v>5.98</v>
      </c>
      <c r="F846" s="29">
        <v>5.14</v>
      </c>
      <c r="G846" s="30" t="s">
        <v>39</v>
      </c>
      <c r="H846" s="27" t="s">
        <v>71</v>
      </c>
      <c r="I846" s="27" t="s">
        <v>49</v>
      </c>
      <c r="J846" s="27" t="s">
        <v>88</v>
      </c>
      <c r="K846" s="27" t="s">
        <v>73</v>
      </c>
      <c r="L846" s="31" t="s">
        <v>1704</v>
      </c>
      <c r="M846" s="32">
        <v>0.36</v>
      </c>
      <c r="N846" s="27" t="s">
        <v>33</v>
      </c>
      <c r="O846" s="27" t="s">
        <v>53</v>
      </c>
      <c r="P846" s="27" t="s">
        <v>289</v>
      </c>
      <c r="Q846" s="27" t="s">
        <v>1705</v>
      </c>
      <c r="R846" s="33">
        <v>48310</v>
      </c>
      <c r="S846" s="34">
        <v>42081</v>
      </c>
      <c r="T846" s="34">
        <v>42083</v>
      </c>
      <c r="U846" s="29">
        <v>-49.53</v>
      </c>
      <c r="V846" s="26">
        <v>6</v>
      </c>
      <c r="W846" s="29">
        <v>33.950000000000003</v>
      </c>
      <c r="X846" s="26">
        <v>88418</v>
      </c>
      <c r="Y846" s="35">
        <v>220.97</v>
      </c>
      <c r="Z846" s="1" t="s">
        <v>3012</v>
      </c>
      <c r="AA846" s="36">
        <v>3.5880000000000005</v>
      </c>
      <c r="AB846" s="54">
        <v>21.728000000000002</v>
      </c>
      <c r="AC846" s="54">
        <v>2.0370000000000004</v>
      </c>
      <c r="AD846" s="36">
        <v>74.75200000000001</v>
      </c>
    </row>
    <row r="847" spans="1:30" s="37" customFormat="1" ht="15.75" customHeight="1" x14ac:dyDescent="0.2">
      <c r="A847" s="26">
        <v>485</v>
      </c>
      <c r="B847" s="27" t="s">
        <v>1719</v>
      </c>
      <c r="C847" s="27" t="s">
        <v>3094</v>
      </c>
      <c r="D847" s="28">
        <v>0.05</v>
      </c>
      <c r="E847" s="29">
        <v>2.88</v>
      </c>
      <c r="F847" s="29">
        <v>0.5</v>
      </c>
      <c r="G847" s="30" t="s">
        <v>39</v>
      </c>
      <c r="H847" s="27" t="s">
        <v>94</v>
      </c>
      <c r="I847" s="27" t="s">
        <v>49</v>
      </c>
      <c r="J847" s="27" t="s">
        <v>152</v>
      </c>
      <c r="K847" s="27" t="s">
        <v>73</v>
      </c>
      <c r="L847" s="31" t="s">
        <v>1720</v>
      </c>
      <c r="M847" s="32">
        <v>0.36</v>
      </c>
      <c r="N847" s="27" t="s">
        <v>33</v>
      </c>
      <c r="O847" s="27" t="s">
        <v>60</v>
      </c>
      <c r="P847" s="27" t="s">
        <v>90</v>
      </c>
      <c r="Q847" s="27" t="s">
        <v>1721</v>
      </c>
      <c r="R847" s="33">
        <v>93727</v>
      </c>
      <c r="S847" s="34">
        <v>42081</v>
      </c>
      <c r="T847" s="34">
        <v>42083</v>
      </c>
      <c r="U847" s="29">
        <v>6.0513000000000003</v>
      </c>
      <c r="V847" s="26">
        <v>3</v>
      </c>
      <c r="W847" s="29">
        <v>8.77</v>
      </c>
      <c r="X847" s="26">
        <v>91062</v>
      </c>
      <c r="Y847" s="35">
        <v>2.83</v>
      </c>
      <c r="Z847" s="1" t="s">
        <v>3013</v>
      </c>
      <c r="AA847" s="36">
        <v>0.43199999999999994</v>
      </c>
      <c r="AB847" s="54">
        <v>5.6128</v>
      </c>
      <c r="AC847" s="54">
        <v>1.0524</v>
      </c>
      <c r="AD847" s="36">
        <v>1.7866999999999997</v>
      </c>
    </row>
    <row r="848" spans="1:30" s="37" customFormat="1" ht="15.75" customHeight="1" x14ac:dyDescent="0.2">
      <c r="A848" s="26">
        <v>771</v>
      </c>
      <c r="B848" s="27" t="s">
        <v>1727</v>
      </c>
      <c r="C848" s="27" t="s">
        <v>26</v>
      </c>
      <c r="D848" s="28">
        <v>0</v>
      </c>
      <c r="E848" s="29">
        <v>299.99</v>
      </c>
      <c r="F848" s="29">
        <v>11.64</v>
      </c>
      <c r="G848" s="30" t="s">
        <v>39</v>
      </c>
      <c r="H848" s="27" t="s">
        <v>3095</v>
      </c>
      <c r="I848" s="27" t="s">
        <v>41</v>
      </c>
      <c r="J848" s="27" t="s">
        <v>64</v>
      </c>
      <c r="K848" s="27" t="s">
        <v>65</v>
      </c>
      <c r="L848" s="31" t="s">
        <v>1729</v>
      </c>
      <c r="M848" s="32">
        <v>0.5</v>
      </c>
      <c r="N848" s="27" t="s">
        <v>33</v>
      </c>
      <c r="O848" s="27" t="s">
        <v>60</v>
      </c>
      <c r="P848" s="27" t="s">
        <v>139</v>
      </c>
      <c r="Q848" s="27" t="s">
        <v>1728</v>
      </c>
      <c r="R848" s="33">
        <v>97068</v>
      </c>
      <c r="S848" s="34">
        <v>42082</v>
      </c>
      <c r="T848" s="34">
        <v>42084</v>
      </c>
      <c r="U848" s="29">
        <v>285.95</v>
      </c>
      <c r="V848" s="26">
        <v>5</v>
      </c>
      <c r="W848" s="29">
        <v>1619.95</v>
      </c>
      <c r="X848" s="26">
        <v>88667</v>
      </c>
      <c r="Y848" s="35">
        <v>5.28</v>
      </c>
      <c r="Z848" s="1" t="s">
        <v>3013</v>
      </c>
      <c r="AA848" s="36">
        <v>0</v>
      </c>
      <c r="AB848" s="54">
        <v>809.97500000000002</v>
      </c>
      <c r="AC848" s="54">
        <v>161.995</v>
      </c>
      <c r="AD848" s="36">
        <v>1322.3600000000001</v>
      </c>
    </row>
    <row r="849" spans="1:30" s="37" customFormat="1" ht="15.75" customHeight="1" x14ac:dyDescent="0.2">
      <c r="A849" s="26">
        <v>2882</v>
      </c>
      <c r="B849" s="27" t="s">
        <v>671</v>
      </c>
      <c r="C849" s="27" t="s">
        <v>38</v>
      </c>
      <c r="D849" s="28">
        <v>7.0000000000000007E-2</v>
      </c>
      <c r="E849" s="29">
        <v>28.99</v>
      </c>
      <c r="F849" s="29">
        <v>8.59</v>
      </c>
      <c r="G849" s="30" t="s">
        <v>39</v>
      </c>
      <c r="H849" s="27" t="s">
        <v>40</v>
      </c>
      <c r="I849" s="27" t="s">
        <v>41</v>
      </c>
      <c r="J849" s="27" t="s">
        <v>135</v>
      </c>
      <c r="K849" s="27" t="s">
        <v>144</v>
      </c>
      <c r="L849" s="31" t="s">
        <v>1029</v>
      </c>
      <c r="M849" s="32">
        <v>0.56000000000000005</v>
      </c>
      <c r="N849" s="27" t="s">
        <v>33</v>
      </c>
      <c r="O849" s="27" t="s">
        <v>34</v>
      </c>
      <c r="P849" s="27" t="s">
        <v>97</v>
      </c>
      <c r="Q849" s="27" t="s">
        <v>673</v>
      </c>
      <c r="R849" s="33">
        <v>28206</v>
      </c>
      <c r="S849" s="34">
        <v>42082</v>
      </c>
      <c r="T849" s="34">
        <v>42082</v>
      </c>
      <c r="U849" s="29">
        <v>-16.063739999999999</v>
      </c>
      <c r="V849" s="26">
        <v>39</v>
      </c>
      <c r="W849" s="29">
        <v>936.8</v>
      </c>
      <c r="X849" s="26">
        <v>16676</v>
      </c>
      <c r="Y849" s="35">
        <v>65.92</v>
      </c>
      <c r="Z849" s="1" t="s">
        <v>3011</v>
      </c>
      <c r="AA849" s="36">
        <v>79.142700000000005</v>
      </c>
      <c r="AB849" s="54">
        <v>412.19199999999995</v>
      </c>
      <c r="AC849" s="54">
        <v>13.451487179487181</v>
      </c>
      <c r="AD849" s="36">
        <v>865.13103999999998</v>
      </c>
    </row>
    <row r="850" spans="1:30" s="37" customFormat="1" ht="15.75" customHeight="1" x14ac:dyDescent="0.2">
      <c r="A850" s="26">
        <v>1854</v>
      </c>
      <c r="B850" s="27" t="s">
        <v>1747</v>
      </c>
      <c r="C850" s="27" t="s">
        <v>3094</v>
      </c>
      <c r="D850" s="28">
        <v>0.02</v>
      </c>
      <c r="E850" s="29">
        <v>30.73</v>
      </c>
      <c r="F850" s="29">
        <v>4</v>
      </c>
      <c r="G850" s="30" t="s">
        <v>39</v>
      </c>
      <c r="H850" s="27" t="s">
        <v>71</v>
      </c>
      <c r="I850" s="27" t="s">
        <v>41</v>
      </c>
      <c r="J850" s="27" t="s">
        <v>42</v>
      </c>
      <c r="K850" s="27" t="s">
        <v>73</v>
      </c>
      <c r="L850" s="31" t="s">
        <v>674</v>
      </c>
      <c r="M850" s="32">
        <v>0.75</v>
      </c>
      <c r="N850" s="27" t="s">
        <v>33</v>
      </c>
      <c r="O850" s="27" t="s">
        <v>111</v>
      </c>
      <c r="P850" s="27" t="s">
        <v>248</v>
      </c>
      <c r="Q850" s="27" t="s">
        <v>1748</v>
      </c>
      <c r="R850" s="33">
        <v>6478</v>
      </c>
      <c r="S850" s="34">
        <v>42082</v>
      </c>
      <c r="T850" s="34">
        <v>42085</v>
      </c>
      <c r="U850" s="29">
        <v>72.78</v>
      </c>
      <c r="V850" s="26">
        <v>16</v>
      </c>
      <c r="W850" s="29">
        <v>522.22</v>
      </c>
      <c r="X850" s="26">
        <v>86847</v>
      </c>
      <c r="Y850" s="35">
        <v>30.650000000000002</v>
      </c>
      <c r="Z850" s="1" t="s">
        <v>3014</v>
      </c>
      <c r="AA850" s="36">
        <v>9.8336000000000006</v>
      </c>
      <c r="AB850" s="54">
        <v>130.55500000000001</v>
      </c>
      <c r="AC850" s="54">
        <v>24.479062500000001</v>
      </c>
      <c r="AD850" s="36">
        <v>435.60640000000001</v>
      </c>
    </row>
    <row r="851" spans="1:30" s="37" customFormat="1" ht="15.75" customHeight="1" x14ac:dyDescent="0.2">
      <c r="A851" s="26">
        <v>770</v>
      </c>
      <c r="B851" s="27" t="s">
        <v>1726</v>
      </c>
      <c r="C851" s="27" t="s">
        <v>26</v>
      </c>
      <c r="D851" s="28">
        <v>0.08</v>
      </c>
      <c r="E851" s="29">
        <v>30.73</v>
      </c>
      <c r="F851" s="29">
        <v>4</v>
      </c>
      <c r="G851" s="30" t="s">
        <v>39</v>
      </c>
      <c r="H851" s="27" t="s">
        <v>3095</v>
      </c>
      <c r="I851" s="27" t="s">
        <v>41</v>
      </c>
      <c r="J851" s="27" t="s">
        <v>42</v>
      </c>
      <c r="K851" s="27" t="s">
        <v>73</v>
      </c>
      <c r="L851" s="31" t="s">
        <v>674</v>
      </c>
      <c r="M851" s="32">
        <v>0.75</v>
      </c>
      <c r="N851" s="27" t="s">
        <v>33</v>
      </c>
      <c r="O851" s="27" t="s">
        <v>60</v>
      </c>
      <c r="P851" s="27" t="s">
        <v>139</v>
      </c>
      <c r="Q851" s="27" t="s">
        <v>1114</v>
      </c>
      <c r="R851" s="33">
        <v>97062</v>
      </c>
      <c r="S851" s="34">
        <v>42082</v>
      </c>
      <c r="T851" s="34">
        <v>42082</v>
      </c>
      <c r="U851" s="29">
        <v>-45.07</v>
      </c>
      <c r="V851" s="26">
        <v>14</v>
      </c>
      <c r="W851" s="29">
        <v>429.33</v>
      </c>
      <c r="X851" s="26">
        <v>88667</v>
      </c>
      <c r="Y851" s="35">
        <v>14.51</v>
      </c>
      <c r="Z851" s="1" t="s">
        <v>3013</v>
      </c>
      <c r="AA851" s="36">
        <v>34.4176</v>
      </c>
      <c r="AB851" s="54">
        <v>107.3325</v>
      </c>
      <c r="AC851" s="54">
        <v>22.99982142857143</v>
      </c>
      <c r="AD851" s="36">
        <v>435.98239999999998</v>
      </c>
    </row>
    <row r="852" spans="1:30" s="37" customFormat="1" ht="15.75" customHeight="1" x14ac:dyDescent="0.2">
      <c r="A852" s="26">
        <v>2840</v>
      </c>
      <c r="B852" s="27" t="s">
        <v>1737</v>
      </c>
      <c r="C852" s="27" t="s">
        <v>38</v>
      </c>
      <c r="D852" s="28">
        <v>0</v>
      </c>
      <c r="E852" s="29">
        <v>21.98</v>
      </c>
      <c r="F852" s="29">
        <v>2.87</v>
      </c>
      <c r="G852" s="30" t="s">
        <v>39</v>
      </c>
      <c r="H852" s="27" t="s">
        <v>94</v>
      </c>
      <c r="I852" s="27" t="s">
        <v>49</v>
      </c>
      <c r="J852" s="27" t="s">
        <v>50</v>
      </c>
      <c r="K852" s="27" t="s">
        <v>43</v>
      </c>
      <c r="L852" s="31" t="s">
        <v>1738</v>
      </c>
      <c r="M852" s="32">
        <v>0.55000000000000004</v>
      </c>
      <c r="N852" s="27" t="s">
        <v>33</v>
      </c>
      <c r="O852" s="27" t="s">
        <v>34</v>
      </c>
      <c r="P852" s="27" t="s">
        <v>123</v>
      </c>
      <c r="Q852" s="27" t="s">
        <v>1739</v>
      </c>
      <c r="R852" s="33">
        <v>33161</v>
      </c>
      <c r="S852" s="34">
        <v>42082</v>
      </c>
      <c r="T852" s="34">
        <v>42083</v>
      </c>
      <c r="U852" s="29">
        <v>21.096</v>
      </c>
      <c r="V852" s="26">
        <v>16</v>
      </c>
      <c r="W852" s="29">
        <v>360.03</v>
      </c>
      <c r="X852" s="26">
        <v>87884</v>
      </c>
      <c r="Y852" s="35">
        <v>299.99</v>
      </c>
      <c r="Z852" s="1" t="s">
        <v>3011</v>
      </c>
      <c r="AA852" s="36">
        <v>0</v>
      </c>
      <c r="AB852" s="54">
        <v>162.01349999999996</v>
      </c>
      <c r="AC852" s="54">
        <v>12.37603125</v>
      </c>
      <c r="AD852" s="36">
        <v>336.06399999999996</v>
      </c>
    </row>
    <row r="853" spans="1:30" s="37" customFormat="1" ht="15.75" customHeight="1" x14ac:dyDescent="0.2">
      <c r="A853" s="26">
        <v>3222</v>
      </c>
      <c r="B853" s="27" t="s">
        <v>1742</v>
      </c>
      <c r="C853" s="27" t="s">
        <v>38</v>
      </c>
      <c r="D853" s="28">
        <v>0.04</v>
      </c>
      <c r="E853" s="29">
        <v>39.479999999999997</v>
      </c>
      <c r="F853" s="29">
        <v>1.99</v>
      </c>
      <c r="G853" s="30" t="s">
        <v>87</v>
      </c>
      <c r="H853" s="27" t="s">
        <v>94</v>
      </c>
      <c r="I853" s="27" t="s">
        <v>41</v>
      </c>
      <c r="J853" s="27" t="s">
        <v>42</v>
      </c>
      <c r="K853" s="27" t="s">
        <v>43</v>
      </c>
      <c r="L853" s="31" t="s">
        <v>1257</v>
      </c>
      <c r="M853" s="32">
        <v>0.54</v>
      </c>
      <c r="N853" s="27" t="s">
        <v>33</v>
      </c>
      <c r="O853" s="27" t="s">
        <v>34</v>
      </c>
      <c r="P853" s="27" t="s">
        <v>123</v>
      </c>
      <c r="Q853" s="27" t="s">
        <v>1743</v>
      </c>
      <c r="R853" s="33">
        <v>32303</v>
      </c>
      <c r="S853" s="34">
        <v>42082</v>
      </c>
      <c r="T853" s="34">
        <v>42082</v>
      </c>
      <c r="U853" s="29">
        <v>-1535.4864</v>
      </c>
      <c r="V853" s="26">
        <v>8</v>
      </c>
      <c r="W853" s="29">
        <v>332.16</v>
      </c>
      <c r="X853" s="26">
        <v>90814</v>
      </c>
      <c r="Y853" s="35">
        <v>24.82</v>
      </c>
      <c r="Z853" s="1" t="s">
        <v>3011</v>
      </c>
      <c r="AA853" s="36">
        <v>12.633599999999999</v>
      </c>
      <c r="AB853" s="54">
        <v>152.7936</v>
      </c>
      <c r="AC853" s="54">
        <v>22.420800000000003</v>
      </c>
      <c r="AD853" s="36">
        <v>1853.0228000000002</v>
      </c>
    </row>
    <row r="854" spans="1:30" s="37" customFormat="1" ht="15.75" customHeight="1" x14ac:dyDescent="0.2">
      <c r="A854" s="26">
        <v>383</v>
      </c>
      <c r="B854" s="27" t="s">
        <v>1722</v>
      </c>
      <c r="C854" s="27" t="s">
        <v>26</v>
      </c>
      <c r="D854" s="28">
        <v>7.0000000000000007E-2</v>
      </c>
      <c r="E854" s="29">
        <v>65.989999999999995</v>
      </c>
      <c r="F854" s="29">
        <v>5.26</v>
      </c>
      <c r="G854" s="30" t="s">
        <v>87</v>
      </c>
      <c r="H854" s="27" t="s">
        <v>94</v>
      </c>
      <c r="I854" s="27" t="s">
        <v>41</v>
      </c>
      <c r="J854" s="27" t="s">
        <v>135</v>
      </c>
      <c r="K854" s="27" t="s">
        <v>73</v>
      </c>
      <c r="L854" s="31" t="s">
        <v>1725</v>
      </c>
      <c r="M854" s="32">
        <v>0.56000000000000005</v>
      </c>
      <c r="N854" s="27" t="s">
        <v>33</v>
      </c>
      <c r="O854" s="27" t="s">
        <v>111</v>
      </c>
      <c r="P854" s="27" t="s">
        <v>320</v>
      </c>
      <c r="Q854" s="27" t="s">
        <v>1724</v>
      </c>
      <c r="R854" s="33">
        <v>19026</v>
      </c>
      <c r="S854" s="34">
        <v>42082</v>
      </c>
      <c r="T854" s="34">
        <v>42084</v>
      </c>
      <c r="U854" s="29">
        <v>107.08199999999999</v>
      </c>
      <c r="V854" s="26">
        <v>5</v>
      </c>
      <c r="W854" s="29">
        <v>279.83</v>
      </c>
      <c r="X854" s="26">
        <v>88928</v>
      </c>
      <c r="Y854" s="35">
        <v>12.28</v>
      </c>
      <c r="Z854" s="1" t="s">
        <v>3014</v>
      </c>
      <c r="AA854" s="36">
        <v>23.096499999999999</v>
      </c>
      <c r="AB854" s="54">
        <v>123.12519999999998</v>
      </c>
      <c r="AC854" s="54">
        <v>31.340959999999999</v>
      </c>
      <c r="AD854" s="36">
        <v>144.39149999999998</v>
      </c>
    </row>
    <row r="855" spans="1:30" s="37" customFormat="1" ht="15.75" customHeight="1" x14ac:dyDescent="0.2">
      <c r="A855" s="26">
        <v>2884</v>
      </c>
      <c r="B855" s="27" t="s">
        <v>1740</v>
      </c>
      <c r="C855" s="27" t="s">
        <v>38</v>
      </c>
      <c r="D855" s="28">
        <v>7.0000000000000007E-2</v>
      </c>
      <c r="E855" s="29">
        <v>28.99</v>
      </c>
      <c r="F855" s="29">
        <v>8.59</v>
      </c>
      <c r="G855" s="30" t="s">
        <v>39</v>
      </c>
      <c r="H855" s="27" t="s">
        <v>40</v>
      </c>
      <c r="I855" s="27" t="s">
        <v>41</v>
      </c>
      <c r="J855" s="27" t="s">
        <v>135</v>
      </c>
      <c r="K855" s="27" t="s">
        <v>144</v>
      </c>
      <c r="L855" s="31" t="s">
        <v>1029</v>
      </c>
      <c r="M855" s="32">
        <v>0.56000000000000005</v>
      </c>
      <c r="N855" s="27" t="s">
        <v>33</v>
      </c>
      <c r="O855" s="27" t="s">
        <v>111</v>
      </c>
      <c r="P855" s="27" t="s">
        <v>317</v>
      </c>
      <c r="Q855" s="27" t="s">
        <v>1741</v>
      </c>
      <c r="R855" s="33">
        <v>44039</v>
      </c>
      <c r="S855" s="34">
        <v>42082</v>
      </c>
      <c r="T855" s="34">
        <v>42082</v>
      </c>
      <c r="U855" s="29">
        <v>-12.077999999999999</v>
      </c>
      <c r="V855" s="26">
        <v>10</v>
      </c>
      <c r="W855" s="29">
        <v>240.21</v>
      </c>
      <c r="X855" s="26">
        <v>87631</v>
      </c>
      <c r="Y855" s="35">
        <v>40.94</v>
      </c>
      <c r="Z855" s="1" t="s">
        <v>3014</v>
      </c>
      <c r="AA855" s="36">
        <v>20.292999999999999</v>
      </c>
      <c r="AB855" s="54">
        <v>105.69239999999999</v>
      </c>
      <c r="AC855" s="54">
        <v>13.451760000000002</v>
      </c>
      <c r="AD855" s="36">
        <v>223.405</v>
      </c>
    </row>
    <row r="856" spans="1:30" s="37" customFormat="1" ht="15.75" customHeight="1" x14ac:dyDescent="0.2">
      <c r="A856" s="26">
        <v>2621</v>
      </c>
      <c r="B856" s="27" t="s">
        <v>1734</v>
      </c>
      <c r="C856" s="27" t="s">
        <v>38</v>
      </c>
      <c r="D856" s="28">
        <v>0.03</v>
      </c>
      <c r="E856" s="29">
        <v>40.97</v>
      </c>
      <c r="F856" s="29">
        <v>8.99</v>
      </c>
      <c r="G856" s="30" t="s">
        <v>87</v>
      </c>
      <c r="H856" s="27" t="s">
        <v>94</v>
      </c>
      <c r="I856" s="27" t="s">
        <v>49</v>
      </c>
      <c r="J856" s="27" t="s">
        <v>50</v>
      </c>
      <c r="K856" s="27" t="s">
        <v>43</v>
      </c>
      <c r="L856" s="31" t="s">
        <v>1735</v>
      </c>
      <c r="M856" s="32">
        <v>0.59</v>
      </c>
      <c r="N856" s="27" t="s">
        <v>33</v>
      </c>
      <c r="O856" s="27" t="s">
        <v>34</v>
      </c>
      <c r="P856" s="27" t="s">
        <v>400</v>
      </c>
      <c r="Q856" s="27" t="s">
        <v>1736</v>
      </c>
      <c r="R856" s="33">
        <v>37027</v>
      </c>
      <c r="S856" s="34">
        <v>42082</v>
      </c>
      <c r="T856" s="34">
        <v>42083</v>
      </c>
      <c r="U856" s="29">
        <v>-177.05799999999999</v>
      </c>
      <c r="V856" s="26">
        <v>5</v>
      </c>
      <c r="W856" s="29">
        <v>207.22</v>
      </c>
      <c r="X856" s="26">
        <v>88016</v>
      </c>
      <c r="Y856" s="35">
        <v>21.98</v>
      </c>
      <c r="Z856" s="1" t="s">
        <v>3011</v>
      </c>
      <c r="AA856" s="36">
        <v>6.1454999999999993</v>
      </c>
      <c r="AB856" s="54">
        <v>84.9602</v>
      </c>
      <c r="AC856" s="54">
        <v>24.45196</v>
      </c>
      <c r="AD856" s="36">
        <v>369.14249999999998</v>
      </c>
    </row>
    <row r="857" spans="1:30" s="37" customFormat="1" ht="15.75" customHeight="1" x14ac:dyDescent="0.2">
      <c r="A857" s="26">
        <v>3222</v>
      </c>
      <c r="B857" s="27" t="s">
        <v>1742</v>
      </c>
      <c r="C857" s="27" t="s">
        <v>38</v>
      </c>
      <c r="D857" s="28">
        <v>0</v>
      </c>
      <c r="E857" s="29">
        <v>8.1199999999999992</v>
      </c>
      <c r="F857" s="29">
        <v>2.83</v>
      </c>
      <c r="G857" s="30" t="s">
        <v>39</v>
      </c>
      <c r="H857" s="27" t="s">
        <v>94</v>
      </c>
      <c r="I857" s="27" t="s">
        <v>41</v>
      </c>
      <c r="J857" s="27" t="s">
        <v>42</v>
      </c>
      <c r="K857" s="27" t="s">
        <v>43</v>
      </c>
      <c r="L857" s="31" t="s">
        <v>1698</v>
      </c>
      <c r="M857" s="32">
        <v>0.77</v>
      </c>
      <c r="N857" s="27" t="s">
        <v>33</v>
      </c>
      <c r="O857" s="27" t="s">
        <v>34</v>
      </c>
      <c r="P857" s="27" t="s">
        <v>123</v>
      </c>
      <c r="Q857" s="27" t="s">
        <v>1743</v>
      </c>
      <c r="R857" s="33">
        <v>32303</v>
      </c>
      <c r="S857" s="34">
        <v>42082</v>
      </c>
      <c r="T857" s="34">
        <v>42083</v>
      </c>
      <c r="U857" s="29">
        <v>-159.32</v>
      </c>
      <c r="V857" s="26">
        <v>17</v>
      </c>
      <c r="W857" s="29">
        <v>147.62</v>
      </c>
      <c r="X857" s="26">
        <v>90814</v>
      </c>
      <c r="Y857" s="35">
        <v>28.919999999999998</v>
      </c>
      <c r="Z857" s="1" t="s">
        <v>3011</v>
      </c>
      <c r="AA857" s="36">
        <v>0</v>
      </c>
      <c r="AB857" s="54">
        <v>33.952599999999997</v>
      </c>
      <c r="AC857" s="54">
        <v>6.6863176470588241</v>
      </c>
      <c r="AD857" s="36">
        <v>304.11</v>
      </c>
    </row>
    <row r="858" spans="1:30" s="37" customFormat="1" ht="15.75" customHeight="1" x14ac:dyDescent="0.2">
      <c r="A858" s="26">
        <v>2502</v>
      </c>
      <c r="B858" s="27" t="s">
        <v>1730</v>
      </c>
      <c r="C858" s="27" t="s">
        <v>38</v>
      </c>
      <c r="D858" s="28">
        <v>0</v>
      </c>
      <c r="E858" s="29">
        <v>12.28</v>
      </c>
      <c r="F858" s="29">
        <v>6.35</v>
      </c>
      <c r="G858" s="30" t="s">
        <v>87</v>
      </c>
      <c r="H858" s="27" t="s">
        <v>71</v>
      </c>
      <c r="I858" s="27" t="s">
        <v>49</v>
      </c>
      <c r="J858" s="27" t="s">
        <v>88</v>
      </c>
      <c r="K858" s="27" t="s">
        <v>73</v>
      </c>
      <c r="L858" s="31" t="s">
        <v>1733</v>
      </c>
      <c r="M858" s="32">
        <v>0.38</v>
      </c>
      <c r="N858" s="27" t="s">
        <v>33</v>
      </c>
      <c r="O858" s="27" t="s">
        <v>53</v>
      </c>
      <c r="P858" s="27" t="s">
        <v>54</v>
      </c>
      <c r="Q858" s="27" t="s">
        <v>1732</v>
      </c>
      <c r="R858" s="33">
        <v>46321</v>
      </c>
      <c r="S858" s="34">
        <v>42082</v>
      </c>
      <c r="T858" s="34">
        <v>42083</v>
      </c>
      <c r="U858" s="29">
        <v>30.63</v>
      </c>
      <c r="V858" s="26">
        <v>7</v>
      </c>
      <c r="W858" s="29">
        <v>90.44</v>
      </c>
      <c r="X858" s="26">
        <v>91310</v>
      </c>
      <c r="Y858" s="35">
        <v>28.919999999999998</v>
      </c>
      <c r="Z858" s="1" t="s">
        <v>3012</v>
      </c>
      <c r="AA858" s="36">
        <v>0</v>
      </c>
      <c r="AB858" s="54">
        <v>56.072800000000001</v>
      </c>
      <c r="AC858" s="54">
        <v>4.9096000000000002</v>
      </c>
      <c r="AD858" s="36">
        <v>53.46</v>
      </c>
    </row>
    <row r="859" spans="1:30" s="37" customFormat="1" ht="15.75" customHeight="1" x14ac:dyDescent="0.2">
      <c r="A859" s="26">
        <v>2502</v>
      </c>
      <c r="B859" s="27" t="s">
        <v>1730</v>
      </c>
      <c r="C859" s="27" t="s">
        <v>38</v>
      </c>
      <c r="D859" s="28">
        <v>0.1</v>
      </c>
      <c r="E859" s="29">
        <v>24.92</v>
      </c>
      <c r="F859" s="29">
        <v>12.98</v>
      </c>
      <c r="G859" s="30" t="s">
        <v>39</v>
      </c>
      <c r="H859" s="27" t="s">
        <v>71</v>
      </c>
      <c r="I859" s="27" t="s">
        <v>49</v>
      </c>
      <c r="J859" s="27" t="s">
        <v>72</v>
      </c>
      <c r="K859" s="27" t="s">
        <v>73</v>
      </c>
      <c r="L859" s="31" t="s">
        <v>1731</v>
      </c>
      <c r="M859" s="32">
        <v>0.39</v>
      </c>
      <c r="N859" s="27" t="s">
        <v>33</v>
      </c>
      <c r="O859" s="27" t="s">
        <v>53</v>
      </c>
      <c r="P859" s="27" t="s">
        <v>54</v>
      </c>
      <c r="Q859" s="27" t="s">
        <v>1732</v>
      </c>
      <c r="R859" s="33">
        <v>46321</v>
      </c>
      <c r="S859" s="34">
        <v>42082</v>
      </c>
      <c r="T859" s="34">
        <v>42082</v>
      </c>
      <c r="U859" s="29">
        <v>-45.816000000000003</v>
      </c>
      <c r="V859" s="26">
        <v>3</v>
      </c>
      <c r="W859" s="29">
        <v>70.819999999999993</v>
      </c>
      <c r="X859" s="26">
        <v>91310</v>
      </c>
      <c r="Y859" s="35">
        <v>39.44</v>
      </c>
      <c r="Z859" s="1" t="s">
        <v>3012</v>
      </c>
      <c r="AA859" s="36">
        <v>7.4760000000000009</v>
      </c>
      <c r="AB859" s="54">
        <v>43.200199999999995</v>
      </c>
      <c r="AC859" s="54">
        <v>9.2065999999999999</v>
      </c>
      <c r="AD859" s="36">
        <v>96.179999999999993</v>
      </c>
    </row>
    <row r="860" spans="1:30" s="37" customFormat="1" ht="15.75" customHeight="1" x14ac:dyDescent="0.2">
      <c r="A860" s="26">
        <v>1852</v>
      </c>
      <c r="B860" s="27" t="s">
        <v>1744</v>
      </c>
      <c r="C860" s="27" t="s">
        <v>3094</v>
      </c>
      <c r="D860" s="28">
        <v>0.06</v>
      </c>
      <c r="E860" s="29">
        <v>6.48</v>
      </c>
      <c r="F860" s="29">
        <v>5.14</v>
      </c>
      <c r="G860" s="30" t="s">
        <v>87</v>
      </c>
      <c r="H860" s="27" t="s">
        <v>71</v>
      </c>
      <c r="I860" s="27" t="s">
        <v>49</v>
      </c>
      <c r="J860" s="27" t="s">
        <v>88</v>
      </c>
      <c r="K860" s="27" t="s">
        <v>73</v>
      </c>
      <c r="L860" s="31" t="s">
        <v>1745</v>
      </c>
      <c r="M860" s="32">
        <v>0.37</v>
      </c>
      <c r="N860" s="27" t="s">
        <v>33</v>
      </c>
      <c r="O860" s="27" t="s">
        <v>60</v>
      </c>
      <c r="P860" s="27" t="s">
        <v>90</v>
      </c>
      <c r="Q860" s="27" t="s">
        <v>1746</v>
      </c>
      <c r="R860" s="33">
        <v>92008</v>
      </c>
      <c r="S860" s="34">
        <v>42082</v>
      </c>
      <c r="T860" s="34">
        <v>42084</v>
      </c>
      <c r="U860" s="29">
        <v>-28.45</v>
      </c>
      <c r="V860" s="26">
        <v>10</v>
      </c>
      <c r="W860" s="29">
        <v>68.34</v>
      </c>
      <c r="X860" s="26">
        <v>86847</v>
      </c>
      <c r="Y860" s="35">
        <v>8.1199999999999992</v>
      </c>
      <c r="Z860" s="1" t="s">
        <v>3013</v>
      </c>
      <c r="AA860" s="36">
        <v>3.8880000000000003</v>
      </c>
      <c r="AB860" s="54">
        <v>43.054200000000002</v>
      </c>
      <c r="AC860" s="54">
        <v>2.5285800000000003</v>
      </c>
      <c r="AD860" s="36">
        <v>87.762</v>
      </c>
    </row>
    <row r="861" spans="1:30" s="37" customFormat="1" ht="15.75" customHeight="1" x14ac:dyDescent="0.2">
      <c r="A861" s="26">
        <v>771</v>
      </c>
      <c r="B861" s="27" t="s">
        <v>1727</v>
      </c>
      <c r="C861" s="27" t="s">
        <v>26</v>
      </c>
      <c r="D861" s="28">
        <v>0.05</v>
      </c>
      <c r="E861" s="29">
        <v>14.56</v>
      </c>
      <c r="F861" s="29">
        <v>3.5</v>
      </c>
      <c r="G861" s="30" t="s">
        <v>39</v>
      </c>
      <c r="H861" s="27" t="s">
        <v>3095</v>
      </c>
      <c r="I861" s="27" t="s">
        <v>49</v>
      </c>
      <c r="J861" s="27" t="s">
        <v>95</v>
      </c>
      <c r="K861" s="27" t="s">
        <v>73</v>
      </c>
      <c r="L861" s="31" t="s">
        <v>334</v>
      </c>
      <c r="M861" s="32">
        <v>0.57999999999999996</v>
      </c>
      <c r="N861" s="27" t="s">
        <v>33</v>
      </c>
      <c r="O861" s="27" t="s">
        <v>60</v>
      </c>
      <c r="P861" s="27" t="s">
        <v>139</v>
      </c>
      <c r="Q861" s="27" t="s">
        <v>1728</v>
      </c>
      <c r="R861" s="33">
        <v>97068</v>
      </c>
      <c r="S861" s="34">
        <v>42082</v>
      </c>
      <c r="T861" s="34">
        <v>42084</v>
      </c>
      <c r="U861" s="29">
        <v>-8.5299999999999994</v>
      </c>
      <c r="V861" s="26">
        <v>3</v>
      </c>
      <c r="W861" s="29">
        <v>44.66</v>
      </c>
      <c r="X861" s="26">
        <v>88667</v>
      </c>
      <c r="Y861" s="35">
        <v>6.4200000000000008</v>
      </c>
      <c r="Z861" s="1" t="s">
        <v>3013</v>
      </c>
      <c r="AA861" s="36">
        <v>2.1840000000000002</v>
      </c>
      <c r="AB861" s="54">
        <v>18.757200000000001</v>
      </c>
      <c r="AC861" s="54">
        <v>8.6342666666666652</v>
      </c>
      <c r="AD861" s="36">
        <v>47.505999999999993</v>
      </c>
    </row>
    <row r="862" spans="1:30" s="37" customFormat="1" ht="15.75" customHeight="1" x14ac:dyDescent="0.2">
      <c r="A862" s="26">
        <v>383</v>
      </c>
      <c r="B862" s="27" t="s">
        <v>1722</v>
      </c>
      <c r="C862" s="27" t="s">
        <v>26</v>
      </c>
      <c r="D862" s="28">
        <v>0.06</v>
      </c>
      <c r="E862" s="29">
        <v>5.34</v>
      </c>
      <c r="F862" s="29">
        <v>5.63</v>
      </c>
      <c r="G862" s="30" t="s">
        <v>39</v>
      </c>
      <c r="H862" s="27" t="s">
        <v>94</v>
      </c>
      <c r="I862" s="27" t="s">
        <v>49</v>
      </c>
      <c r="J862" s="27" t="s">
        <v>72</v>
      </c>
      <c r="K862" s="27" t="s">
        <v>73</v>
      </c>
      <c r="L862" s="31" t="s">
        <v>1723</v>
      </c>
      <c r="M862" s="32">
        <v>0.39</v>
      </c>
      <c r="N862" s="27" t="s">
        <v>33</v>
      </c>
      <c r="O862" s="27" t="s">
        <v>111</v>
      </c>
      <c r="P862" s="27" t="s">
        <v>320</v>
      </c>
      <c r="Q862" s="27" t="s">
        <v>1724</v>
      </c>
      <c r="R862" s="33">
        <v>19026</v>
      </c>
      <c r="S862" s="34">
        <v>42082</v>
      </c>
      <c r="T862" s="34">
        <v>42082</v>
      </c>
      <c r="U862" s="29">
        <v>-82.822999999999993</v>
      </c>
      <c r="V862" s="26">
        <v>7</v>
      </c>
      <c r="W862" s="29">
        <v>38.65</v>
      </c>
      <c r="X862" s="26">
        <v>88928</v>
      </c>
      <c r="Y862" s="35">
        <v>30.71</v>
      </c>
      <c r="Z862" s="1" t="s">
        <v>3014</v>
      </c>
      <c r="AA862" s="36">
        <v>2.2427999999999999</v>
      </c>
      <c r="AB862" s="54">
        <v>23.576499999999999</v>
      </c>
      <c r="AC862" s="54">
        <v>2.1533571428571427</v>
      </c>
      <c r="AD862" s="36">
        <v>113.6002</v>
      </c>
    </row>
    <row r="863" spans="1:30" s="37" customFormat="1" ht="15.75" customHeight="1" x14ac:dyDescent="0.2">
      <c r="A863" s="26">
        <v>2639</v>
      </c>
      <c r="B863" s="27" t="s">
        <v>1749</v>
      </c>
      <c r="C863" s="27" t="s">
        <v>3094</v>
      </c>
      <c r="D863" s="28">
        <v>0.05</v>
      </c>
      <c r="E863" s="29">
        <v>4.9800000000000004</v>
      </c>
      <c r="F863" s="29">
        <v>0.49</v>
      </c>
      <c r="G863" s="30" t="s">
        <v>39</v>
      </c>
      <c r="H863" s="27" t="s">
        <v>40</v>
      </c>
      <c r="I863" s="27" t="s">
        <v>49</v>
      </c>
      <c r="J863" s="27" t="s">
        <v>152</v>
      </c>
      <c r="K863" s="27" t="s">
        <v>73</v>
      </c>
      <c r="L863" s="31" t="s">
        <v>1103</v>
      </c>
      <c r="M863" s="32">
        <v>0.39</v>
      </c>
      <c r="N863" s="27" t="s">
        <v>33</v>
      </c>
      <c r="O863" s="27" t="s">
        <v>60</v>
      </c>
      <c r="P863" s="27" t="s">
        <v>640</v>
      </c>
      <c r="Q863" s="27" t="s">
        <v>195</v>
      </c>
      <c r="R863" s="33">
        <v>88201</v>
      </c>
      <c r="S863" s="34">
        <v>42082</v>
      </c>
      <c r="T863" s="34">
        <v>42082</v>
      </c>
      <c r="U863" s="29">
        <v>3.84</v>
      </c>
      <c r="V863" s="26">
        <v>3</v>
      </c>
      <c r="W863" s="29">
        <v>14.2</v>
      </c>
      <c r="X863" s="26">
        <v>90952</v>
      </c>
      <c r="Y863" s="35">
        <v>4.9300000000000006</v>
      </c>
      <c r="Z863" s="1" t="s">
        <v>3013</v>
      </c>
      <c r="AA863" s="36">
        <v>0.74700000000000011</v>
      </c>
      <c r="AB863" s="54">
        <v>8.661999999999999</v>
      </c>
      <c r="AC863" s="54">
        <v>1.8460000000000001</v>
      </c>
      <c r="AD863" s="36">
        <v>9.1229999999999993</v>
      </c>
    </row>
    <row r="864" spans="1:30" s="37" customFormat="1" ht="15.75" customHeight="1" x14ac:dyDescent="0.2">
      <c r="A864" s="26">
        <v>3106</v>
      </c>
      <c r="B864" s="27" t="s">
        <v>1752</v>
      </c>
      <c r="C864" s="27" t="s">
        <v>26</v>
      </c>
      <c r="D864" s="28">
        <v>0.04</v>
      </c>
      <c r="E864" s="29">
        <v>125.99</v>
      </c>
      <c r="F864" s="29">
        <v>4.2</v>
      </c>
      <c r="G864" s="30" t="s">
        <v>39</v>
      </c>
      <c r="H864" s="27" t="s">
        <v>71</v>
      </c>
      <c r="I864" s="27" t="s">
        <v>41</v>
      </c>
      <c r="J864" s="27" t="s">
        <v>135</v>
      </c>
      <c r="K864" s="27" t="s">
        <v>73</v>
      </c>
      <c r="L864" s="31" t="s">
        <v>1426</v>
      </c>
      <c r="M864" s="32">
        <v>0.59</v>
      </c>
      <c r="N864" s="27" t="s">
        <v>33</v>
      </c>
      <c r="O864" s="27" t="s">
        <v>53</v>
      </c>
      <c r="P864" s="27" t="s">
        <v>187</v>
      </c>
      <c r="Q864" s="27" t="s">
        <v>1753</v>
      </c>
      <c r="R864" s="33">
        <v>77041</v>
      </c>
      <c r="S864" s="34">
        <v>42083</v>
      </c>
      <c r="T864" s="34">
        <v>42085</v>
      </c>
      <c r="U864" s="29">
        <v>510.48899999999998</v>
      </c>
      <c r="V864" s="26">
        <v>47</v>
      </c>
      <c r="W864" s="29">
        <v>4976.92</v>
      </c>
      <c r="X864" s="26">
        <v>548</v>
      </c>
      <c r="Y864" s="35">
        <v>3.04</v>
      </c>
      <c r="Z864" s="1" t="s">
        <v>3012</v>
      </c>
      <c r="AA864" s="36">
        <v>236.8612</v>
      </c>
      <c r="AB864" s="54">
        <v>2040.5372000000002</v>
      </c>
      <c r="AC864" s="54">
        <v>62.47622978723404</v>
      </c>
      <c r="AD864" s="36">
        <v>4225.3698000000004</v>
      </c>
    </row>
    <row r="865" spans="1:30" s="37" customFormat="1" ht="15.75" customHeight="1" x14ac:dyDescent="0.2">
      <c r="A865" s="26">
        <v>640</v>
      </c>
      <c r="B865" s="27" t="s">
        <v>1185</v>
      </c>
      <c r="C865" s="27" t="s">
        <v>48</v>
      </c>
      <c r="D865" s="28">
        <v>0.06</v>
      </c>
      <c r="E865" s="29">
        <v>160.97999999999999</v>
      </c>
      <c r="F865" s="29">
        <v>35.020000000000003</v>
      </c>
      <c r="G865" s="30" t="s">
        <v>27</v>
      </c>
      <c r="H865" s="27" t="s">
        <v>40</v>
      </c>
      <c r="I865" s="27" t="s">
        <v>29</v>
      </c>
      <c r="J865" s="27" t="s">
        <v>117</v>
      </c>
      <c r="K865" s="27" t="s">
        <v>31</v>
      </c>
      <c r="L865" s="31" t="s">
        <v>1755</v>
      </c>
      <c r="M865" s="32">
        <v>0.72</v>
      </c>
      <c r="N865" s="27" t="s">
        <v>33</v>
      </c>
      <c r="O865" s="27" t="s">
        <v>60</v>
      </c>
      <c r="P865" s="27" t="s">
        <v>67</v>
      </c>
      <c r="Q865" s="27" t="s">
        <v>142</v>
      </c>
      <c r="R865" s="33">
        <v>98119</v>
      </c>
      <c r="S865" s="34">
        <v>42083</v>
      </c>
      <c r="T865" s="34">
        <v>42087</v>
      </c>
      <c r="U865" s="29">
        <v>-229.68</v>
      </c>
      <c r="V865" s="26">
        <v>30</v>
      </c>
      <c r="W865" s="29">
        <v>4620.05</v>
      </c>
      <c r="X865" s="26">
        <v>11077</v>
      </c>
      <c r="Y865" s="35">
        <v>6.4600000000000009</v>
      </c>
      <c r="Z865" s="1" t="s">
        <v>3013</v>
      </c>
      <c r="AA865" s="36">
        <v>289.76400000000001</v>
      </c>
      <c r="AB865" s="54">
        <v>1293.6140000000003</v>
      </c>
      <c r="AC865" s="54">
        <v>110.88119999999999</v>
      </c>
      <c r="AD865" s="36">
        <v>4524.9459999999999</v>
      </c>
    </row>
    <row r="866" spans="1:30" s="37" customFormat="1" ht="15.75" customHeight="1" x14ac:dyDescent="0.2">
      <c r="A866" s="26">
        <v>314</v>
      </c>
      <c r="B866" s="27" t="s">
        <v>1757</v>
      </c>
      <c r="C866" s="27" t="s">
        <v>116</v>
      </c>
      <c r="D866" s="28">
        <v>0.04</v>
      </c>
      <c r="E866" s="29">
        <v>1637.53</v>
      </c>
      <c r="F866" s="29">
        <v>24.49</v>
      </c>
      <c r="G866" s="30" t="s">
        <v>39</v>
      </c>
      <c r="H866" s="27" t="s">
        <v>94</v>
      </c>
      <c r="I866" s="27" t="s">
        <v>49</v>
      </c>
      <c r="J866" s="27" t="s">
        <v>568</v>
      </c>
      <c r="K866" s="27" t="s">
        <v>144</v>
      </c>
      <c r="L866" s="31" t="s">
        <v>1758</v>
      </c>
      <c r="M866" s="32">
        <v>0.81</v>
      </c>
      <c r="N866" s="27" t="s">
        <v>33</v>
      </c>
      <c r="O866" s="27" t="s">
        <v>53</v>
      </c>
      <c r="P866" s="27" t="s">
        <v>103</v>
      </c>
      <c r="Q866" s="27" t="s">
        <v>1759</v>
      </c>
      <c r="R866" s="33">
        <v>60130</v>
      </c>
      <c r="S866" s="34">
        <v>42083</v>
      </c>
      <c r="T866" s="34">
        <v>42085</v>
      </c>
      <c r="U866" s="29">
        <v>-1759.58</v>
      </c>
      <c r="V866" s="26">
        <v>2</v>
      </c>
      <c r="W866" s="29">
        <v>3206.94</v>
      </c>
      <c r="X866" s="26">
        <v>89166</v>
      </c>
      <c r="Y866" s="35">
        <v>125.94999999999999</v>
      </c>
      <c r="Z866" s="1" t="s">
        <v>3012</v>
      </c>
      <c r="AA866" s="36">
        <v>131.00239999999999</v>
      </c>
      <c r="AB866" s="54">
        <v>609.31859999999983</v>
      </c>
      <c r="AC866" s="54">
        <v>1298.8107</v>
      </c>
      <c r="AD866" s="36">
        <v>4811.0275999999994</v>
      </c>
    </row>
    <row r="867" spans="1:30" s="37" customFormat="1" ht="15.75" customHeight="1" x14ac:dyDescent="0.2">
      <c r="A867" s="26">
        <v>3105</v>
      </c>
      <c r="B867" s="27" t="s">
        <v>1750</v>
      </c>
      <c r="C867" s="27" t="s">
        <v>26</v>
      </c>
      <c r="D867" s="28">
        <v>0.04</v>
      </c>
      <c r="E867" s="29">
        <v>125.99</v>
      </c>
      <c r="F867" s="29">
        <v>4.2</v>
      </c>
      <c r="G867" s="30" t="s">
        <v>39</v>
      </c>
      <c r="H867" s="27" t="s">
        <v>71</v>
      </c>
      <c r="I867" s="27" t="s">
        <v>41</v>
      </c>
      <c r="J867" s="27" t="s">
        <v>135</v>
      </c>
      <c r="K867" s="27" t="s">
        <v>73</v>
      </c>
      <c r="L867" s="31" t="s">
        <v>1426</v>
      </c>
      <c r="M867" s="32">
        <v>0.59</v>
      </c>
      <c r="N867" s="27" t="s">
        <v>33</v>
      </c>
      <c r="O867" s="27" t="s">
        <v>34</v>
      </c>
      <c r="P867" s="27" t="s">
        <v>388</v>
      </c>
      <c r="Q867" s="27" t="s">
        <v>949</v>
      </c>
      <c r="R867" s="33">
        <v>42071</v>
      </c>
      <c r="S867" s="34">
        <v>42083</v>
      </c>
      <c r="T867" s="34">
        <v>42085</v>
      </c>
      <c r="U867" s="29">
        <v>-236.25</v>
      </c>
      <c r="V867" s="26">
        <v>12</v>
      </c>
      <c r="W867" s="29">
        <v>1270.7</v>
      </c>
      <c r="X867" s="26">
        <v>86327</v>
      </c>
      <c r="Y867" s="35">
        <v>3.04</v>
      </c>
      <c r="Z867" s="1" t="s">
        <v>3011</v>
      </c>
      <c r="AA867" s="36">
        <v>60.475200000000001</v>
      </c>
      <c r="AB867" s="54">
        <v>520.98700000000008</v>
      </c>
      <c r="AC867" s="54">
        <v>62.476083333333328</v>
      </c>
      <c r="AD867" s="36">
        <v>1442.2748000000001</v>
      </c>
    </row>
    <row r="868" spans="1:30" s="37" customFormat="1" ht="15.75" customHeight="1" x14ac:dyDescent="0.2">
      <c r="A868" s="26">
        <v>637</v>
      </c>
      <c r="B868" s="27" t="s">
        <v>1754</v>
      </c>
      <c r="C868" s="27" t="s">
        <v>48</v>
      </c>
      <c r="D868" s="28">
        <v>0.06</v>
      </c>
      <c r="E868" s="29">
        <v>160.97999999999999</v>
      </c>
      <c r="F868" s="29">
        <v>35.020000000000003</v>
      </c>
      <c r="G868" s="30" t="s">
        <v>27</v>
      </c>
      <c r="H868" s="27" t="s">
        <v>40</v>
      </c>
      <c r="I868" s="27" t="s">
        <v>29</v>
      </c>
      <c r="J868" s="27" t="s">
        <v>117</v>
      </c>
      <c r="K868" s="27" t="s">
        <v>31</v>
      </c>
      <c r="L868" s="31" t="s">
        <v>1755</v>
      </c>
      <c r="M868" s="32">
        <v>0.72</v>
      </c>
      <c r="N868" s="27" t="s">
        <v>33</v>
      </c>
      <c r="O868" s="27" t="s">
        <v>60</v>
      </c>
      <c r="P868" s="27" t="s">
        <v>90</v>
      </c>
      <c r="Q868" s="27" t="s">
        <v>1756</v>
      </c>
      <c r="R868" s="33">
        <v>95051</v>
      </c>
      <c r="S868" s="34">
        <v>42083</v>
      </c>
      <c r="T868" s="34">
        <v>42087</v>
      </c>
      <c r="U868" s="29">
        <v>-229.68</v>
      </c>
      <c r="V868" s="26">
        <v>8</v>
      </c>
      <c r="W868" s="29">
        <v>1232.01</v>
      </c>
      <c r="X868" s="26">
        <v>87953</v>
      </c>
      <c r="Y868" s="35">
        <v>6.4600000000000009</v>
      </c>
      <c r="Z868" s="1" t="s">
        <v>3013</v>
      </c>
      <c r="AA868" s="36">
        <v>77.270399999999995</v>
      </c>
      <c r="AB868" s="54">
        <v>344.96280000000002</v>
      </c>
      <c r="AC868" s="54">
        <v>110.8809</v>
      </c>
      <c r="AD868" s="36">
        <v>1349.3996</v>
      </c>
    </row>
    <row r="869" spans="1:30" s="37" customFormat="1" ht="15.75" customHeight="1" x14ac:dyDescent="0.2">
      <c r="A869" s="26">
        <v>3106</v>
      </c>
      <c r="B869" s="27" t="s">
        <v>1752</v>
      </c>
      <c r="C869" s="27" t="s">
        <v>26</v>
      </c>
      <c r="D869" s="28">
        <v>0.02</v>
      </c>
      <c r="E869" s="29">
        <v>6.48</v>
      </c>
      <c r="F869" s="29">
        <v>5.9</v>
      </c>
      <c r="G869" s="30" t="s">
        <v>39</v>
      </c>
      <c r="H869" s="27" t="s">
        <v>71</v>
      </c>
      <c r="I869" s="27" t="s">
        <v>49</v>
      </c>
      <c r="J869" s="27" t="s">
        <v>88</v>
      </c>
      <c r="K869" s="27" t="s">
        <v>73</v>
      </c>
      <c r="L869" s="31" t="s">
        <v>1751</v>
      </c>
      <c r="M869" s="32">
        <v>0.37</v>
      </c>
      <c r="N869" s="27" t="s">
        <v>33</v>
      </c>
      <c r="O869" s="27" t="s">
        <v>53</v>
      </c>
      <c r="P869" s="27" t="s">
        <v>187</v>
      </c>
      <c r="Q869" s="27" t="s">
        <v>1753</v>
      </c>
      <c r="R869" s="33">
        <v>77041</v>
      </c>
      <c r="S869" s="34">
        <v>42083</v>
      </c>
      <c r="T869" s="34">
        <v>42084</v>
      </c>
      <c r="U869" s="29">
        <v>-50.64</v>
      </c>
      <c r="V869" s="26">
        <v>53</v>
      </c>
      <c r="W869" s="29">
        <v>370.91</v>
      </c>
      <c r="X869" s="26">
        <v>548</v>
      </c>
      <c r="Y869" s="35">
        <v>125.94999999999999</v>
      </c>
      <c r="Z869" s="1" t="s">
        <v>3012</v>
      </c>
      <c r="AA869" s="36">
        <v>6.8688000000000011</v>
      </c>
      <c r="AB869" s="54">
        <v>233.67330000000001</v>
      </c>
      <c r="AC869" s="54">
        <v>2.5893716981132076</v>
      </c>
      <c r="AD869" s="36">
        <v>408.78120000000001</v>
      </c>
    </row>
    <row r="870" spans="1:30" s="37" customFormat="1" ht="15.75" customHeight="1" x14ac:dyDescent="0.2">
      <c r="A870" s="26">
        <v>1679</v>
      </c>
      <c r="B870" s="27" t="s">
        <v>1766</v>
      </c>
      <c r="C870" s="27" t="s">
        <v>116</v>
      </c>
      <c r="D870" s="28">
        <v>7.0000000000000007E-2</v>
      </c>
      <c r="E870" s="29">
        <v>13.73</v>
      </c>
      <c r="F870" s="29">
        <v>6.85</v>
      </c>
      <c r="G870" s="30" t="s">
        <v>39</v>
      </c>
      <c r="H870" s="27" t="s">
        <v>40</v>
      </c>
      <c r="I870" s="27" t="s">
        <v>29</v>
      </c>
      <c r="J870" s="27" t="s">
        <v>126</v>
      </c>
      <c r="K870" s="27" t="s">
        <v>51</v>
      </c>
      <c r="L870" s="31" t="s">
        <v>1767</v>
      </c>
      <c r="M870" s="32">
        <v>0.54</v>
      </c>
      <c r="N870" s="27" t="s">
        <v>33</v>
      </c>
      <c r="O870" s="27" t="s">
        <v>111</v>
      </c>
      <c r="P870" s="27" t="s">
        <v>317</v>
      </c>
      <c r="Q870" s="27" t="s">
        <v>1768</v>
      </c>
      <c r="R870" s="33">
        <v>45324</v>
      </c>
      <c r="S870" s="34">
        <v>42083</v>
      </c>
      <c r="T870" s="34">
        <v>42084</v>
      </c>
      <c r="U870" s="29">
        <v>-22.72</v>
      </c>
      <c r="V870" s="26">
        <v>21</v>
      </c>
      <c r="W870" s="29">
        <v>276.64</v>
      </c>
      <c r="X870" s="26">
        <v>86646</v>
      </c>
      <c r="Y870" s="35">
        <v>160.91999999999999</v>
      </c>
      <c r="Z870" s="1" t="s">
        <v>3014</v>
      </c>
      <c r="AA870" s="36">
        <v>20.183100000000003</v>
      </c>
      <c r="AB870" s="54">
        <v>127.25439999999999</v>
      </c>
      <c r="AC870" s="54">
        <v>7.1135999999999999</v>
      </c>
      <c r="AD870" s="36">
        <v>272.32689999999997</v>
      </c>
    </row>
    <row r="871" spans="1:30" s="37" customFormat="1" ht="15.75" customHeight="1" x14ac:dyDescent="0.2">
      <c r="A871" s="26">
        <v>3106</v>
      </c>
      <c r="B871" s="27" t="s">
        <v>1752</v>
      </c>
      <c r="C871" s="27" t="s">
        <v>26</v>
      </c>
      <c r="D871" s="28">
        <v>0.04</v>
      </c>
      <c r="E871" s="29">
        <v>3.08</v>
      </c>
      <c r="F871" s="29">
        <v>0.99</v>
      </c>
      <c r="G871" s="30" t="s">
        <v>39</v>
      </c>
      <c r="H871" s="27" t="s">
        <v>71</v>
      </c>
      <c r="I871" s="27" t="s">
        <v>49</v>
      </c>
      <c r="J871" s="27" t="s">
        <v>152</v>
      </c>
      <c r="K871" s="27" t="s">
        <v>73</v>
      </c>
      <c r="L871" s="31" t="s">
        <v>658</v>
      </c>
      <c r="M871" s="32">
        <v>0.37</v>
      </c>
      <c r="N871" s="27" t="s">
        <v>33</v>
      </c>
      <c r="O871" s="27" t="s">
        <v>53</v>
      </c>
      <c r="P871" s="27" t="s">
        <v>187</v>
      </c>
      <c r="Q871" s="27" t="s">
        <v>1753</v>
      </c>
      <c r="R871" s="33">
        <v>77041</v>
      </c>
      <c r="S871" s="34">
        <v>42083</v>
      </c>
      <c r="T871" s="34">
        <v>42084</v>
      </c>
      <c r="U871" s="29">
        <v>36.020000000000003</v>
      </c>
      <c r="V871" s="26">
        <v>75</v>
      </c>
      <c r="W871" s="29">
        <v>236.87</v>
      </c>
      <c r="X871" s="26">
        <v>548</v>
      </c>
      <c r="Y871" s="35">
        <v>160.91999999999999</v>
      </c>
      <c r="Z871" s="1" t="s">
        <v>3012</v>
      </c>
      <c r="AA871" s="36">
        <v>9.24</v>
      </c>
      <c r="AB871" s="54">
        <v>149.22810000000001</v>
      </c>
      <c r="AC871" s="54">
        <v>1.1685586666666665</v>
      </c>
      <c r="AD871" s="36">
        <v>190.62</v>
      </c>
    </row>
    <row r="872" spans="1:30" s="37" customFormat="1" ht="15.75" customHeight="1" x14ac:dyDescent="0.2">
      <c r="A872" s="26">
        <v>669</v>
      </c>
      <c r="B872" s="27" t="s">
        <v>1763</v>
      </c>
      <c r="C872" s="27" t="s">
        <v>116</v>
      </c>
      <c r="D872" s="28">
        <v>0.02</v>
      </c>
      <c r="E872" s="29">
        <v>48.91</v>
      </c>
      <c r="F872" s="29">
        <v>5.81</v>
      </c>
      <c r="G872" s="30" t="s">
        <v>39</v>
      </c>
      <c r="H872" s="27" t="s">
        <v>71</v>
      </c>
      <c r="I872" s="27" t="s">
        <v>49</v>
      </c>
      <c r="J872" s="27" t="s">
        <v>88</v>
      </c>
      <c r="K872" s="27" t="s">
        <v>73</v>
      </c>
      <c r="L872" s="31" t="s">
        <v>1765</v>
      </c>
      <c r="M872" s="32">
        <v>0.38</v>
      </c>
      <c r="N872" s="27" t="s">
        <v>33</v>
      </c>
      <c r="O872" s="27" t="s">
        <v>53</v>
      </c>
      <c r="P872" s="27" t="s">
        <v>213</v>
      </c>
      <c r="Q872" s="27" t="s">
        <v>1764</v>
      </c>
      <c r="R872" s="33">
        <v>52501</v>
      </c>
      <c r="S872" s="34">
        <v>42083</v>
      </c>
      <c r="T872" s="34">
        <v>42084</v>
      </c>
      <c r="U872" s="29">
        <v>32.86</v>
      </c>
      <c r="V872" s="26">
        <v>2</v>
      </c>
      <c r="W872" s="29">
        <v>101.06</v>
      </c>
      <c r="X872" s="26">
        <v>88475</v>
      </c>
      <c r="Y872" s="35">
        <v>1637.49</v>
      </c>
      <c r="Z872" s="1" t="s">
        <v>3012</v>
      </c>
      <c r="AA872" s="36">
        <v>1.9563999999999999</v>
      </c>
      <c r="AB872" s="54">
        <v>62.657200000000003</v>
      </c>
      <c r="AC872" s="54">
        <v>19.2014</v>
      </c>
      <c r="AD872" s="36">
        <v>60.433599999999998</v>
      </c>
    </row>
    <row r="873" spans="1:30" s="37" customFormat="1" ht="15.75" customHeight="1" x14ac:dyDescent="0.2">
      <c r="A873" s="26">
        <v>3361</v>
      </c>
      <c r="B873" s="27" t="s">
        <v>810</v>
      </c>
      <c r="C873" s="27" t="s">
        <v>3094</v>
      </c>
      <c r="D873" s="28">
        <v>0.06</v>
      </c>
      <c r="E873" s="29">
        <v>12.64</v>
      </c>
      <c r="F873" s="29">
        <v>4.9800000000000004</v>
      </c>
      <c r="G873" s="30" t="s">
        <v>39</v>
      </c>
      <c r="H873" s="27" t="s">
        <v>71</v>
      </c>
      <c r="I873" s="27" t="s">
        <v>29</v>
      </c>
      <c r="J873" s="27" t="s">
        <v>126</v>
      </c>
      <c r="K873" s="27" t="s">
        <v>43</v>
      </c>
      <c r="L873" s="31" t="s">
        <v>1773</v>
      </c>
      <c r="M873" s="32">
        <v>0.48</v>
      </c>
      <c r="N873" s="27" t="s">
        <v>33</v>
      </c>
      <c r="O873" s="27" t="s">
        <v>53</v>
      </c>
      <c r="P873" s="27" t="s">
        <v>357</v>
      </c>
      <c r="Q873" s="27" t="s">
        <v>812</v>
      </c>
      <c r="R873" s="33">
        <v>53095</v>
      </c>
      <c r="S873" s="34">
        <v>42083</v>
      </c>
      <c r="T873" s="34">
        <v>42085</v>
      </c>
      <c r="U873" s="29">
        <v>65.63</v>
      </c>
      <c r="V873" s="26">
        <v>8</v>
      </c>
      <c r="W873" s="29">
        <v>98.16</v>
      </c>
      <c r="X873" s="26">
        <v>91435</v>
      </c>
      <c r="Y873" s="35">
        <v>19.97</v>
      </c>
      <c r="Z873" s="1" t="s">
        <v>3012</v>
      </c>
      <c r="AA873" s="36">
        <v>6.0671999999999997</v>
      </c>
      <c r="AB873" s="54">
        <v>51.043199999999999</v>
      </c>
      <c r="AC873" s="54">
        <v>5.8895999999999997</v>
      </c>
      <c r="AD873" s="36">
        <v>21.482799999999997</v>
      </c>
    </row>
    <row r="874" spans="1:30" s="37" customFormat="1" ht="15.75" customHeight="1" x14ac:dyDescent="0.2">
      <c r="A874" s="26">
        <v>3105</v>
      </c>
      <c r="B874" s="27" t="s">
        <v>1750</v>
      </c>
      <c r="C874" s="27" t="s">
        <v>26</v>
      </c>
      <c r="D874" s="28">
        <v>0.02</v>
      </c>
      <c r="E874" s="29">
        <v>6.48</v>
      </c>
      <c r="F874" s="29">
        <v>5.9</v>
      </c>
      <c r="G874" s="30" t="s">
        <v>39</v>
      </c>
      <c r="H874" s="27" t="s">
        <v>71</v>
      </c>
      <c r="I874" s="27" t="s">
        <v>49</v>
      </c>
      <c r="J874" s="27" t="s">
        <v>88</v>
      </c>
      <c r="K874" s="27" t="s">
        <v>73</v>
      </c>
      <c r="L874" s="31" t="s">
        <v>1751</v>
      </c>
      <c r="M874" s="32">
        <v>0.37</v>
      </c>
      <c r="N874" s="27" t="s">
        <v>33</v>
      </c>
      <c r="O874" s="27" t="s">
        <v>34</v>
      </c>
      <c r="P874" s="27" t="s">
        <v>388</v>
      </c>
      <c r="Q874" s="27" t="s">
        <v>949</v>
      </c>
      <c r="R874" s="33">
        <v>42071</v>
      </c>
      <c r="S874" s="34">
        <v>42083</v>
      </c>
      <c r="T874" s="34">
        <v>42084</v>
      </c>
      <c r="U874" s="29">
        <v>4.3920000000000003</v>
      </c>
      <c r="V874" s="26">
        <v>13</v>
      </c>
      <c r="W874" s="29">
        <v>90.98</v>
      </c>
      <c r="X874" s="26">
        <v>86327</v>
      </c>
      <c r="Y874" s="35">
        <v>2.8000000000000003</v>
      </c>
      <c r="Z874" s="1" t="s">
        <v>3011</v>
      </c>
      <c r="AA874" s="36">
        <v>1.6848000000000003</v>
      </c>
      <c r="AB874" s="54">
        <v>57.317400000000006</v>
      </c>
      <c r="AC874" s="54">
        <v>2.5894307692307694</v>
      </c>
      <c r="AD874" s="36">
        <v>79.003200000000007</v>
      </c>
    </row>
    <row r="875" spans="1:30" s="37" customFormat="1" ht="15.75" customHeight="1" x14ac:dyDescent="0.2">
      <c r="A875" s="26">
        <v>3105</v>
      </c>
      <c r="B875" s="27" t="s">
        <v>1750</v>
      </c>
      <c r="C875" s="27" t="s">
        <v>26</v>
      </c>
      <c r="D875" s="28">
        <v>0.04</v>
      </c>
      <c r="E875" s="29">
        <v>3.08</v>
      </c>
      <c r="F875" s="29">
        <v>0.99</v>
      </c>
      <c r="G875" s="30" t="s">
        <v>39</v>
      </c>
      <c r="H875" s="27" t="s">
        <v>71</v>
      </c>
      <c r="I875" s="27" t="s">
        <v>49</v>
      </c>
      <c r="J875" s="27" t="s">
        <v>152</v>
      </c>
      <c r="K875" s="27" t="s">
        <v>73</v>
      </c>
      <c r="L875" s="31" t="s">
        <v>658</v>
      </c>
      <c r="M875" s="32">
        <v>0.37</v>
      </c>
      <c r="N875" s="27" t="s">
        <v>33</v>
      </c>
      <c r="O875" s="27" t="s">
        <v>34</v>
      </c>
      <c r="P875" s="27" t="s">
        <v>388</v>
      </c>
      <c r="Q875" s="27" t="s">
        <v>949</v>
      </c>
      <c r="R875" s="33">
        <v>42071</v>
      </c>
      <c r="S875" s="34">
        <v>42083</v>
      </c>
      <c r="T875" s="34">
        <v>42084</v>
      </c>
      <c r="U875" s="29">
        <v>13.8</v>
      </c>
      <c r="V875" s="26">
        <v>19</v>
      </c>
      <c r="W875" s="29">
        <v>60.01</v>
      </c>
      <c r="X875" s="26">
        <v>86327</v>
      </c>
      <c r="Y875" s="35">
        <v>48.889999999999993</v>
      </c>
      <c r="Z875" s="1" t="s">
        <v>3011</v>
      </c>
      <c r="AA875" s="36">
        <v>2.3408000000000002</v>
      </c>
      <c r="AB875" s="54">
        <v>37.8063</v>
      </c>
      <c r="AC875" s="54">
        <v>1.1686157894736842</v>
      </c>
      <c r="AD875" s="36">
        <v>42.879199999999997</v>
      </c>
    </row>
    <row r="876" spans="1:30" s="37" customFormat="1" ht="15.75" customHeight="1" x14ac:dyDescent="0.2">
      <c r="A876" s="26">
        <v>669</v>
      </c>
      <c r="B876" s="27" t="s">
        <v>1763</v>
      </c>
      <c r="C876" s="27" t="s">
        <v>116</v>
      </c>
      <c r="D876" s="28">
        <v>0.09</v>
      </c>
      <c r="E876" s="29">
        <v>2.89</v>
      </c>
      <c r="F876" s="29">
        <v>0.5</v>
      </c>
      <c r="G876" s="30" t="s">
        <v>39</v>
      </c>
      <c r="H876" s="27" t="s">
        <v>71</v>
      </c>
      <c r="I876" s="27" t="s">
        <v>49</v>
      </c>
      <c r="J876" s="27" t="s">
        <v>152</v>
      </c>
      <c r="K876" s="27" t="s">
        <v>73</v>
      </c>
      <c r="L876" s="31" t="s">
        <v>729</v>
      </c>
      <c r="M876" s="32">
        <v>0.38</v>
      </c>
      <c r="N876" s="27" t="s">
        <v>33</v>
      </c>
      <c r="O876" s="27" t="s">
        <v>53</v>
      </c>
      <c r="P876" s="27" t="s">
        <v>213</v>
      </c>
      <c r="Q876" s="27" t="s">
        <v>1764</v>
      </c>
      <c r="R876" s="33">
        <v>52501</v>
      </c>
      <c r="S876" s="34">
        <v>42083</v>
      </c>
      <c r="T876" s="34">
        <v>42085</v>
      </c>
      <c r="U876" s="29">
        <v>40.482300000000002</v>
      </c>
      <c r="V876" s="26">
        <v>22</v>
      </c>
      <c r="W876" s="29">
        <v>58.67</v>
      </c>
      <c r="X876" s="26">
        <v>88475</v>
      </c>
      <c r="Y876" s="35">
        <v>13.66</v>
      </c>
      <c r="Z876" s="1" t="s">
        <v>3012</v>
      </c>
      <c r="AA876" s="36">
        <v>5.7222</v>
      </c>
      <c r="AB876" s="54">
        <v>36.375399999999999</v>
      </c>
      <c r="AC876" s="54">
        <v>1.0133909090909092</v>
      </c>
      <c r="AD876" s="36">
        <v>11.965499999999999</v>
      </c>
    </row>
    <row r="877" spans="1:30" s="37" customFormat="1" ht="15.75" customHeight="1" x14ac:dyDescent="0.2">
      <c r="A877" s="26">
        <v>315</v>
      </c>
      <c r="B877" s="27" t="s">
        <v>1760</v>
      </c>
      <c r="C877" s="27" t="s">
        <v>116</v>
      </c>
      <c r="D877" s="28">
        <v>0.01</v>
      </c>
      <c r="E877" s="29">
        <v>19.98</v>
      </c>
      <c r="F877" s="29">
        <v>4</v>
      </c>
      <c r="G877" s="30" t="s">
        <v>39</v>
      </c>
      <c r="H877" s="27" t="s">
        <v>94</v>
      </c>
      <c r="I877" s="27" t="s">
        <v>41</v>
      </c>
      <c r="J877" s="27" t="s">
        <v>42</v>
      </c>
      <c r="K877" s="27" t="s">
        <v>73</v>
      </c>
      <c r="L877" s="31" t="s">
        <v>1761</v>
      </c>
      <c r="M877" s="32">
        <v>0.68</v>
      </c>
      <c r="N877" s="27" t="s">
        <v>33</v>
      </c>
      <c r="O877" s="27" t="s">
        <v>111</v>
      </c>
      <c r="P877" s="27" t="s">
        <v>403</v>
      </c>
      <c r="Q877" s="27" t="s">
        <v>1762</v>
      </c>
      <c r="R877" s="33">
        <v>1007</v>
      </c>
      <c r="S877" s="34">
        <v>42083</v>
      </c>
      <c r="T877" s="34">
        <v>42083</v>
      </c>
      <c r="U877" s="29">
        <v>-72.23</v>
      </c>
      <c r="V877" s="26">
        <v>2</v>
      </c>
      <c r="W877" s="29">
        <v>43.08</v>
      </c>
      <c r="X877" s="26">
        <v>89166</v>
      </c>
      <c r="Y877" s="35">
        <v>2.5499999999999998</v>
      </c>
      <c r="Z877" s="1" t="s">
        <v>3014</v>
      </c>
      <c r="AA877" s="36">
        <v>0.39960000000000001</v>
      </c>
      <c r="AB877" s="54">
        <v>13.785599999999997</v>
      </c>
      <c r="AC877" s="54">
        <v>14.6472</v>
      </c>
      <c r="AD877" s="36">
        <v>110.9104</v>
      </c>
    </row>
    <row r="878" spans="1:30" s="37" customFormat="1" ht="15.75" customHeight="1" x14ac:dyDescent="0.2">
      <c r="A878" s="26">
        <v>3360</v>
      </c>
      <c r="B878" s="27" t="s">
        <v>1771</v>
      </c>
      <c r="C878" s="27" t="s">
        <v>3094</v>
      </c>
      <c r="D878" s="28">
        <v>0.02</v>
      </c>
      <c r="E878" s="29">
        <v>9.11</v>
      </c>
      <c r="F878" s="29">
        <v>2.15</v>
      </c>
      <c r="G878" s="30" t="s">
        <v>39</v>
      </c>
      <c r="H878" s="27" t="s">
        <v>71</v>
      </c>
      <c r="I878" s="27" t="s">
        <v>49</v>
      </c>
      <c r="J878" s="27" t="s">
        <v>88</v>
      </c>
      <c r="K878" s="27" t="s">
        <v>51</v>
      </c>
      <c r="L878" s="31" t="s">
        <v>89</v>
      </c>
      <c r="M878" s="32">
        <v>0.4</v>
      </c>
      <c r="N878" s="27" t="s">
        <v>33</v>
      </c>
      <c r="O878" s="27" t="s">
        <v>53</v>
      </c>
      <c r="P878" s="27" t="s">
        <v>357</v>
      </c>
      <c r="Q878" s="27" t="s">
        <v>1772</v>
      </c>
      <c r="R878" s="33">
        <v>53214</v>
      </c>
      <c r="S878" s="34">
        <v>42083</v>
      </c>
      <c r="T878" s="34">
        <v>42085</v>
      </c>
      <c r="U878" s="29">
        <v>18.41</v>
      </c>
      <c r="V878" s="26">
        <v>3</v>
      </c>
      <c r="W878" s="29">
        <v>27.37</v>
      </c>
      <c r="X878" s="26">
        <v>91435</v>
      </c>
      <c r="Y878" s="35">
        <v>9.09</v>
      </c>
      <c r="Z878" s="1" t="s">
        <v>3012</v>
      </c>
      <c r="AA878" s="36">
        <v>0.54659999999999997</v>
      </c>
      <c r="AB878" s="54">
        <v>16.422000000000001</v>
      </c>
      <c r="AC878" s="54">
        <v>3.6493333333333333</v>
      </c>
      <c r="AD878" s="36">
        <v>6.2634000000000007</v>
      </c>
    </row>
    <row r="879" spans="1:30" s="37" customFormat="1" ht="15.75" customHeight="1" x14ac:dyDescent="0.2">
      <c r="A879" s="26">
        <v>2794</v>
      </c>
      <c r="B879" s="27" t="s">
        <v>1769</v>
      </c>
      <c r="C879" s="27" t="s">
        <v>116</v>
      </c>
      <c r="D879" s="28">
        <v>0.06</v>
      </c>
      <c r="E879" s="29">
        <v>2.61</v>
      </c>
      <c r="F879" s="29">
        <v>0.5</v>
      </c>
      <c r="G879" s="30" t="s">
        <v>39</v>
      </c>
      <c r="H879" s="27" t="s">
        <v>94</v>
      </c>
      <c r="I879" s="27" t="s">
        <v>49</v>
      </c>
      <c r="J879" s="27" t="s">
        <v>152</v>
      </c>
      <c r="K879" s="27" t="s">
        <v>73</v>
      </c>
      <c r="L879" s="31" t="s">
        <v>1569</v>
      </c>
      <c r="M879" s="32">
        <v>0.39</v>
      </c>
      <c r="N879" s="27" t="s">
        <v>33</v>
      </c>
      <c r="O879" s="27" t="s">
        <v>53</v>
      </c>
      <c r="P879" s="27" t="s">
        <v>213</v>
      </c>
      <c r="Q879" s="27" t="s">
        <v>1770</v>
      </c>
      <c r="R879" s="33">
        <v>50158</v>
      </c>
      <c r="S879" s="34">
        <v>42083</v>
      </c>
      <c r="T879" s="34">
        <v>42085</v>
      </c>
      <c r="U879" s="29">
        <v>3.5949</v>
      </c>
      <c r="V879" s="26">
        <v>2</v>
      </c>
      <c r="W879" s="29">
        <v>5.21</v>
      </c>
      <c r="X879" s="26">
        <v>87554</v>
      </c>
      <c r="Y879" s="35">
        <v>12.58</v>
      </c>
      <c r="Z879" s="1" t="s">
        <v>3012</v>
      </c>
      <c r="AA879" s="36">
        <v>0.31319999999999998</v>
      </c>
      <c r="AB879" s="54">
        <v>3.1780999999999997</v>
      </c>
      <c r="AC879" s="54">
        <v>1.0159500000000001</v>
      </c>
      <c r="AD879" s="36">
        <v>0.80189999999999984</v>
      </c>
    </row>
    <row r="880" spans="1:30" s="37" customFormat="1" ht="15.75" customHeight="1" x14ac:dyDescent="0.2">
      <c r="A880" s="26">
        <v>1185</v>
      </c>
      <c r="B880" s="27" t="s">
        <v>1782</v>
      </c>
      <c r="C880" s="27" t="s">
        <v>116</v>
      </c>
      <c r="D880" s="28">
        <v>0</v>
      </c>
      <c r="E880" s="29">
        <v>6783.02</v>
      </c>
      <c r="F880" s="29">
        <v>24.49</v>
      </c>
      <c r="G880" s="30" t="s">
        <v>39</v>
      </c>
      <c r="H880" s="27" t="s">
        <v>40</v>
      </c>
      <c r="I880" s="27" t="s">
        <v>41</v>
      </c>
      <c r="J880" s="27" t="s">
        <v>57</v>
      </c>
      <c r="K880" s="27" t="s">
        <v>65</v>
      </c>
      <c r="L880" s="31" t="s">
        <v>314</v>
      </c>
      <c r="M880" s="32">
        <v>0.39</v>
      </c>
      <c r="N880" s="27" t="s">
        <v>33</v>
      </c>
      <c r="O880" s="27" t="s">
        <v>34</v>
      </c>
      <c r="P880" s="27" t="s">
        <v>164</v>
      </c>
      <c r="Q880" s="27" t="s">
        <v>358</v>
      </c>
      <c r="R880" s="33">
        <v>35756</v>
      </c>
      <c r="S880" s="34">
        <v>42084</v>
      </c>
      <c r="T880" s="34">
        <v>42085</v>
      </c>
      <c r="U880" s="29">
        <v>4.1100000000000003</v>
      </c>
      <c r="V880" s="26">
        <v>3</v>
      </c>
      <c r="W880" s="29">
        <v>20552.55</v>
      </c>
      <c r="X880" s="26">
        <v>85938</v>
      </c>
      <c r="Y880" s="35">
        <v>6.3900000000000006</v>
      </c>
      <c r="Z880" s="1" t="s">
        <v>3011</v>
      </c>
      <c r="AA880" s="36">
        <v>0</v>
      </c>
      <c r="AB880" s="54">
        <v>12537.055499999999</v>
      </c>
      <c r="AC880" s="54">
        <v>2671.8314999999998</v>
      </c>
      <c r="AD880" s="36">
        <v>20523.95</v>
      </c>
    </row>
    <row r="881" spans="1:30" s="37" customFormat="1" ht="15.75" customHeight="1" x14ac:dyDescent="0.2">
      <c r="A881" s="26">
        <v>1471</v>
      </c>
      <c r="B881" s="27" t="s">
        <v>1777</v>
      </c>
      <c r="C881" s="27" t="s">
        <v>38</v>
      </c>
      <c r="D881" s="28">
        <v>0.03</v>
      </c>
      <c r="E881" s="29">
        <v>420.98</v>
      </c>
      <c r="F881" s="29">
        <v>19.989999999999998</v>
      </c>
      <c r="G881" s="30" t="s">
        <v>39</v>
      </c>
      <c r="H881" s="27" t="s">
        <v>71</v>
      </c>
      <c r="I881" s="27" t="s">
        <v>49</v>
      </c>
      <c r="J881" s="27" t="s">
        <v>72</v>
      </c>
      <c r="K881" s="27" t="s">
        <v>73</v>
      </c>
      <c r="L881" s="31" t="s">
        <v>867</v>
      </c>
      <c r="M881" s="32">
        <v>0.35</v>
      </c>
      <c r="N881" s="27" t="s">
        <v>33</v>
      </c>
      <c r="O881" s="27" t="s">
        <v>111</v>
      </c>
      <c r="P881" s="27" t="s">
        <v>317</v>
      </c>
      <c r="Q881" s="27" t="s">
        <v>1138</v>
      </c>
      <c r="R881" s="33">
        <v>43081</v>
      </c>
      <c r="S881" s="34">
        <v>42084</v>
      </c>
      <c r="T881" s="34">
        <v>42085</v>
      </c>
      <c r="U881" s="29">
        <v>3043.0311000000002</v>
      </c>
      <c r="V881" s="26">
        <v>10</v>
      </c>
      <c r="W881" s="29">
        <v>4410.1899999999996</v>
      </c>
      <c r="X881" s="26">
        <v>87077</v>
      </c>
      <c r="Y881" s="35">
        <v>420.95000000000005</v>
      </c>
      <c r="Z881" s="1" t="s">
        <v>3014</v>
      </c>
      <c r="AA881" s="36">
        <v>126.29400000000001</v>
      </c>
      <c r="AB881" s="54">
        <v>2866.6234999999997</v>
      </c>
      <c r="AC881" s="54">
        <v>154.35664999999997</v>
      </c>
      <c r="AD881" s="36">
        <v>1220.8748999999998</v>
      </c>
    </row>
    <row r="882" spans="1:30" s="37" customFormat="1" ht="15.75" customHeight="1" x14ac:dyDescent="0.2">
      <c r="A882" s="26">
        <v>3258</v>
      </c>
      <c r="B882" s="27" t="s">
        <v>1783</v>
      </c>
      <c r="C882" s="27" t="s">
        <v>3094</v>
      </c>
      <c r="D882" s="28">
        <v>0.02</v>
      </c>
      <c r="E882" s="29">
        <v>55.94</v>
      </c>
      <c r="F882" s="29">
        <v>6.55</v>
      </c>
      <c r="G882" s="30" t="s">
        <v>39</v>
      </c>
      <c r="H882" s="27" t="s">
        <v>40</v>
      </c>
      <c r="I882" s="27" t="s">
        <v>41</v>
      </c>
      <c r="J882" s="27" t="s">
        <v>42</v>
      </c>
      <c r="K882" s="27" t="s">
        <v>73</v>
      </c>
      <c r="L882" s="31" t="s">
        <v>1784</v>
      </c>
      <c r="M882" s="32">
        <v>0.68</v>
      </c>
      <c r="N882" s="27" t="s">
        <v>33</v>
      </c>
      <c r="O882" s="27" t="s">
        <v>60</v>
      </c>
      <c r="P882" s="27" t="s">
        <v>67</v>
      </c>
      <c r="Q882" s="27" t="s">
        <v>1785</v>
      </c>
      <c r="R882" s="33">
        <v>98037</v>
      </c>
      <c r="S882" s="34">
        <v>42084</v>
      </c>
      <c r="T882" s="34">
        <v>42086</v>
      </c>
      <c r="U882" s="29">
        <v>401.85</v>
      </c>
      <c r="V882" s="26">
        <v>11</v>
      </c>
      <c r="W882" s="29">
        <v>646.88</v>
      </c>
      <c r="X882" s="26">
        <v>88824</v>
      </c>
      <c r="Y882" s="35">
        <v>5.69</v>
      </c>
      <c r="Z882" s="1" t="s">
        <v>3013</v>
      </c>
      <c r="AA882" s="36">
        <v>12.306800000000001</v>
      </c>
      <c r="AB882" s="54">
        <v>207.00159999999997</v>
      </c>
      <c r="AC882" s="54">
        <v>39.988945454545458</v>
      </c>
      <c r="AD882" s="36">
        <v>226.17319999999995</v>
      </c>
    </row>
    <row r="883" spans="1:30" s="37" customFormat="1" ht="15.75" customHeight="1" x14ac:dyDescent="0.2">
      <c r="A883" s="26">
        <v>3275</v>
      </c>
      <c r="B883" s="27" t="s">
        <v>63</v>
      </c>
      <c r="C883" s="27" t="s">
        <v>48</v>
      </c>
      <c r="D883" s="28">
        <v>0.02</v>
      </c>
      <c r="E883" s="29">
        <v>13.48</v>
      </c>
      <c r="F883" s="29">
        <v>4.51</v>
      </c>
      <c r="G883" s="30" t="s">
        <v>39</v>
      </c>
      <c r="H883" s="27" t="s">
        <v>71</v>
      </c>
      <c r="I883" s="27" t="s">
        <v>49</v>
      </c>
      <c r="J883" s="27" t="s">
        <v>78</v>
      </c>
      <c r="K883" s="27" t="s">
        <v>73</v>
      </c>
      <c r="L883" s="31" t="s">
        <v>1781</v>
      </c>
      <c r="M883" s="32">
        <v>0.59</v>
      </c>
      <c r="N883" s="27" t="s">
        <v>33</v>
      </c>
      <c r="O883" s="27" t="s">
        <v>60</v>
      </c>
      <c r="P883" s="27" t="s">
        <v>67</v>
      </c>
      <c r="Q883" s="27" t="s">
        <v>68</v>
      </c>
      <c r="R883" s="33">
        <v>98273</v>
      </c>
      <c r="S883" s="34">
        <v>42084</v>
      </c>
      <c r="T883" s="34">
        <v>42086</v>
      </c>
      <c r="U883" s="29">
        <v>34.520000000000003</v>
      </c>
      <c r="V883" s="26">
        <v>9</v>
      </c>
      <c r="W883" s="29">
        <v>127.12</v>
      </c>
      <c r="X883" s="26">
        <v>86233</v>
      </c>
      <c r="Y883" s="35">
        <v>13.46</v>
      </c>
      <c r="Z883" s="1" t="s">
        <v>3013</v>
      </c>
      <c r="AA883" s="36">
        <v>2.4264000000000001</v>
      </c>
      <c r="AB883" s="54">
        <v>52.119200000000006</v>
      </c>
      <c r="AC883" s="54">
        <v>8.3334222222222216</v>
      </c>
      <c r="AD883" s="36">
        <v>85.663600000000002</v>
      </c>
    </row>
    <row r="884" spans="1:30" s="37" customFormat="1" ht="15.75" customHeight="1" x14ac:dyDescent="0.2">
      <c r="A884" s="26">
        <v>691</v>
      </c>
      <c r="B884" s="27" t="s">
        <v>1774</v>
      </c>
      <c r="C884" s="27" t="s">
        <v>38</v>
      </c>
      <c r="D884" s="28">
        <v>0.09</v>
      </c>
      <c r="E884" s="29">
        <v>6.48</v>
      </c>
      <c r="F884" s="29">
        <v>6.35</v>
      </c>
      <c r="G884" s="30" t="s">
        <v>39</v>
      </c>
      <c r="H884" s="27" t="s">
        <v>71</v>
      </c>
      <c r="I884" s="27" t="s">
        <v>49</v>
      </c>
      <c r="J884" s="27" t="s">
        <v>88</v>
      </c>
      <c r="K884" s="27" t="s">
        <v>73</v>
      </c>
      <c r="L884" s="31" t="s">
        <v>1775</v>
      </c>
      <c r="M884" s="32">
        <v>0.37</v>
      </c>
      <c r="N884" s="27" t="s">
        <v>33</v>
      </c>
      <c r="O884" s="27" t="s">
        <v>60</v>
      </c>
      <c r="P884" s="27" t="s">
        <v>67</v>
      </c>
      <c r="Q884" s="27" t="s">
        <v>1776</v>
      </c>
      <c r="R884" s="33">
        <v>98408</v>
      </c>
      <c r="S884" s="34">
        <v>42084</v>
      </c>
      <c r="T884" s="34">
        <v>42085</v>
      </c>
      <c r="U884" s="29">
        <v>-88.6</v>
      </c>
      <c r="V884" s="26">
        <v>8</v>
      </c>
      <c r="W884" s="29">
        <v>49.81</v>
      </c>
      <c r="X884" s="26">
        <v>89915</v>
      </c>
      <c r="Y884" s="35">
        <v>2.79</v>
      </c>
      <c r="Z884" s="1" t="s">
        <v>3013</v>
      </c>
      <c r="AA884" s="36">
        <v>4.6656000000000004</v>
      </c>
      <c r="AB884" s="54">
        <v>31.380300000000002</v>
      </c>
      <c r="AC884" s="54">
        <v>2.3037125000000001</v>
      </c>
      <c r="AD884" s="36">
        <v>127.3944</v>
      </c>
    </row>
    <row r="885" spans="1:30" s="37" customFormat="1" ht="15.75" customHeight="1" x14ac:dyDescent="0.2">
      <c r="A885" s="26">
        <v>2601</v>
      </c>
      <c r="B885" s="27" t="s">
        <v>1778</v>
      </c>
      <c r="C885" s="27" t="s">
        <v>48</v>
      </c>
      <c r="D885" s="28">
        <v>0.05</v>
      </c>
      <c r="E885" s="29">
        <v>5.74</v>
      </c>
      <c r="F885" s="29">
        <v>5.3</v>
      </c>
      <c r="G885" s="30" t="s">
        <v>39</v>
      </c>
      <c r="H885" s="27" t="s">
        <v>94</v>
      </c>
      <c r="I885" s="27" t="s">
        <v>49</v>
      </c>
      <c r="J885" s="27" t="s">
        <v>568</v>
      </c>
      <c r="K885" s="27" t="s">
        <v>43</v>
      </c>
      <c r="L885" s="31" t="s">
        <v>1779</v>
      </c>
      <c r="M885" s="32">
        <v>0.55000000000000004</v>
      </c>
      <c r="N885" s="27" t="s">
        <v>33</v>
      </c>
      <c r="O885" s="27" t="s">
        <v>111</v>
      </c>
      <c r="P885" s="27" t="s">
        <v>1356</v>
      </c>
      <c r="Q885" s="27" t="s">
        <v>1780</v>
      </c>
      <c r="R885" s="33">
        <v>3054</v>
      </c>
      <c r="S885" s="34">
        <v>42084</v>
      </c>
      <c r="T885" s="34">
        <v>42089</v>
      </c>
      <c r="U885" s="29">
        <v>-50.75</v>
      </c>
      <c r="V885" s="26">
        <v>7</v>
      </c>
      <c r="W885" s="29">
        <v>42.02</v>
      </c>
      <c r="X885" s="26">
        <v>87382</v>
      </c>
      <c r="Y885" s="35">
        <v>6783.02</v>
      </c>
      <c r="Z885" s="1" t="s">
        <v>3014</v>
      </c>
      <c r="AA885" s="36">
        <v>2.0090000000000003</v>
      </c>
      <c r="AB885" s="54">
        <v>18.908999999999999</v>
      </c>
      <c r="AC885" s="54">
        <v>3.301571428571429</v>
      </c>
      <c r="AD885" s="36">
        <v>85.461000000000013</v>
      </c>
    </row>
    <row r="886" spans="1:30" s="37" customFormat="1" ht="15.75" customHeight="1" x14ac:dyDescent="0.2">
      <c r="A886" s="26">
        <v>247</v>
      </c>
      <c r="B886" s="27" t="s">
        <v>1335</v>
      </c>
      <c r="C886" s="27" t="s">
        <v>116</v>
      </c>
      <c r="D886" s="28">
        <v>0.09</v>
      </c>
      <c r="E886" s="29">
        <v>2.88</v>
      </c>
      <c r="F886" s="29">
        <v>0.99</v>
      </c>
      <c r="G886" s="30" t="s">
        <v>39</v>
      </c>
      <c r="H886" s="27" t="s">
        <v>94</v>
      </c>
      <c r="I886" s="27" t="s">
        <v>49</v>
      </c>
      <c r="J886" s="27" t="s">
        <v>152</v>
      </c>
      <c r="K886" s="27" t="s">
        <v>73</v>
      </c>
      <c r="L886" s="31" t="s">
        <v>222</v>
      </c>
      <c r="M886" s="32">
        <v>0.36</v>
      </c>
      <c r="N886" s="27" t="s">
        <v>33</v>
      </c>
      <c r="O886" s="27" t="s">
        <v>34</v>
      </c>
      <c r="P886" s="27" t="s">
        <v>400</v>
      </c>
      <c r="Q886" s="27" t="s">
        <v>1336</v>
      </c>
      <c r="R886" s="33">
        <v>37804</v>
      </c>
      <c r="S886" s="34">
        <v>42084</v>
      </c>
      <c r="T886" s="34">
        <v>42086</v>
      </c>
      <c r="U886" s="29">
        <v>-145.08199999999999</v>
      </c>
      <c r="V886" s="26">
        <v>10</v>
      </c>
      <c r="W886" s="29">
        <v>28.73</v>
      </c>
      <c r="X886" s="26">
        <v>89140</v>
      </c>
      <c r="Y886" s="35">
        <v>55.919999999999995</v>
      </c>
      <c r="Z886" s="1" t="s">
        <v>3011</v>
      </c>
      <c r="AA886" s="36">
        <v>2.5919999999999996</v>
      </c>
      <c r="AB886" s="54">
        <v>18.3872</v>
      </c>
      <c r="AC886" s="54">
        <v>1.0342800000000001</v>
      </c>
      <c r="AD886" s="36">
        <v>170.22999999999996</v>
      </c>
    </row>
    <row r="887" spans="1:30" s="37" customFormat="1" ht="15.75" customHeight="1" x14ac:dyDescent="0.2">
      <c r="A887" s="26">
        <v>87</v>
      </c>
      <c r="B887" s="27" t="s">
        <v>1786</v>
      </c>
      <c r="C887" s="27" t="s">
        <v>38</v>
      </c>
      <c r="D887" s="28">
        <v>0.01</v>
      </c>
      <c r="E887" s="29">
        <v>296.18</v>
      </c>
      <c r="F887" s="29">
        <v>54.12</v>
      </c>
      <c r="G887" s="30" t="s">
        <v>27</v>
      </c>
      <c r="H887" s="27" t="s">
        <v>94</v>
      </c>
      <c r="I887" s="27" t="s">
        <v>29</v>
      </c>
      <c r="J887" s="27" t="s">
        <v>30</v>
      </c>
      <c r="K887" s="27" t="s">
        <v>31</v>
      </c>
      <c r="L887" s="31" t="s">
        <v>1079</v>
      </c>
      <c r="M887" s="32">
        <v>0.76</v>
      </c>
      <c r="N887" s="27" t="s">
        <v>33</v>
      </c>
      <c r="O887" s="27" t="s">
        <v>60</v>
      </c>
      <c r="P887" s="27" t="s">
        <v>90</v>
      </c>
      <c r="Q887" s="27" t="s">
        <v>1787</v>
      </c>
      <c r="R887" s="33">
        <v>95687</v>
      </c>
      <c r="S887" s="34">
        <v>42085</v>
      </c>
      <c r="T887" s="34">
        <v>42088</v>
      </c>
      <c r="U887" s="29">
        <v>173.48</v>
      </c>
      <c r="V887" s="26">
        <v>9</v>
      </c>
      <c r="W887" s="29">
        <v>2875.72</v>
      </c>
      <c r="X887" s="26">
        <v>90597</v>
      </c>
      <c r="Y887" s="35">
        <v>4.82</v>
      </c>
      <c r="Z887" s="1" t="s">
        <v>3013</v>
      </c>
      <c r="AA887" s="36">
        <v>26.656200000000002</v>
      </c>
      <c r="AB887" s="54">
        <v>690.17279999999994</v>
      </c>
      <c r="AC887" s="54">
        <v>242.83857777777777</v>
      </c>
      <c r="AD887" s="36">
        <v>2621.4638</v>
      </c>
    </row>
    <row r="888" spans="1:30" s="37" customFormat="1" ht="15.75" customHeight="1" x14ac:dyDescent="0.2">
      <c r="A888" s="26">
        <v>2561</v>
      </c>
      <c r="B888" s="27" t="s">
        <v>1798</v>
      </c>
      <c r="C888" s="27" t="s">
        <v>3094</v>
      </c>
      <c r="D888" s="28">
        <v>0.03</v>
      </c>
      <c r="E888" s="29">
        <v>160.97999999999999</v>
      </c>
      <c r="F888" s="29">
        <v>30</v>
      </c>
      <c r="G888" s="30" t="s">
        <v>27</v>
      </c>
      <c r="H888" s="27" t="s">
        <v>40</v>
      </c>
      <c r="I888" s="27" t="s">
        <v>29</v>
      </c>
      <c r="J888" s="27" t="s">
        <v>109</v>
      </c>
      <c r="K888" s="27" t="s">
        <v>58</v>
      </c>
      <c r="L888" s="31" t="s">
        <v>892</v>
      </c>
      <c r="M888" s="32">
        <v>0.62</v>
      </c>
      <c r="N888" s="27" t="s">
        <v>33</v>
      </c>
      <c r="O888" s="27" t="s">
        <v>111</v>
      </c>
      <c r="P888" s="27" t="s">
        <v>112</v>
      </c>
      <c r="Q888" s="27" t="s">
        <v>1799</v>
      </c>
      <c r="R888" s="33">
        <v>10562</v>
      </c>
      <c r="S888" s="34">
        <v>42085</v>
      </c>
      <c r="T888" s="34">
        <v>42088</v>
      </c>
      <c r="U888" s="29">
        <v>1261.4718</v>
      </c>
      <c r="V888" s="26">
        <v>11</v>
      </c>
      <c r="W888" s="29">
        <v>1828.22</v>
      </c>
      <c r="X888" s="26">
        <v>86465</v>
      </c>
      <c r="Y888" s="35">
        <v>296.17</v>
      </c>
      <c r="Z888" s="1" t="s">
        <v>3014</v>
      </c>
      <c r="AA888" s="36">
        <v>53.123399999999997</v>
      </c>
      <c r="AB888" s="54">
        <v>694.72360000000003</v>
      </c>
      <c r="AC888" s="54">
        <v>103.04512727272729</v>
      </c>
      <c r="AD888" s="36">
        <v>483.62480000000005</v>
      </c>
    </row>
    <row r="889" spans="1:30" s="37" customFormat="1" ht="15.75" customHeight="1" x14ac:dyDescent="0.2">
      <c r="A889" s="26">
        <v>950</v>
      </c>
      <c r="B889" s="27" t="s">
        <v>82</v>
      </c>
      <c r="C889" s="27" t="s">
        <v>48</v>
      </c>
      <c r="D889" s="28">
        <v>0.05</v>
      </c>
      <c r="E889" s="29">
        <v>1500.97</v>
      </c>
      <c r="F889" s="29">
        <v>29.7</v>
      </c>
      <c r="G889" s="30" t="s">
        <v>27</v>
      </c>
      <c r="H889" s="27" t="s">
        <v>40</v>
      </c>
      <c r="I889" s="27" t="s">
        <v>41</v>
      </c>
      <c r="J889" s="27" t="s">
        <v>57</v>
      </c>
      <c r="K889" s="27" t="s">
        <v>58</v>
      </c>
      <c r="L889" s="31" t="s">
        <v>1790</v>
      </c>
      <c r="M889" s="32">
        <v>0.56999999999999995</v>
      </c>
      <c r="N889" s="27" t="s">
        <v>33</v>
      </c>
      <c r="O889" s="27" t="s">
        <v>53</v>
      </c>
      <c r="P889" s="27" t="s">
        <v>84</v>
      </c>
      <c r="Q889" s="27" t="s">
        <v>85</v>
      </c>
      <c r="R889" s="33">
        <v>55372</v>
      </c>
      <c r="S889" s="34">
        <v>42085</v>
      </c>
      <c r="T889" s="34">
        <v>42085</v>
      </c>
      <c r="U889" s="29">
        <v>-2561.3235</v>
      </c>
      <c r="V889" s="26">
        <v>1</v>
      </c>
      <c r="W889" s="29">
        <v>1497.22</v>
      </c>
      <c r="X889" s="26">
        <v>89084</v>
      </c>
      <c r="Y889" s="35">
        <v>39.409999999999997</v>
      </c>
      <c r="Z889" s="1" t="s">
        <v>3012</v>
      </c>
      <c r="AA889" s="36">
        <v>75.048500000000004</v>
      </c>
      <c r="AB889" s="54">
        <v>643.80460000000005</v>
      </c>
      <c r="AC889" s="54">
        <v>853.41539999999998</v>
      </c>
      <c r="AD889" s="36">
        <v>3953.7950000000001</v>
      </c>
    </row>
    <row r="890" spans="1:30" s="37" customFormat="1" ht="15.75" customHeight="1" x14ac:dyDescent="0.2">
      <c r="A890" s="26">
        <v>959</v>
      </c>
      <c r="B890" s="27" t="s">
        <v>1796</v>
      </c>
      <c r="C890" s="27" t="s">
        <v>3094</v>
      </c>
      <c r="D890" s="28">
        <v>0.01</v>
      </c>
      <c r="E890" s="29">
        <v>145.44999999999999</v>
      </c>
      <c r="F890" s="29">
        <v>17.850000000000001</v>
      </c>
      <c r="G890" s="30" t="s">
        <v>27</v>
      </c>
      <c r="H890" s="27" t="s">
        <v>94</v>
      </c>
      <c r="I890" s="27" t="s">
        <v>41</v>
      </c>
      <c r="J890" s="27" t="s">
        <v>57</v>
      </c>
      <c r="K890" s="27" t="s">
        <v>58</v>
      </c>
      <c r="L890" s="31" t="s">
        <v>210</v>
      </c>
      <c r="M890" s="32">
        <v>0.56000000000000005</v>
      </c>
      <c r="N890" s="27" t="s">
        <v>33</v>
      </c>
      <c r="O890" s="27" t="s">
        <v>53</v>
      </c>
      <c r="P890" s="27" t="s">
        <v>187</v>
      </c>
      <c r="Q890" s="27" t="s">
        <v>197</v>
      </c>
      <c r="R890" s="33">
        <v>76028</v>
      </c>
      <c r="S890" s="34">
        <v>42085</v>
      </c>
      <c r="T890" s="34">
        <v>42086</v>
      </c>
      <c r="U890" s="29">
        <v>837.6807</v>
      </c>
      <c r="V890" s="26">
        <v>8</v>
      </c>
      <c r="W890" s="29">
        <v>1214.03</v>
      </c>
      <c r="X890" s="26">
        <v>91581</v>
      </c>
      <c r="Y890" s="35">
        <v>4.91</v>
      </c>
      <c r="Z890" s="1" t="s">
        <v>3012</v>
      </c>
      <c r="AA890" s="36">
        <v>11.635999999999999</v>
      </c>
      <c r="AB890" s="54">
        <v>534.17319999999995</v>
      </c>
      <c r="AC890" s="54">
        <v>84.982100000000003</v>
      </c>
      <c r="AD890" s="36">
        <v>346.86329999999998</v>
      </c>
    </row>
    <row r="891" spans="1:30" s="37" customFormat="1" ht="15.75" customHeight="1" x14ac:dyDescent="0.2">
      <c r="A891" s="26">
        <v>949</v>
      </c>
      <c r="B891" s="27" t="s">
        <v>99</v>
      </c>
      <c r="C891" s="27" t="s">
        <v>48</v>
      </c>
      <c r="D891" s="28">
        <v>0.02</v>
      </c>
      <c r="E891" s="29">
        <v>48.04</v>
      </c>
      <c r="F891" s="29">
        <v>5.09</v>
      </c>
      <c r="G891" s="30" t="s">
        <v>39</v>
      </c>
      <c r="H891" s="27" t="s">
        <v>40</v>
      </c>
      <c r="I891" s="27" t="s">
        <v>49</v>
      </c>
      <c r="J891" s="27" t="s">
        <v>88</v>
      </c>
      <c r="K891" s="27" t="s">
        <v>73</v>
      </c>
      <c r="L891" s="31" t="s">
        <v>462</v>
      </c>
      <c r="M891" s="32">
        <v>0.37</v>
      </c>
      <c r="N891" s="27" t="s">
        <v>33</v>
      </c>
      <c r="O891" s="27" t="s">
        <v>60</v>
      </c>
      <c r="P891" s="27" t="s">
        <v>90</v>
      </c>
      <c r="Q891" s="27" t="s">
        <v>100</v>
      </c>
      <c r="R891" s="33">
        <v>90049</v>
      </c>
      <c r="S891" s="34">
        <v>42085</v>
      </c>
      <c r="T891" s="34">
        <v>42089</v>
      </c>
      <c r="U891" s="29">
        <v>373.67</v>
      </c>
      <c r="V891" s="26">
        <v>18</v>
      </c>
      <c r="W891" s="29">
        <v>881.32</v>
      </c>
      <c r="X891" s="26">
        <v>8257</v>
      </c>
      <c r="Y891" s="35">
        <v>48.019999999999996</v>
      </c>
      <c r="Z891" s="1" t="s">
        <v>3013</v>
      </c>
      <c r="AA891" s="36">
        <v>17.2944</v>
      </c>
      <c r="AB891" s="54">
        <v>555.23160000000007</v>
      </c>
      <c r="AC891" s="54">
        <v>18.116022222222224</v>
      </c>
      <c r="AD891" s="36">
        <v>485.26560000000006</v>
      </c>
    </row>
    <row r="892" spans="1:30" s="37" customFormat="1" ht="15.75" customHeight="1" x14ac:dyDescent="0.2">
      <c r="A892" s="26">
        <v>1938</v>
      </c>
      <c r="B892" s="27" t="s">
        <v>1792</v>
      </c>
      <c r="C892" s="27" t="s">
        <v>116</v>
      </c>
      <c r="D892" s="28">
        <v>0.1</v>
      </c>
      <c r="E892" s="29">
        <v>152.47999999999999</v>
      </c>
      <c r="F892" s="29">
        <v>4</v>
      </c>
      <c r="G892" s="30" t="s">
        <v>87</v>
      </c>
      <c r="H892" s="27" t="s">
        <v>94</v>
      </c>
      <c r="I892" s="27" t="s">
        <v>41</v>
      </c>
      <c r="J892" s="27" t="s">
        <v>42</v>
      </c>
      <c r="K892" s="27" t="s">
        <v>73</v>
      </c>
      <c r="L892" s="31" t="s">
        <v>1793</v>
      </c>
      <c r="M892" s="32">
        <v>0.79</v>
      </c>
      <c r="N892" s="27" t="s">
        <v>33</v>
      </c>
      <c r="O892" s="27" t="s">
        <v>53</v>
      </c>
      <c r="P892" s="27" t="s">
        <v>537</v>
      </c>
      <c r="Q892" s="27" t="s">
        <v>1794</v>
      </c>
      <c r="R892" s="33">
        <v>66801</v>
      </c>
      <c r="S892" s="34">
        <v>42085</v>
      </c>
      <c r="T892" s="34">
        <v>42086</v>
      </c>
      <c r="U892" s="29">
        <v>-521.09</v>
      </c>
      <c r="V892" s="26">
        <v>4</v>
      </c>
      <c r="W892" s="29">
        <v>558.16999999999996</v>
      </c>
      <c r="X892" s="26">
        <v>88870</v>
      </c>
      <c r="Y892" s="35">
        <v>1500.92</v>
      </c>
      <c r="Z892" s="1" t="s">
        <v>3012</v>
      </c>
      <c r="AA892" s="36">
        <v>60.991999999999997</v>
      </c>
      <c r="AB892" s="54">
        <v>117.21569999999997</v>
      </c>
      <c r="AC892" s="54">
        <v>110.238575</v>
      </c>
      <c r="AD892" s="36">
        <v>1014.268</v>
      </c>
    </row>
    <row r="893" spans="1:30" s="37" customFormat="1" ht="15.75" customHeight="1" x14ac:dyDescent="0.2">
      <c r="A893" s="26">
        <v>950</v>
      </c>
      <c r="B893" s="27" t="s">
        <v>82</v>
      </c>
      <c r="C893" s="27" t="s">
        <v>48</v>
      </c>
      <c r="D893" s="28">
        <v>0.02</v>
      </c>
      <c r="E893" s="29">
        <v>48.04</v>
      </c>
      <c r="F893" s="29">
        <v>5.09</v>
      </c>
      <c r="G893" s="30" t="s">
        <v>39</v>
      </c>
      <c r="H893" s="27" t="s">
        <v>40</v>
      </c>
      <c r="I893" s="27" t="s">
        <v>49</v>
      </c>
      <c r="J893" s="27" t="s">
        <v>88</v>
      </c>
      <c r="K893" s="27" t="s">
        <v>73</v>
      </c>
      <c r="L893" s="31" t="s">
        <v>462</v>
      </c>
      <c r="M893" s="32">
        <v>0.37</v>
      </c>
      <c r="N893" s="27" t="s">
        <v>33</v>
      </c>
      <c r="O893" s="27" t="s">
        <v>53</v>
      </c>
      <c r="P893" s="27" t="s">
        <v>84</v>
      </c>
      <c r="Q893" s="27" t="s">
        <v>85</v>
      </c>
      <c r="R893" s="33">
        <v>55372</v>
      </c>
      <c r="S893" s="34">
        <v>42085</v>
      </c>
      <c r="T893" s="34">
        <v>42089</v>
      </c>
      <c r="U893" s="29">
        <v>168.91890000000001</v>
      </c>
      <c r="V893" s="26">
        <v>5</v>
      </c>
      <c r="W893" s="29">
        <v>244.81</v>
      </c>
      <c r="X893" s="26">
        <v>89084</v>
      </c>
      <c r="Y893" s="35">
        <v>48.019999999999996</v>
      </c>
      <c r="Z893" s="1" t="s">
        <v>3012</v>
      </c>
      <c r="AA893" s="36">
        <v>4.8040000000000003</v>
      </c>
      <c r="AB893" s="54">
        <v>154.2303</v>
      </c>
      <c r="AC893" s="54">
        <v>18.115940000000002</v>
      </c>
      <c r="AD893" s="36">
        <v>65.997099999999989</v>
      </c>
    </row>
    <row r="894" spans="1:30" s="37" customFormat="1" ht="15.75" customHeight="1" x14ac:dyDescent="0.2">
      <c r="A894" s="26">
        <v>2014</v>
      </c>
      <c r="B894" s="27" t="s">
        <v>1788</v>
      </c>
      <c r="C894" s="27" t="s">
        <v>38</v>
      </c>
      <c r="D894" s="28">
        <v>7.0000000000000007E-2</v>
      </c>
      <c r="E894" s="29">
        <v>39.479999999999997</v>
      </c>
      <c r="F894" s="29">
        <v>1.99</v>
      </c>
      <c r="G894" s="30" t="s">
        <v>39</v>
      </c>
      <c r="H894" s="27" t="s">
        <v>71</v>
      </c>
      <c r="I894" s="27" t="s">
        <v>41</v>
      </c>
      <c r="J894" s="27" t="s">
        <v>42</v>
      </c>
      <c r="K894" s="27" t="s">
        <v>43</v>
      </c>
      <c r="L894" s="31" t="s">
        <v>1257</v>
      </c>
      <c r="M894" s="32">
        <v>0.54</v>
      </c>
      <c r="N894" s="27" t="s">
        <v>33</v>
      </c>
      <c r="O894" s="27" t="s">
        <v>53</v>
      </c>
      <c r="P894" s="27" t="s">
        <v>213</v>
      </c>
      <c r="Q894" s="27" t="s">
        <v>1789</v>
      </c>
      <c r="R894" s="33">
        <v>51503</v>
      </c>
      <c r="S894" s="34">
        <v>42085</v>
      </c>
      <c r="T894" s="34">
        <v>42087</v>
      </c>
      <c r="U894" s="29">
        <v>88.72</v>
      </c>
      <c r="V894" s="26">
        <v>4</v>
      </c>
      <c r="W894" s="29">
        <v>151.27000000000001</v>
      </c>
      <c r="X894" s="26">
        <v>88367</v>
      </c>
      <c r="Y894" s="35">
        <v>4.25</v>
      </c>
      <c r="Z894" s="1" t="s">
        <v>3012</v>
      </c>
      <c r="AA894" s="36">
        <v>11.054399999999999</v>
      </c>
      <c r="AB894" s="54">
        <v>69.584199999999996</v>
      </c>
      <c r="AC894" s="54">
        <v>20.421450000000004</v>
      </c>
      <c r="AD894" s="36">
        <v>49.505600000000015</v>
      </c>
    </row>
    <row r="895" spans="1:30" s="37" customFormat="1" ht="15.75" customHeight="1" x14ac:dyDescent="0.2">
      <c r="A895" s="26">
        <v>1553</v>
      </c>
      <c r="B895" s="27" t="s">
        <v>1797</v>
      </c>
      <c r="C895" s="27" t="s">
        <v>3094</v>
      </c>
      <c r="D895" s="28">
        <v>0.03</v>
      </c>
      <c r="E895" s="29">
        <v>12.28</v>
      </c>
      <c r="F895" s="29">
        <v>6.35</v>
      </c>
      <c r="G895" s="30" t="s">
        <v>39</v>
      </c>
      <c r="H895" s="27" t="s">
        <v>3095</v>
      </c>
      <c r="I895" s="27" t="s">
        <v>49</v>
      </c>
      <c r="J895" s="27" t="s">
        <v>88</v>
      </c>
      <c r="K895" s="27" t="s">
        <v>73</v>
      </c>
      <c r="L895" s="31" t="s">
        <v>1733</v>
      </c>
      <c r="M895" s="32">
        <v>0.38</v>
      </c>
      <c r="N895" s="27" t="s">
        <v>33</v>
      </c>
      <c r="O895" s="27" t="s">
        <v>34</v>
      </c>
      <c r="P895" s="27" t="s">
        <v>35</v>
      </c>
      <c r="Q895" s="27" t="s">
        <v>1027</v>
      </c>
      <c r="R895" s="33">
        <v>38701</v>
      </c>
      <c r="S895" s="34">
        <v>42085</v>
      </c>
      <c r="T895" s="34">
        <v>42087</v>
      </c>
      <c r="U895" s="29">
        <v>68.676000000000002</v>
      </c>
      <c r="V895" s="26">
        <v>7</v>
      </c>
      <c r="W895" s="29">
        <v>87.53</v>
      </c>
      <c r="X895" s="26">
        <v>87484</v>
      </c>
      <c r="Y895" s="35">
        <v>152.38</v>
      </c>
      <c r="Z895" s="1" t="s">
        <v>3011</v>
      </c>
      <c r="AA895" s="36">
        <v>2.5787999999999998</v>
      </c>
      <c r="AB895" s="54">
        <v>54.268599999999999</v>
      </c>
      <c r="AC895" s="54">
        <v>4.7516285714285713</v>
      </c>
      <c r="AD895" s="36">
        <v>9.9252000000000038</v>
      </c>
    </row>
    <row r="896" spans="1:30" s="37" customFormat="1" ht="15.75" customHeight="1" x14ac:dyDescent="0.2">
      <c r="A896" s="26">
        <v>87</v>
      </c>
      <c r="B896" s="27" t="s">
        <v>1786</v>
      </c>
      <c r="C896" s="27" t="s">
        <v>38</v>
      </c>
      <c r="D896" s="28">
        <v>0.09</v>
      </c>
      <c r="E896" s="29">
        <v>4.91</v>
      </c>
      <c r="F896" s="29">
        <v>0.5</v>
      </c>
      <c r="G896" s="30" t="s">
        <v>39</v>
      </c>
      <c r="H896" s="27" t="s">
        <v>94</v>
      </c>
      <c r="I896" s="27" t="s">
        <v>49</v>
      </c>
      <c r="J896" s="27" t="s">
        <v>152</v>
      </c>
      <c r="K896" s="27" t="s">
        <v>73</v>
      </c>
      <c r="L896" s="31" t="s">
        <v>973</v>
      </c>
      <c r="M896" s="32">
        <v>0.36</v>
      </c>
      <c r="N896" s="27" t="s">
        <v>33</v>
      </c>
      <c r="O896" s="27" t="s">
        <v>60</v>
      </c>
      <c r="P896" s="27" t="s">
        <v>90</v>
      </c>
      <c r="Q896" s="27" t="s">
        <v>1787</v>
      </c>
      <c r="R896" s="33">
        <v>95687</v>
      </c>
      <c r="S896" s="34">
        <v>42085</v>
      </c>
      <c r="T896" s="34">
        <v>42086</v>
      </c>
      <c r="U896" s="29">
        <v>28.855799999999999</v>
      </c>
      <c r="V896" s="26">
        <v>9</v>
      </c>
      <c r="W896" s="29">
        <v>41.82</v>
      </c>
      <c r="X896" s="26">
        <v>90597</v>
      </c>
      <c r="Y896" s="35">
        <v>6.76</v>
      </c>
      <c r="Z896" s="1" t="s">
        <v>3013</v>
      </c>
      <c r="AA896" s="36">
        <v>3.9771000000000001</v>
      </c>
      <c r="AB896" s="54">
        <v>26.764800000000001</v>
      </c>
      <c r="AC896" s="54">
        <v>1.6727999999999998</v>
      </c>
      <c r="AD896" s="36">
        <v>8.4871000000000052</v>
      </c>
    </row>
    <row r="897" spans="1:30" s="37" customFormat="1" ht="15.75" customHeight="1" x14ac:dyDescent="0.2">
      <c r="A897" s="26">
        <v>2014</v>
      </c>
      <c r="B897" s="27" t="s">
        <v>1788</v>
      </c>
      <c r="C897" s="27" t="s">
        <v>38</v>
      </c>
      <c r="D897" s="28">
        <v>0</v>
      </c>
      <c r="E897" s="29">
        <v>4.91</v>
      </c>
      <c r="F897" s="29">
        <v>0.5</v>
      </c>
      <c r="G897" s="30" t="s">
        <v>39</v>
      </c>
      <c r="H897" s="27" t="s">
        <v>71</v>
      </c>
      <c r="I897" s="27" t="s">
        <v>49</v>
      </c>
      <c r="J897" s="27" t="s">
        <v>152</v>
      </c>
      <c r="K897" s="27" t="s">
        <v>73</v>
      </c>
      <c r="L897" s="31" t="s">
        <v>973</v>
      </c>
      <c r="M897" s="32">
        <v>0.36</v>
      </c>
      <c r="N897" s="27" t="s">
        <v>33</v>
      </c>
      <c r="O897" s="27" t="s">
        <v>53</v>
      </c>
      <c r="P897" s="27" t="s">
        <v>213</v>
      </c>
      <c r="Q897" s="27" t="s">
        <v>1789</v>
      </c>
      <c r="R897" s="33">
        <v>51503</v>
      </c>
      <c r="S897" s="34">
        <v>42085</v>
      </c>
      <c r="T897" s="34">
        <v>42087</v>
      </c>
      <c r="U897" s="29">
        <v>7.2519</v>
      </c>
      <c r="V897" s="26">
        <v>2</v>
      </c>
      <c r="W897" s="29">
        <v>10.51</v>
      </c>
      <c r="X897" s="26">
        <v>88367</v>
      </c>
      <c r="Y897" s="35">
        <v>145.44</v>
      </c>
      <c r="Z897" s="1" t="s">
        <v>3012</v>
      </c>
      <c r="AA897" s="36">
        <v>0</v>
      </c>
      <c r="AB897" s="54">
        <v>6.7263999999999999</v>
      </c>
      <c r="AC897" s="54">
        <v>1.8917999999999999</v>
      </c>
      <c r="AD897" s="36">
        <v>2.7580999999999998</v>
      </c>
    </row>
    <row r="898" spans="1:30" s="37" customFormat="1" ht="15.75" customHeight="1" x14ac:dyDescent="0.2">
      <c r="A898" s="26">
        <v>1940</v>
      </c>
      <c r="B898" s="27" t="s">
        <v>1795</v>
      </c>
      <c r="C898" s="27" t="s">
        <v>116</v>
      </c>
      <c r="D898" s="28">
        <v>0.08</v>
      </c>
      <c r="E898" s="29">
        <v>6.84</v>
      </c>
      <c r="F898" s="29">
        <v>8.3699999999999992</v>
      </c>
      <c r="G898" s="30" t="s">
        <v>39</v>
      </c>
      <c r="H898" s="27" t="s">
        <v>94</v>
      </c>
      <c r="I898" s="27" t="s">
        <v>49</v>
      </c>
      <c r="J898" s="27" t="s">
        <v>568</v>
      </c>
      <c r="K898" s="27" t="s">
        <v>43</v>
      </c>
      <c r="L898" s="31" t="s">
        <v>736</v>
      </c>
      <c r="M898" s="32">
        <v>0.57999999999999996</v>
      </c>
      <c r="N898" s="27" t="s">
        <v>33</v>
      </c>
      <c r="O898" s="27" t="s">
        <v>60</v>
      </c>
      <c r="P898" s="27" t="s">
        <v>146</v>
      </c>
      <c r="Q898" s="27" t="s">
        <v>147</v>
      </c>
      <c r="R898" s="33">
        <v>84020</v>
      </c>
      <c r="S898" s="34">
        <v>42085</v>
      </c>
      <c r="T898" s="34">
        <v>42087</v>
      </c>
      <c r="U898" s="29">
        <v>-29.49</v>
      </c>
      <c r="V898" s="26">
        <v>1</v>
      </c>
      <c r="W898" s="29">
        <v>8.39</v>
      </c>
      <c r="X898" s="26">
        <v>88870</v>
      </c>
      <c r="Y898" s="35">
        <v>12.25</v>
      </c>
      <c r="Z898" s="1" t="s">
        <v>3013</v>
      </c>
      <c r="AA898" s="36">
        <v>0.54720000000000002</v>
      </c>
      <c r="AB898" s="54">
        <v>3.5238000000000005</v>
      </c>
      <c r="AC898" s="54">
        <v>4.8662000000000001</v>
      </c>
      <c r="AD898" s="36">
        <v>28.962799999999998</v>
      </c>
    </row>
    <row r="899" spans="1:30" s="37" customFormat="1" ht="15.75" customHeight="1" x14ac:dyDescent="0.2">
      <c r="A899" s="26">
        <v>950</v>
      </c>
      <c r="B899" s="27" t="s">
        <v>82</v>
      </c>
      <c r="C899" s="27" t="s">
        <v>48</v>
      </c>
      <c r="D899" s="28">
        <v>0.03</v>
      </c>
      <c r="E899" s="29">
        <v>4.28</v>
      </c>
      <c r="F899" s="29">
        <v>1.6</v>
      </c>
      <c r="G899" s="30" t="s">
        <v>39</v>
      </c>
      <c r="H899" s="27" t="s">
        <v>40</v>
      </c>
      <c r="I899" s="27" t="s">
        <v>49</v>
      </c>
      <c r="J899" s="27" t="s">
        <v>50</v>
      </c>
      <c r="K899" s="27" t="s">
        <v>51</v>
      </c>
      <c r="L899" s="31" t="s">
        <v>1791</v>
      </c>
      <c r="M899" s="32">
        <v>0.57999999999999996</v>
      </c>
      <c r="N899" s="27" t="s">
        <v>33</v>
      </c>
      <c r="O899" s="27" t="s">
        <v>53</v>
      </c>
      <c r="P899" s="27" t="s">
        <v>84</v>
      </c>
      <c r="Q899" s="27" t="s">
        <v>85</v>
      </c>
      <c r="R899" s="33">
        <v>55372</v>
      </c>
      <c r="S899" s="34">
        <v>42085</v>
      </c>
      <c r="T899" s="34">
        <v>42092</v>
      </c>
      <c r="U899" s="29">
        <v>-6.2</v>
      </c>
      <c r="V899" s="26">
        <v>1</v>
      </c>
      <c r="W899" s="29">
        <v>4.55</v>
      </c>
      <c r="X899" s="26">
        <v>89084</v>
      </c>
      <c r="Y899" s="35">
        <v>160.94999999999999</v>
      </c>
      <c r="Z899" s="1" t="s">
        <v>3012</v>
      </c>
      <c r="AA899" s="36">
        <v>0.12840000000000001</v>
      </c>
      <c r="AB899" s="54">
        <v>1.911</v>
      </c>
      <c r="AC899" s="54">
        <v>2.6389999999999998</v>
      </c>
      <c r="AD899" s="36">
        <v>9.0215999999999994</v>
      </c>
    </row>
    <row r="900" spans="1:30" s="37" customFormat="1" ht="15.75" customHeight="1" x14ac:dyDescent="0.2">
      <c r="A900" s="26">
        <v>2618</v>
      </c>
      <c r="B900" s="27" t="s">
        <v>607</v>
      </c>
      <c r="C900" s="27" t="s">
        <v>26</v>
      </c>
      <c r="D900" s="28">
        <v>0.1</v>
      </c>
      <c r="E900" s="29">
        <v>20.27</v>
      </c>
      <c r="F900" s="29">
        <v>3.99</v>
      </c>
      <c r="G900" s="30" t="s">
        <v>39</v>
      </c>
      <c r="H900" s="27" t="s">
        <v>94</v>
      </c>
      <c r="I900" s="27" t="s">
        <v>49</v>
      </c>
      <c r="J900" s="27" t="s">
        <v>95</v>
      </c>
      <c r="K900" s="27" t="s">
        <v>73</v>
      </c>
      <c r="L900" s="31" t="s">
        <v>1800</v>
      </c>
      <c r="M900" s="32">
        <v>0.56999999999999995</v>
      </c>
      <c r="N900" s="27" t="s">
        <v>33</v>
      </c>
      <c r="O900" s="27" t="s">
        <v>111</v>
      </c>
      <c r="P900" s="27" t="s">
        <v>112</v>
      </c>
      <c r="Q900" s="27" t="s">
        <v>113</v>
      </c>
      <c r="R900" s="33">
        <v>10004</v>
      </c>
      <c r="S900" s="34">
        <v>42086</v>
      </c>
      <c r="T900" s="34">
        <v>42087</v>
      </c>
      <c r="U900" s="29">
        <v>84.05</v>
      </c>
      <c r="V900" s="26">
        <v>53</v>
      </c>
      <c r="W900" s="29">
        <v>1051.52</v>
      </c>
      <c r="X900" s="26">
        <v>53153</v>
      </c>
      <c r="Y900" s="35">
        <v>40.93</v>
      </c>
      <c r="Z900" s="1" t="s">
        <v>3014</v>
      </c>
      <c r="AA900" s="36">
        <v>107.43100000000001</v>
      </c>
      <c r="AB900" s="54">
        <v>452.15360000000004</v>
      </c>
      <c r="AC900" s="54">
        <v>11.3088</v>
      </c>
      <c r="AD900" s="36">
        <v>856.04899999999998</v>
      </c>
    </row>
    <row r="901" spans="1:30" s="37" customFormat="1" ht="15.75" customHeight="1" x14ac:dyDescent="0.2">
      <c r="A901" s="26">
        <v>2395</v>
      </c>
      <c r="B901" s="27" t="s">
        <v>1809</v>
      </c>
      <c r="C901" s="27" t="s">
        <v>3094</v>
      </c>
      <c r="D901" s="28">
        <v>0.04</v>
      </c>
      <c r="E901" s="29">
        <v>60.97</v>
      </c>
      <c r="F901" s="29">
        <v>4.5</v>
      </c>
      <c r="G901" s="30" t="s">
        <v>39</v>
      </c>
      <c r="H901" s="27" t="s">
        <v>94</v>
      </c>
      <c r="I901" s="27" t="s">
        <v>49</v>
      </c>
      <c r="J901" s="27" t="s">
        <v>95</v>
      </c>
      <c r="K901" s="27" t="s">
        <v>73</v>
      </c>
      <c r="L901" s="31" t="s">
        <v>96</v>
      </c>
      <c r="M901" s="32">
        <v>0.56000000000000005</v>
      </c>
      <c r="N901" s="27" t="s">
        <v>33</v>
      </c>
      <c r="O901" s="27" t="s">
        <v>34</v>
      </c>
      <c r="P901" s="27" t="s">
        <v>75</v>
      </c>
      <c r="Q901" s="27" t="s">
        <v>1810</v>
      </c>
      <c r="R901" s="33">
        <v>31401</v>
      </c>
      <c r="S901" s="34">
        <v>42086</v>
      </c>
      <c r="T901" s="34">
        <v>42087</v>
      </c>
      <c r="U901" s="29">
        <v>79.423199999999994</v>
      </c>
      <c r="V901" s="26">
        <v>15</v>
      </c>
      <c r="W901" s="29">
        <v>904.31</v>
      </c>
      <c r="X901" s="26">
        <v>86952</v>
      </c>
      <c r="Y901" s="35">
        <v>20.169999999999998</v>
      </c>
      <c r="Z901" s="1" t="s">
        <v>3011</v>
      </c>
      <c r="AA901" s="36">
        <v>36.582000000000001</v>
      </c>
      <c r="AB901" s="54">
        <v>397.89639999999991</v>
      </c>
      <c r="AC901" s="54">
        <v>33.760906666666671</v>
      </c>
      <c r="AD901" s="36">
        <v>783.80479999999989</v>
      </c>
    </row>
    <row r="902" spans="1:30" s="37" customFormat="1" ht="15.75" customHeight="1" x14ac:dyDescent="0.2">
      <c r="A902" s="26">
        <v>1976</v>
      </c>
      <c r="B902" s="27" t="s">
        <v>377</v>
      </c>
      <c r="C902" s="27" t="s">
        <v>26</v>
      </c>
      <c r="D902" s="28">
        <v>0.06</v>
      </c>
      <c r="E902" s="29">
        <v>40.99</v>
      </c>
      <c r="F902" s="29">
        <v>17.48</v>
      </c>
      <c r="G902" s="30" t="s">
        <v>39</v>
      </c>
      <c r="H902" s="27" t="s">
        <v>40</v>
      </c>
      <c r="I902" s="27" t="s">
        <v>49</v>
      </c>
      <c r="J902" s="27" t="s">
        <v>88</v>
      </c>
      <c r="K902" s="27" t="s">
        <v>73</v>
      </c>
      <c r="L902" s="31" t="s">
        <v>1398</v>
      </c>
      <c r="M902" s="32">
        <v>0.36</v>
      </c>
      <c r="N902" s="27" t="s">
        <v>33</v>
      </c>
      <c r="O902" s="27" t="s">
        <v>53</v>
      </c>
      <c r="P902" s="27" t="s">
        <v>289</v>
      </c>
      <c r="Q902" s="27" t="s">
        <v>379</v>
      </c>
      <c r="R902" s="33">
        <v>48823</v>
      </c>
      <c r="S902" s="34">
        <v>42086</v>
      </c>
      <c r="T902" s="34">
        <v>42088</v>
      </c>
      <c r="U902" s="29">
        <v>214.23</v>
      </c>
      <c r="V902" s="26">
        <v>14</v>
      </c>
      <c r="W902" s="29">
        <v>585.08000000000004</v>
      </c>
      <c r="X902" s="26">
        <v>89041</v>
      </c>
      <c r="Y902" s="35">
        <v>20.169999999999998</v>
      </c>
      <c r="Z902" s="1" t="s">
        <v>3012</v>
      </c>
      <c r="AA902" s="36">
        <v>34.431600000000003</v>
      </c>
      <c r="AB902" s="54">
        <v>374.45120000000003</v>
      </c>
      <c r="AC902" s="54">
        <v>15.044914285714286</v>
      </c>
      <c r="AD902" s="36">
        <v>318.93840000000006</v>
      </c>
    </row>
    <row r="903" spans="1:30" s="37" customFormat="1" ht="15.75" customHeight="1" x14ac:dyDescent="0.2">
      <c r="A903" s="26">
        <v>2618</v>
      </c>
      <c r="B903" s="27" t="s">
        <v>607</v>
      </c>
      <c r="C903" s="27" t="s">
        <v>38</v>
      </c>
      <c r="D903" s="28">
        <v>0.01</v>
      </c>
      <c r="E903" s="29">
        <v>14.98</v>
      </c>
      <c r="F903" s="29">
        <v>7.69</v>
      </c>
      <c r="G903" s="30" t="s">
        <v>39</v>
      </c>
      <c r="H903" s="27" t="s">
        <v>94</v>
      </c>
      <c r="I903" s="27" t="s">
        <v>49</v>
      </c>
      <c r="J903" s="27" t="s">
        <v>78</v>
      </c>
      <c r="K903" s="27" t="s">
        <v>73</v>
      </c>
      <c r="L903" s="31" t="s">
        <v>688</v>
      </c>
      <c r="M903" s="32">
        <v>0.56999999999999995</v>
      </c>
      <c r="N903" s="27" t="s">
        <v>33</v>
      </c>
      <c r="O903" s="27" t="s">
        <v>111</v>
      </c>
      <c r="P903" s="27" t="s">
        <v>112</v>
      </c>
      <c r="Q903" s="27" t="s">
        <v>113</v>
      </c>
      <c r="R903" s="33">
        <v>10004</v>
      </c>
      <c r="S903" s="34">
        <v>42086</v>
      </c>
      <c r="T903" s="34">
        <v>42088</v>
      </c>
      <c r="U903" s="29">
        <v>-48.97</v>
      </c>
      <c r="V903" s="26">
        <v>28</v>
      </c>
      <c r="W903" s="29">
        <v>435.39</v>
      </c>
      <c r="X903" s="26">
        <v>34017</v>
      </c>
      <c r="Y903" s="35">
        <v>4.79</v>
      </c>
      <c r="Z903" s="1" t="s">
        <v>3014</v>
      </c>
      <c r="AA903" s="36">
        <v>4.1944000000000008</v>
      </c>
      <c r="AB903" s="54">
        <v>187.21770000000001</v>
      </c>
      <c r="AC903" s="54">
        <v>8.8632964285714273</v>
      </c>
      <c r="AD903" s="36">
        <v>472.47559999999999</v>
      </c>
    </row>
    <row r="904" spans="1:30" s="37" customFormat="1" ht="15.75" customHeight="1" x14ac:dyDescent="0.2">
      <c r="A904" s="26">
        <v>2958</v>
      </c>
      <c r="B904" s="27" t="s">
        <v>1803</v>
      </c>
      <c r="C904" s="27" t="s">
        <v>48</v>
      </c>
      <c r="D904" s="28">
        <v>0.06</v>
      </c>
      <c r="E904" s="29">
        <v>20.99</v>
      </c>
      <c r="F904" s="29">
        <v>0.99</v>
      </c>
      <c r="G904" s="30" t="s">
        <v>39</v>
      </c>
      <c r="H904" s="27" t="s">
        <v>94</v>
      </c>
      <c r="I904" s="27" t="s">
        <v>41</v>
      </c>
      <c r="J904" s="27" t="s">
        <v>135</v>
      </c>
      <c r="K904" s="27" t="s">
        <v>51</v>
      </c>
      <c r="L904" s="31" t="s">
        <v>1804</v>
      </c>
      <c r="M904" s="32">
        <v>0.37</v>
      </c>
      <c r="N904" s="27" t="s">
        <v>33</v>
      </c>
      <c r="O904" s="27" t="s">
        <v>53</v>
      </c>
      <c r="P904" s="27" t="s">
        <v>357</v>
      </c>
      <c r="Q904" s="27" t="s">
        <v>1805</v>
      </c>
      <c r="R904" s="33">
        <v>54956</v>
      </c>
      <c r="S904" s="34">
        <v>42086</v>
      </c>
      <c r="T904" s="34">
        <v>42091</v>
      </c>
      <c r="U904" s="29">
        <v>224.9607</v>
      </c>
      <c r="V904" s="26">
        <v>18</v>
      </c>
      <c r="W904" s="29">
        <v>326.02999999999997</v>
      </c>
      <c r="X904" s="26">
        <v>90265</v>
      </c>
      <c r="Y904" s="35">
        <v>14.97</v>
      </c>
      <c r="Z904" s="1" t="s">
        <v>3012</v>
      </c>
      <c r="AA904" s="36">
        <v>22.669199999999996</v>
      </c>
      <c r="AB904" s="54">
        <v>205.3989</v>
      </c>
      <c r="AC904" s="54">
        <v>6.7017277777777773</v>
      </c>
      <c r="AD904" s="36">
        <v>77.410099999999971</v>
      </c>
    </row>
    <row r="905" spans="1:30" s="37" customFormat="1" ht="15.75" customHeight="1" x14ac:dyDescent="0.2">
      <c r="A905" s="26">
        <v>2620</v>
      </c>
      <c r="B905" s="27" t="s">
        <v>1801</v>
      </c>
      <c r="C905" s="27" t="s">
        <v>26</v>
      </c>
      <c r="D905" s="28">
        <v>0.1</v>
      </c>
      <c r="E905" s="29">
        <v>20.27</v>
      </c>
      <c r="F905" s="29">
        <v>3.99</v>
      </c>
      <c r="G905" s="30" t="s">
        <v>39</v>
      </c>
      <c r="H905" s="27" t="s">
        <v>94</v>
      </c>
      <c r="I905" s="27" t="s">
        <v>49</v>
      </c>
      <c r="J905" s="27" t="s">
        <v>95</v>
      </c>
      <c r="K905" s="27" t="s">
        <v>73</v>
      </c>
      <c r="L905" s="31" t="s">
        <v>1800</v>
      </c>
      <c r="M905" s="32">
        <v>0.56999999999999995</v>
      </c>
      <c r="N905" s="27" t="s">
        <v>33</v>
      </c>
      <c r="O905" s="27" t="s">
        <v>34</v>
      </c>
      <c r="P905" s="27" t="s">
        <v>400</v>
      </c>
      <c r="Q905" s="27" t="s">
        <v>1802</v>
      </c>
      <c r="R905" s="33">
        <v>38134</v>
      </c>
      <c r="S905" s="34">
        <v>42086</v>
      </c>
      <c r="T905" s="34">
        <v>42087</v>
      </c>
      <c r="U905" s="29">
        <v>381.61799999999999</v>
      </c>
      <c r="V905" s="26">
        <v>13</v>
      </c>
      <c r="W905" s="29">
        <v>257.92</v>
      </c>
      <c r="X905" s="26">
        <v>88017</v>
      </c>
      <c r="Y905" s="35">
        <v>4.79</v>
      </c>
      <c r="Z905" s="1" t="s">
        <v>3011</v>
      </c>
      <c r="AA905" s="36">
        <v>26.351000000000003</v>
      </c>
      <c r="AB905" s="54">
        <v>110.90560000000002</v>
      </c>
      <c r="AC905" s="54">
        <v>11.3088</v>
      </c>
      <c r="AD905" s="36">
        <v>-154.03899999999999</v>
      </c>
    </row>
    <row r="906" spans="1:30" s="37" customFormat="1" ht="15.75" customHeight="1" x14ac:dyDescent="0.2">
      <c r="A906" s="26">
        <v>1369</v>
      </c>
      <c r="B906" s="27" t="s">
        <v>1808</v>
      </c>
      <c r="C906" s="27" t="s">
        <v>116</v>
      </c>
      <c r="D906" s="28">
        <v>7.0000000000000007E-2</v>
      </c>
      <c r="E906" s="29">
        <v>9.7799999999999994</v>
      </c>
      <c r="F906" s="29">
        <v>5.76</v>
      </c>
      <c r="G906" s="30" t="s">
        <v>87</v>
      </c>
      <c r="H906" s="27" t="s">
        <v>40</v>
      </c>
      <c r="I906" s="27" t="s">
        <v>49</v>
      </c>
      <c r="J906" s="27" t="s">
        <v>345</v>
      </c>
      <c r="K906" s="27" t="s">
        <v>73</v>
      </c>
      <c r="L906" s="31" t="s">
        <v>1511</v>
      </c>
      <c r="M906" s="32">
        <v>0.35</v>
      </c>
      <c r="N906" s="27" t="s">
        <v>33</v>
      </c>
      <c r="O906" s="27" t="s">
        <v>53</v>
      </c>
      <c r="P906" s="27" t="s">
        <v>187</v>
      </c>
      <c r="Q906" s="27" t="s">
        <v>1454</v>
      </c>
      <c r="R906" s="33">
        <v>76063</v>
      </c>
      <c r="S906" s="34">
        <v>42086</v>
      </c>
      <c r="T906" s="34">
        <v>42088</v>
      </c>
      <c r="U906" s="29">
        <v>20.14</v>
      </c>
      <c r="V906" s="26">
        <v>11</v>
      </c>
      <c r="W906" s="29">
        <v>110.72</v>
      </c>
      <c r="X906" s="26">
        <v>90514</v>
      </c>
      <c r="Y906" s="35">
        <v>20.93</v>
      </c>
      <c r="Z906" s="1" t="s">
        <v>3012</v>
      </c>
      <c r="AA906" s="36">
        <v>7.5305999999999997</v>
      </c>
      <c r="AB906" s="54">
        <v>71.968000000000004</v>
      </c>
      <c r="AC906" s="54">
        <v>3.5229090909090903</v>
      </c>
      <c r="AD906" s="36">
        <v>77.289400000000001</v>
      </c>
    </row>
    <row r="907" spans="1:30" s="37" customFormat="1" ht="15.75" customHeight="1" x14ac:dyDescent="0.2">
      <c r="A907" s="26">
        <v>2618</v>
      </c>
      <c r="B907" s="27" t="s">
        <v>607</v>
      </c>
      <c r="C907" s="27" t="s">
        <v>38</v>
      </c>
      <c r="D907" s="28">
        <v>0.05</v>
      </c>
      <c r="E907" s="29">
        <v>4.84</v>
      </c>
      <c r="F907" s="29">
        <v>0.71</v>
      </c>
      <c r="G907" s="30" t="s">
        <v>87</v>
      </c>
      <c r="H907" s="27" t="s">
        <v>94</v>
      </c>
      <c r="I907" s="27" t="s">
        <v>49</v>
      </c>
      <c r="J907" s="27" t="s">
        <v>50</v>
      </c>
      <c r="K907" s="27" t="s">
        <v>51</v>
      </c>
      <c r="L907" s="31" t="s">
        <v>52</v>
      </c>
      <c r="M907" s="32">
        <v>0.52</v>
      </c>
      <c r="N907" s="27" t="s">
        <v>33</v>
      </c>
      <c r="O907" s="27" t="s">
        <v>111</v>
      </c>
      <c r="P907" s="27" t="s">
        <v>112</v>
      </c>
      <c r="Q907" s="27" t="s">
        <v>113</v>
      </c>
      <c r="R907" s="33">
        <v>10004</v>
      </c>
      <c r="S907" s="34">
        <v>42086</v>
      </c>
      <c r="T907" s="34">
        <v>42086</v>
      </c>
      <c r="U907" s="29">
        <v>29.17</v>
      </c>
      <c r="V907" s="26">
        <v>20</v>
      </c>
      <c r="W907" s="29">
        <v>103.39</v>
      </c>
      <c r="X907" s="26">
        <v>34017</v>
      </c>
      <c r="Y907" s="35">
        <v>4.46</v>
      </c>
      <c r="Z907" s="1" t="s">
        <v>3014</v>
      </c>
      <c r="AA907" s="36">
        <v>4.84</v>
      </c>
      <c r="AB907" s="54">
        <v>49.627200000000002</v>
      </c>
      <c r="AC907" s="54">
        <v>2.6881400000000002</v>
      </c>
      <c r="AD907" s="36">
        <v>68.67</v>
      </c>
    </row>
    <row r="908" spans="1:30" s="37" customFormat="1" ht="15.75" customHeight="1" x14ac:dyDescent="0.2">
      <c r="A908" s="26">
        <v>2619</v>
      </c>
      <c r="B908" s="27" t="s">
        <v>1070</v>
      </c>
      <c r="C908" s="27" t="s">
        <v>38</v>
      </c>
      <c r="D908" s="28">
        <v>0.05</v>
      </c>
      <c r="E908" s="29">
        <v>4.84</v>
      </c>
      <c r="F908" s="29">
        <v>0.71</v>
      </c>
      <c r="G908" s="30" t="s">
        <v>87</v>
      </c>
      <c r="H908" s="27" t="s">
        <v>94</v>
      </c>
      <c r="I908" s="27" t="s">
        <v>49</v>
      </c>
      <c r="J908" s="27" t="s">
        <v>50</v>
      </c>
      <c r="K908" s="27" t="s">
        <v>51</v>
      </c>
      <c r="L908" s="31" t="s">
        <v>52</v>
      </c>
      <c r="M908" s="32">
        <v>0.52</v>
      </c>
      <c r="N908" s="27" t="s">
        <v>33</v>
      </c>
      <c r="O908" s="27" t="s">
        <v>53</v>
      </c>
      <c r="P908" s="27" t="s">
        <v>1071</v>
      </c>
      <c r="Q908" s="27" t="s">
        <v>1072</v>
      </c>
      <c r="R908" s="33">
        <v>57103</v>
      </c>
      <c r="S908" s="34">
        <v>42086</v>
      </c>
      <c r="T908" s="34">
        <v>42086</v>
      </c>
      <c r="U908" s="29">
        <v>17.836500000000001</v>
      </c>
      <c r="V908" s="26">
        <v>5</v>
      </c>
      <c r="W908" s="29">
        <v>25.85</v>
      </c>
      <c r="X908" s="26">
        <v>88014</v>
      </c>
      <c r="Y908" s="35">
        <v>9.7099999999999991</v>
      </c>
      <c r="Z908" s="1" t="s">
        <v>3012</v>
      </c>
      <c r="AA908" s="36">
        <v>1.21</v>
      </c>
      <c r="AB908" s="54">
        <v>12.407999999999999</v>
      </c>
      <c r="AC908" s="54">
        <v>2.6884000000000001</v>
      </c>
      <c r="AD908" s="36">
        <v>6.0934999999999988</v>
      </c>
    </row>
    <row r="909" spans="1:30" s="37" customFormat="1" ht="15.75" customHeight="1" x14ac:dyDescent="0.2">
      <c r="A909" s="26">
        <v>1368</v>
      </c>
      <c r="B909" s="27" t="s">
        <v>1806</v>
      </c>
      <c r="C909" s="27" t="s">
        <v>116</v>
      </c>
      <c r="D909" s="28">
        <v>0.09</v>
      </c>
      <c r="E909" s="29">
        <v>4.55</v>
      </c>
      <c r="F909" s="29">
        <v>1.49</v>
      </c>
      <c r="G909" s="30" t="s">
        <v>39</v>
      </c>
      <c r="H909" s="27" t="s">
        <v>40</v>
      </c>
      <c r="I909" s="27" t="s">
        <v>49</v>
      </c>
      <c r="J909" s="27" t="s">
        <v>72</v>
      </c>
      <c r="K909" s="27" t="s">
        <v>73</v>
      </c>
      <c r="L909" s="31" t="s">
        <v>1503</v>
      </c>
      <c r="M909" s="32">
        <v>0.35</v>
      </c>
      <c r="N909" s="27" t="s">
        <v>33</v>
      </c>
      <c r="O909" s="27" t="s">
        <v>53</v>
      </c>
      <c r="P909" s="27" t="s">
        <v>187</v>
      </c>
      <c r="Q909" s="27" t="s">
        <v>1807</v>
      </c>
      <c r="R909" s="33">
        <v>75901</v>
      </c>
      <c r="S909" s="34">
        <v>42086</v>
      </c>
      <c r="T909" s="34">
        <v>42088</v>
      </c>
      <c r="U909" s="29">
        <v>16.898</v>
      </c>
      <c r="V909" s="26">
        <v>6</v>
      </c>
      <c r="W909" s="29">
        <v>25.45</v>
      </c>
      <c r="X909" s="26">
        <v>90514</v>
      </c>
      <c r="Y909" s="35">
        <v>60.93</v>
      </c>
      <c r="Z909" s="1" t="s">
        <v>3012</v>
      </c>
      <c r="AA909" s="36">
        <v>2.4569999999999999</v>
      </c>
      <c r="AB909" s="54">
        <v>16.5425</v>
      </c>
      <c r="AC909" s="54">
        <v>1.4845833333333331</v>
      </c>
      <c r="AD909" s="36">
        <v>4.6050000000000004</v>
      </c>
    </row>
    <row r="910" spans="1:30" s="37" customFormat="1" ht="15.75" customHeight="1" x14ac:dyDescent="0.2">
      <c r="A910" s="26">
        <v>3381</v>
      </c>
      <c r="B910" s="27" t="s">
        <v>1811</v>
      </c>
      <c r="C910" s="27" t="s">
        <v>3094</v>
      </c>
      <c r="D910" s="28">
        <v>0.05</v>
      </c>
      <c r="E910" s="29">
        <v>11.97</v>
      </c>
      <c r="F910" s="29">
        <v>5.81</v>
      </c>
      <c r="G910" s="30" t="s">
        <v>39</v>
      </c>
      <c r="H910" s="27" t="s">
        <v>94</v>
      </c>
      <c r="I910" s="27" t="s">
        <v>49</v>
      </c>
      <c r="J910" s="27" t="s">
        <v>50</v>
      </c>
      <c r="K910" s="27" t="s">
        <v>43</v>
      </c>
      <c r="L910" s="31" t="s">
        <v>1812</v>
      </c>
      <c r="M910" s="32">
        <v>0.6</v>
      </c>
      <c r="N910" s="27" t="s">
        <v>33</v>
      </c>
      <c r="O910" s="27" t="s">
        <v>34</v>
      </c>
      <c r="P910" s="27" t="s">
        <v>75</v>
      </c>
      <c r="Q910" s="27" t="s">
        <v>1813</v>
      </c>
      <c r="R910" s="33">
        <v>31204</v>
      </c>
      <c r="S910" s="34">
        <v>42086</v>
      </c>
      <c r="T910" s="34">
        <v>42088</v>
      </c>
      <c r="U910" s="29">
        <v>349.05930000000001</v>
      </c>
      <c r="V910" s="26">
        <v>2</v>
      </c>
      <c r="W910" s="29">
        <v>25.31</v>
      </c>
      <c r="X910" s="26">
        <v>88836</v>
      </c>
      <c r="Y910" s="35">
        <v>11.92</v>
      </c>
      <c r="Z910" s="1" t="s">
        <v>3011</v>
      </c>
      <c r="AA910" s="36">
        <v>1.1970000000000001</v>
      </c>
      <c r="AB910" s="54">
        <v>10.124000000000001</v>
      </c>
      <c r="AC910" s="54">
        <v>7.5929999999999991</v>
      </c>
      <c r="AD910" s="36">
        <v>-330.75630000000001</v>
      </c>
    </row>
    <row r="911" spans="1:30" s="37" customFormat="1" ht="15.75" customHeight="1" x14ac:dyDescent="0.2">
      <c r="A911" s="26">
        <v>1060</v>
      </c>
      <c r="B911" s="27" t="s">
        <v>1825</v>
      </c>
      <c r="C911" s="27" t="s">
        <v>116</v>
      </c>
      <c r="D911" s="28">
        <v>0.09</v>
      </c>
      <c r="E911" s="29">
        <v>138.75</v>
      </c>
      <c r="F911" s="29">
        <v>52.42</v>
      </c>
      <c r="G911" s="30" t="s">
        <v>27</v>
      </c>
      <c r="H911" s="27" t="s">
        <v>3095</v>
      </c>
      <c r="I911" s="27" t="s">
        <v>29</v>
      </c>
      <c r="J911" s="27" t="s">
        <v>30</v>
      </c>
      <c r="K911" s="27" t="s">
        <v>31</v>
      </c>
      <c r="L911" s="31" t="s">
        <v>1826</v>
      </c>
      <c r="M911" s="32">
        <v>0.74</v>
      </c>
      <c r="N911" s="27" t="s">
        <v>33</v>
      </c>
      <c r="O911" s="27" t="s">
        <v>34</v>
      </c>
      <c r="P911" s="27" t="s">
        <v>75</v>
      </c>
      <c r="Q911" s="27" t="s">
        <v>361</v>
      </c>
      <c r="R911" s="33">
        <v>30318</v>
      </c>
      <c r="S911" s="34">
        <v>42087</v>
      </c>
      <c r="T911" s="34">
        <v>42088</v>
      </c>
      <c r="U911" s="29">
        <v>-445.97177625</v>
      </c>
      <c r="V911" s="26">
        <v>23</v>
      </c>
      <c r="W911" s="29">
        <v>2527.79</v>
      </c>
      <c r="X911" s="26">
        <v>58628</v>
      </c>
      <c r="Y911" s="35">
        <v>17.920000000000002</v>
      </c>
      <c r="Z911" s="1" t="s">
        <v>3011</v>
      </c>
      <c r="AA911" s="36">
        <v>287.21249999999998</v>
      </c>
      <c r="AB911" s="54">
        <v>657.22540000000004</v>
      </c>
      <c r="AC911" s="54">
        <v>81.328895652173912</v>
      </c>
      <c r="AD911" s="36">
        <v>2634.1292762499997</v>
      </c>
    </row>
    <row r="912" spans="1:30" s="37" customFormat="1" ht="15.75" customHeight="1" x14ac:dyDescent="0.2">
      <c r="A912" s="26">
        <v>2308</v>
      </c>
      <c r="B912" s="27" t="s">
        <v>1823</v>
      </c>
      <c r="C912" s="27" t="s">
        <v>48</v>
      </c>
      <c r="D912" s="28">
        <v>0.03</v>
      </c>
      <c r="E912" s="29">
        <v>193.17</v>
      </c>
      <c r="F912" s="29">
        <v>19.989999999999998</v>
      </c>
      <c r="G912" s="30" t="s">
        <v>39</v>
      </c>
      <c r="H912" s="27" t="s">
        <v>3095</v>
      </c>
      <c r="I912" s="27" t="s">
        <v>49</v>
      </c>
      <c r="J912" s="27" t="s">
        <v>78</v>
      </c>
      <c r="K912" s="27" t="s">
        <v>73</v>
      </c>
      <c r="L912" s="31" t="s">
        <v>1582</v>
      </c>
      <c r="M912" s="32">
        <v>0.71</v>
      </c>
      <c r="N912" s="27" t="s">
        <v>33</v>
      </c>
      <c r="O912" s="27" t="s">
        <v>34</v>
      </c>
      <c r="P912" s="27" t="s">
        <v>123</v>
      </c>
      <c r="Q912" s="27" t="s">
        <v>1824</v>
      </c>
      <c r="R912" s="33">
        <v>33971</v>
      </c>
      <c r="S912" s="34">
        <v>42087</v>
      </c>
      <c r="T912" s="34">
        <v>42091</v>
      </c>
      <c r="U912" s="29">
        <v>-348.75400000000002</v>
      </c>
      <c r="V912" s="26">
        <v>8</v>
      </c>
      <c r="W912" s="29">
        <v>1548.97</v>
      </c>
      <c r="X912" s="26">
        <v>90557</v>
      </c>
      <c r="Y912" s="35">
        <v>6.54</v>
      </c>
      <c r="Z912" s="1" t="s">
        <v>3011</v>
      </c>
      <c r="AA912" s="36">
        <v>46.360799999999998</v>
      </c>
      <c r="AB912" s="54">
        <v>449.20130000000006</v>
      </c>
      <c r="AC912" s="54">
        <v>137.47108749999998</v>
      </c>
      <c r="AD912" s="36">
        <v>1831.3732</v>
      </c>
    </row>
    <row r="913" spans="1:30" s="37" customFormat="1" ht="15.75" customHeight="1" x14ac:dyDescent="0.2">
      <c r="A913" s="26">
        <v>2256</v>
      </c>
      <c r="B913" s="27" t="s">
        <v>93</v>
      </c>
      <c r="C913" s="27" t="s">
        <v>116</v>
      </c>
      <c r="D913" s="28">
        <v>7.0000000000000007E-2</v>
      </c>
      <c r="E913" s="29">
        <v>70.98</v>
      </c>
      <c r="F913" s="29">
        <v>30</v>
      </c>
      <c r="G913" s="30" t="s">
        <v>27</v>
      </c>
      <c r="H913" s="27" t="s">
        <v>94</v>
      </c>
      <c r="I913" s="27" t="s">
        <v>29</v>
      </c>
      <c r="J913" s="27" t="s">
        <v>109</v>
      </c>
      <c r="K913" s="27" t="s">
        <v>58</v>
      </c>
      <c r="L913" s="31" t="s">
        <v>1830</v>
      </c>
      <c r="M913" s="32">
        <v>0.73</v>
      </c>
      <c r="N913" s="27" t="s">
        <v>33</v>
      </c>
      <c r="O913" s="27" t="s">
        <v>34</v>
      </c>
      <c r="P913" s="27" t="s">
        <v>97</v>
      </c>
      <c r="Q913" s="27" t="s">
        <v>98</v>
      </c>
      <c r="R913" s="33">
        <v>28560</v>
      </c>
      <c r="S913" s="34">
        <v>42087</v>
      </c>
      <c r="T913" s="34">
        <v>42089</v>
      </c>
      <c r="U913" s="29">
        <v>-222.95</v>
      </c>
      <c r="V913" s="26">
        <v>20</v>
      </c>
      <c r="W913" s="29">
        <v>1373.47</v>
      </c>
      <c r="X913" s="26">
        <v>87964</v>
      </c>
      <c r="Y913" s="35">
        <v>90.43</v>
      </c>
      <c r="Z913" s="1" t="s">
        <v>3011</v>
      </c>
      <c r="AA913" s="36">
        <v>99.372000000000014</v>
      </c>
      <c r="AB913" s="54">
        <v>370.83690000000001</v>
      </c>
      <c r="AC913" s="54">
        <v>50.131655000000002</v>
      </c>
      <c r="AD913" s="36">
        <v>1467.048</v>
      </c>
    </row>
    <row r="914" spans="1:30" s="37" customFormat="1" ht="15.75" customHeight="1" x14ac:dyDescent="0.2">
      <c r="A914" s="26">
        <v>1062</v>
      </c>
      <c r="B914" s="27" t="s">
        <v>1827</v>
      </c>
      <c r="C914" s="27" t="s">
        <v>116</v>
      </c>
      <c r="D914" s="28">
        <v>0.09</v>
      </c>
      <c r="E914" s="29">
        <v>138.75</v>
      </c>
      <c r="F914" s="29">
        <v>52.42</v>
      </c>
      <c r="G914" s="30" t="s">
        <v>27</v>
      </c>
      <c r="H914" s="27" t="s">
        <v>3095</v>
      </c>
      <c r="I914" s="27" t="s">
        <v>29</v>
      </c>
      <c r="J914" s="27" t="s">
        <v>30</v>
      </c>
      <c r="K914" s="27" t="s">
        <v>31</v>
      </c>
      <c r="L914" s="31" t="s">
        <v>1826</v>
      </c>
      <c r="M914" s="32">
        <v>0.74</v>
      </c>
      <c r="N914" s="27" t="s">
        <v>33</v>
      </c>
      <c r="O914" s="27" t="s">
        <v>111</v>
      </c>
      <c r="P914" s="27" t="s">
        <v>112</v>
      </c>
      <c r="Q914" s="27" t="s">
        <v>1828</v>
      </c>
      <c r="R914" s="33">
        <v>11727</v>
      </c>
      <c r="S914" s="34">
        <v>42087</v>
      </c>
      <c r="T914" s="34">
        <v>42088</v>
      </c>
      <c r="U914" s="29">
        <v>-335.31712499999998</v>
      </c>
      <c r="V914" s="26">
        <v>6</v>
      </c>
      <c r="W914" s="29">
        <v>659.42</v>
      </c>
      <c r="X914" s="26">
        <v>91354</v>
      </c>
      <c r="Y914" s="35">
        <v>48.91</v>
      </c>
      <c r="Z914" s="1" t="s">
        <v>3014</v>
      </c>
      <c r="AA914" s="36">
        <v>74.924999999999997</v>
      </c>
      <c r="AB914" s="54">
        <v>171.44919999999999</v>
      </c>
      <c r="AC914" s="54">
        <v>81.328466666666657</v>
      </c>
      <c r="AD914" s="36">
        <v>867.39212499999985</v>
      </c>
    </row>
    <row r="915" spans="1:30" s="37" customFormat="1" ht="15.75" customHeight="1" x14ac:dyDescent="0.2">
      <c r="A915" s="26">
        <v>1689</v>
      </c>
      <c r="B915" s="27" t="s">
        <v>1820</v>
      </c>
      <c r="C915" s="27" t="s">
        <v>38</v>
      </c>
      <c r="D915" s="28">
        <v>0</v>
      </c>
      <c r="E915" s="29">
        <v>48.91</v>
      </c>
      <c r="F915" s="29">
        <v>35</v>
      </c>
      <c r="G915" s="30" t="s">
        <v>39</v>
      </c>
      <c r="H915" s="27" t="s">
        <v>94</v>
      </c>
      <c r="I915" s="27" t="s">
        <v>49</v>
      </c>
      <c r="J915" s="27" t="s">
        <v>78</v>
      </c>
      <c r="K915" s="27" t="s">
        <v>65</v>
      </c>
      <c r="L915" s="31" t="s">
        <v>1821</v>
      </c>
      <c r="M915" s="32">
        <v>0.83</v>
      </c>
      <c r="N915" s="27" t="s">
        <v>33</v>
      </c>
      <c r="O915" s="27" t="s">
        <v>53</v>
      </c>
      <c r="P915" s="27" t="s">
        <v>54</v>
      </c>
      <c r="Q915" s="27" t="s">
        <v>1822</v>
      </c>
      <c r="R915" s="33">
        <v>46322</v>
      </c>
      <c r="S915" s="34">
        <v>42087</v>
      </c>
      <c r="T915" s="34">
        <v>42088</v>
      </c>
      <c r="U915" s="29">
        <v>-628.38</v>
      </c>
      <c r="V915" s="26">
        <v>10</v>
      </c>
      <c r="W915" s="29">
        <v>514.79</v>
      </c>
      <c r="X915" s="26">
        <v>91077</v>
      </c>
      <c r="Y915" s="35">
        <v>9.4</v>
      </c>
      <c r="Z915" s="1" t="s">
        <v>3012</v>
      </c>
      <c r="AA915" s="36">
        <v>0</v>
      </c>
      <c r="AB915" s="54">
        <v>87.51430000000002</v>
      </c>
      <c r="AC915" s="54">
        <v>42.72757</v>
      </c>
      <c r="AD915" s="36">
        <v>1108.17</v>
      </c>
    </row>
    <row r="916" spans="1:30" s="37" customFormat="1" ht="15.75" customHeight="1" x14ac:dyDescent="0.2">
      <c r="A916" s="26">
        <v>3310</v>
      </c>
      <c r="B916" s="27" t="s">
        <v>1818</v>
      </c>
      <c r="C916" s="27" t="s">
        <v>26</v>
      </c>
      <c r="D916" s="28">
        <v>0.05</v>
      </c>
      <c r="E916" s="29">
        <v>90.48</v>
      </c>
      <c r="F916" s="29">
        <v>19.989999999999998</v>
      </c>
      <c r="G916" s="30" t="s">
        <v>39</v>
      </c>
      <c r="H916" s="27" t="s">
        <v>3095</v>
      </c>
      <c r="I916" s="27" t="s">
        <v>49</v>
      </c>
      <c r="J916" s="27" t="s">
        <v>345</v>
      </c>
      <c r="K916" s="27" t="s">
        <v>73</v>
      </c>
      <c r="L916" s="31" t="s">
        <v>502</v>
      </c>
      <c r="M916" s="32">
        <v>0.4</v>
      </c>
      <c r="N916" s="27" t="s">
        <v>33</v>
      </c>
      <c r="O916" s="27" t="s">
        <v>111</v>
      </c>
      <c r="P916" s="27" t="s">
        <v>403</v>
      </c>
      <c r="Q916" s="27" t="s">
        <v>1819</v>
      </c>
      <c r="R916" s="33">
        <v>2563</v>
      </c>
      <c r="S916" s="34">
        <v>42087</v>
      </c>
      <c r="T916" s="34">
        <v>42088</v>
      </c>
      <c r="U916" s="29">
        <v>255.1482</v>
      </c>
      <c r="V916" s="26">
        <v>4</v>
      </c>
      <c r="W916" s="29">
        <v>369.78</v>
      </c>
      <c r="X916" s="26">
        <v>90460</v>
      </c>
      <c r="Y916" s="35">
        <v>193.14</v>
      </c>
      <c r="Z916" s="1" t="s">
        <v>3014</v>
      </c>
      <c r="AA916" s="36">
        <v>18.096</v>
      </c>
      <c r="AB916" s="54">
        <v>221.86799999999997</v>
      </c>
      <c r="AC916" s="54">
        <v>36.978000000000002</v>
      </c>
      <c r="AD916" s="36">
        <v>76.545799999999986</v>
      </c>
    </row>
    <row r="917" spans="1:30" s="37" customFormat="1" ht="15.75" customHeight="1" x14ac:dyDescent="0.2">
      <c r="A917" s="26">
        <v>2430</v>
      </c>
      <c r="B917" s="27" t="s">
        <v>1837</v>
      </c>
      <c r="C917" s="27" t="s">
        <v>3094</v>
      </c>
      <c r="D917" s="28">
        <v>0.1</v>
      </c>
      <c r="E917" s="29">
        <v>14.28</v>
      </c>
      <c r="F917" s="29">
        <v>2.99</v>
      </c>
      <c r="G917" s="30" t="s">
        <v>39</v>
      </c>
      <c r="H917" s="27" t="s">
        <v>71</v>
      </c>
      <c r="I917" s="27" t="s">
        <v>49</v>
      </c>
      <c r="J917" s="27" t="s">
        <v>72</v>
      </c>
      <c r="K917" s="27" t="s">
        <v>73</v>
      </c>
      <c r="L917" s="31" t="s">
        <v>685</v>
      </c>
      <c r="M917" s="32">
        <v>0.39</v>
      </c>
      <c r="N917" s="27" t="s">
        <v>33</v>
      </c>
      <c r="O917" s="27" t="s">
        <v>53</v>
      </c>
      <c r="P917" s="27" t="s">
        <v>187</v>
      </c>
      <c r="Q917" s="27" t="s">
        <v>1838</v>
      </c>
      <c r="R917" s="33">
        <v>76541</v>
      </c>
      <c r="S917" s="34">
        <v>42087</v>
      </c>
      <c r="T917" s="34">
        <v>42088</v>
      </c>
      <c r="U917" s="29">
        <v>104.9145</v>
      </c>
      <c r="V917" s="26">
        <v>11</v>
      </c>
      <c r="W917" s="29">
        <v>152.05000000000001</v>
      </c>
      <c r="X917" s="26">
        <v>91108</v>
      </c>
      <c r="Y917" s="35">
        <v>138.66</v>
      </c>
      <c r="Z917" s="1" t="s">
        <v>3012</v>
      </c>
      <c r="AA917" s="36">
        <v>15.707999999999998</v>
      </c>
      <c r="AB917" s="54">
        <v>92.750500000000002</v>
      </c>
      <c r="AC917" s="54">
        <v>5.3908636363636369</v>
      </c>
      <c r="AD917" s="36">
        <v>28.437500000000014</v>
      </c>
    </row>
    <row r="918" spans="1:30" s="37" customFormat="1" ht="15.75" customHeight="1" x14ac:dyDescent="0.2">
      <c r="A918" s="26">
        <v>2330</v>
      </c>
      <c r="B918" s="27" t="s">
        <v>1831</v>
      </c>
      <c r="C918" s="27" t="s">
        <v>116</v>
      </c>
      <c r="D918" s="28">
        <v>0.06</v>
      </c>
      <c r="E918" s="29">
        <v>28.53</v>
      </c>
      <c r="F918" s="29">
        <v>1.49</v>
      </c>
      <c r="G918" s="30" t="s">
        <v>39</v>
      </c>
      <c r="H918" s="27" t="s">
        <v>71</v>
      </c>
      <c r="I918" s="27" t="s">
        <v>49</v>
      </c>
      <c r="J918" s="27" t="s">
        <v>72</v>
      </c>
      <c r="K918" s="27" t="s">
        <v>73</v>
      </c>
      <c r="L918" s="31" t="s">
        <v>1832</v>
      </c>
      <c r="M918" s="32">
        <v>0.38</v>
      </c>
      <c r="N918" s="27" t="s">
        <v>33</v>
      </c>
      <c r="O918" s="27" t="s">
        <v>53</v>
      </c>
      <c r="P918" s="27" t="s">
        <v>213</v>
      </c>
      <c r="Q918" s="27" t="s">
        <v>1833</v>
      </c>
      <c r="R918" s="33">
        <v>52302</v>
      </c>
      <c r="S918" s="34">
        <v>42087</v>
      </c>
      <c r="T918" s="34">
        <v>42090</v>
      </c>
      <c r="U918" s="29">
        <v>74.638499999999993</v>
      </c>
      <c r="V918" s="26">
        <v>5</v>
      </c>
      <c r="W918" s="29">
        <v>134.09</v>
      </c>
      <c r="X918" s="26">
        <v>90964</v>
      </c>
      <c r="Y918" s="35">
        <v>138.66</v>
      </c>
      <c r="Z918" s="1" t="s">
        <v>3012</v>
      </c>
      <c r="AA918" s="36">
        <v>8.5589999999999993</v>
      </c>
      <c r="AB918" s="54">
        <v>83.135800000000003</v>
      </c>
      <c r="AC918" s="54">
        <v>10.190840000000001</v>
      </c>
      <c r="AD918" s="36">
        <v>49.402500000000018</v>
      </c>
    </row>
    <row r="919" spans="1:30" s="37" customFormat="1" ht="15.75" customHeight="1" x14ac:dyDescent="0.2">
      <c r="A919" s="26">
        <v>618</v>
      </c>
      <c r="B919" s="27" t="s">
        <v>1814</v>
      </c>
      <c r="C919" s="27" t="s">
        <v>26</v>
      </c>
      <c r="D919" s="28">
        <v>0.06</v>
      </c>
      <c r="E919" s="29">
        <v>17.98</v>
      </c>
      <c r="F919" s="29">
        <v>4</v>
      </c>
      <c r="G919" s="30" t="s">
        <v>39</v>
      </c>
      <c r="H919" s="27" t="s">
        <v>40</v>
      </c>
      <c r="I919" s="27" t="s">
        <v>41</v>
      </c>
      <c r="J919" s="27" t="s">
        <v>42</v>
      </c>
      <c r="K919" s="27" t="s">
        <v>73</v>
      </c>
      <c r="L919" s="31" t="s">
        <v>1657</v>
      </c>
      <c r="M919" s="32">
        <v>0.79</v>
      </c>
      <c r="N919" s="27" t="s">
        <v>33</v>
      </c>
      <c r="O919" s="27" t="s">
        <v>60</v>
      </c>
      <c r="P919" s="27" t="s">
        <v>61</v>
      </c>
      <c r="Q919" s="27" t="s">
        <v>1815</v>
      </c>
      <c r="R919" s="33">
        <v>81007</v>
      </c>
      <c r="S919" s="34">
        <v>42087</v>
      </c>
      <c r="T919" s="34">
        <v>42088</v>
      </c>
      <c r="U919" s="29">
        <v>-78.13</v>
      </c>
      <c r="V919" s="26">
        <v>4</v>
      </c>
      <c r="W919" s="29">
        <v>70.06</v>
      </c>
      <c r="X919" s="26">
        <v>88197</v>
      </c>
      <c r="Y919" s="35">
        <v>3.89</v>
      </c>
      <c r="Z919" s="1" t="s">
        <v>3013</v>
      </c>
      <c r="AA919" s="36">
        <v>4.3151999999999999</v>
      </c>
      <c r="AB919" s="54">
        <v>14.712599999999998</v>
      </c>
      <c r="AC919" s="54">
        <v>13.836850000000002</v>
      </c>
      <c r="AD919" s="36">
        <v>139.87479999999999</v>
      </c>
    </row>
    <row r="920" spans="1:30" s="37" customFormat="1" ht="15.75" customHeight="1" x14ac:dyDescent="0.2">
      <c r="A920" s="26">
        <v>3143</v>
      </c>
      <c r="B920" s="27" t="s">
        <v>1834</v>
      </c>
      <c r="C920" s="27" t="s">
        <v>116</v>
      </c>
      <c r="D920" s="28">
        <v>0.02</v>
      </c>
      <c r="E920" s="29">
        <v>15.42</v>
      </c>
      <c r="F920" s="29">
        <v>5.41</v>
      </c>
      <c r="G920" s="30" t="s">
        <v>39</v>
      </c>
      <c r="H920" s="27" t="s">
        <v>40</v>
      </c>
      <c r="I920" s="27" t="s">
        <v>49</v>
      </c>
      <c r="J920" s="27" t="s">
        <v>78</v>
      </c>
      <c r="K920" s="27" t="s">
        <v>73</v>
      </c>
      <c r="L920" s="31" t="s">
        <v>1835</v>
      </c>
      <c r="M920" s="32">
        <v>0.59</v>
      </c>
      <c r="N920" s="27" t="s">
        <v>33</v>
      </c>
      <c r="O920" s="27" t="s">
        <v>53</v>
      </c>
      <c r="P920" s="27" t="s">
        <v>187</v>
      </c>
      <c r="Q920" s="27" t="s">
        <v>1836</v>
      </c>
      <c r="R920" s="33">
        <v>78660</v>
      </c>
      <c r="S920" s="34">
        <v>42087</v>
      </c>
      <c r="T920" s="34">
        <v>42088</v>
      </c>
      <c r="U920" s="29">
        <v>-16.37</v>
      </c>
      <c r="V920" s="26">
        <v>2</v>
      </c>
      <c r="W920" s="29">
        <v>33.840000000000003</v>
      </c>
      <c r="X920" s="26">
        <v>86368</v>
      </c>
      <c r="Y920" s="35">
        <v>70.910000000000011</v>
      </c>
      <c r="Z920" s="1" t="s">
        <v>3012</v>
      </c>
      <c r="AA920" s="36">
        <v>0.61680000000000001</v>
      </c>
      <c r="AB920" s="54">
        <v>13.874400000000003</v>
      </c>
      <c r="AC920" s="54">
        <v>9.982800000000001</v>
      </c>
      <c r="AD920" s="36">
        <v>44.183200000000006</v>
      </c>
    </row>
    <row r="921" spans="1:30" s="37" customFormat="1" ht="15.75" customHeight="1" x14ac:dyDescent="0.2">
      <c r="A921" s="26">
        <v>3309</v>
      </c>
      <c r="B921" s="27" t="s">
        <v>1816</v>
      </c>
      <c r="C921" s="27" t="s">
        <v>26</v>
      </c>
      <c r="D921" s="28">
        <v>0.1</v>
      </c>
      <c r="E921" s="29">
        <v>6.64</v>
      </c>
      <c r="F921" s="29">
        <v>54.95</v>
      </c>
      <c r="G921" s="30" t="s">
        <v>39</v>
      </c>
      <c r="H921" s="27" t="s">
        <v>3095</v>
      </c>
      <c r="I921" s="27" t="s">
        <v>29</v>
      </c>
      <c r="J921" s="27" t="s">
        <v>126</v>
      </c>
      <c r="K921" s="27" t="s">
        <v>43</v>
      </c>
      <c r="L921" s="31" t="s">
        <v>268</v>
      </c>
      <c r="M921" s="32">
        <v>0.37</v>
      </c>
      <c r="N921" s="27" t="s">
        <v>33</v>
      </c>
      <c r="O921" s="27" t="s">
        <v>111</v>
      </c>
      <c r="P921" s="27" t="s">
        <v>403</v>
      </c>
      <c r="Q921" s="27" t="s">
        <v>1817</v>
      </c>
      <c r="R921" s="33">
        <v>1760</v>
      </c>
      <c r="S921" s="34">
        <v>42087</v>
      </c>
      <c r="T921" s="34">
        <v>42089</v>
      </c>
      <c r="U921" s="29">
        <v>-25</v>
      </c>
      <c r="V921" s="26">
        <v>4</v>
      </c>
      <c r="W921" s="29">
        <v>25.31</v>
      </c>
      <c r="X921" s="26">
        <v>90460</v>
      </c>
      <c r="Y921" s="35">
        <v>28.470000000000002</v>
      </c>
      <c r="Z921" s="1" t="s">
        <v>3014</v>
      </c>
      <c r="AA921" s="36">
        <v>2.6560000000000001</v>
      </c>
      <c r="AB921" s="54">
        <v>15.9453</v>
      </c>
      <c r="AC921" s="54">
        <v>2.3411749999999998</v>
      </c>
      <c r="AD921" s="36">
        <v>-7.2960000000000029</v>
      </c>
    </row>
    <row r="922" spans="1:30" s="37" customFormat="1" ht="15.75" customHeight="1" x14ac:dyDescent="0.2">
      <c r="A922" s="26">
        <v>2308</v>
      </c>
      <c r="B922" s="27" t="s">
        <v>1823</v>
      </c>
      <c r="C922" s="27" t="s">
        <v>48</v>
      </c>
      <c r="D922" s="28">
        <v>0.08</v>
      </c>
      <c r="E922" s="29">
        <v>9.48</v>
      </c>
      <c r="F922" s="29">
        <v>7.29</v>
      </c>
      <c r="G922" s="30" t="s">
        <v>39</v>
      </c>
      <c r="H922" s="27" t="s">
        <v>3095</v>
      </c>
      <c r="I922" s="27" t="s">
        <v>29</v>
      </c>
      <c r="J922" s="27" t="s">
        <v>126</v>
      </c>
      <c r="K922" s="27" t="s">
        <v>43</v>
      </c>
      <c r="L922" s="31" t="s">
        <v>504</v>
      </c>
      <c r="M922" s="32">
        <v>0.45</v>
      </c>
      <c r="N922" s="27" t="s">
        <v>33</v>
      </c>
      <c r="O922" s="27" t="s">
        <v>34</v>
      </c>
      <c r="P922" s="27" t="s">
        <v>123</v>
      </c>
      <c r="Q922" s="27" t="s">
        <v>1824</v>
      </c>
      <c r="R922" s="33">
        <v>33971</v>
      </c>
      <c r="S922" s="34">
        <v>42087</v>
      </c>
      <c r="T922" s="34">
        <v>42089</v>
      </c>
      <c r="U922" s="29">
        <v>-50.4</v>
      </c>
      <c r="V922" s="26">
        <v>2</v>
      </c>
      <c r="W922" s="29">
        <v>20.22</v>
      </c>
      <c r="X922" s="26">
        <v>90557</v>
      </c>
      <c r="Y922" s="35">
        <v>15.4</v>
      </c>
      <c r="Z922" s="1" t="s">
        <v>3011</v>
      </c>
      <c r="AA922" s="36">
        <v>1.5168000000000001</v>
      </c>
      <c r="AB922" s="54">
        <v>11.121</v>
      </c>
      <c r="AC922" s="54">
        <v>4.5495000000000001</v>
      </c>
      <c r="AD922" s="36">
        <v>61.813199999999995</v>
      </c>
    </row>
    <row r="923" spans="1:30" s="37" customFormat="1" ht="15.75" customHeight="1" x14ac:dyDescent="0.2">
      <c r="A923" s="26">
        <v>1254</v>
      </c>
      <c r="B923" s="27" t="s">
        <v>1590</v>
      </c>
      <c r="C923" s="27" t="s">
        <v>116</v>
      </c>
      <c r="D923" s="28">
        <v>0.06</v>
      </c>
      <c r="E923" s="29">
        <v>3.95</v>
      </c>
      <c r="F923" s="29">
        <v>2</v>
      </c>
      <c r="G923" s="30" t="s">
        <v>39</v>
      </c>
      <c r="H923" s="27" t="s">
        <v>71</v>
      </c>
      <c r="I923" s="27" t="s">
        <v>49</v>
      </c>
      <c r="J923" s="27" t="s">
        <v>176</v>
      </c>
      <c r="K923" s="27" t="s">
        <v>51</v>
      </c>
      <c r="L923" s="31" t="s">
        <v>1829</v>
      </c>
      <c r="M923" s="32">
        <v>0.53</v>
      </c>
      <c r="N923" s="27" t="s">
        <v>33</v>
      </c>
      <c r="O923" s="27" t="s">
        <v>53</v>
      </c>
      <c r="P923" s="27" t="s">
        <v>187</v>
      </c>
      <c r="Q923" s="27" t="s">
        <v>1591</v>
      </c>
      <c r="R923" s="33">
        <v>77530</v>
      </c>
      <c r="S923" s="34">
        <v>42087</v>
      </c>
      <c r="T923" s="34">
        <v>42088</v>
      </c>
      <c r="U923" s="29">
        <v>-9.68</v>
      </c>
      <c r="V923" s="26">
        <v>5</v>
      </c>
      <c r="W923" s="29">
        <v>19.66</v>
      </c>
      <c r="X923" s="26">
        <v>89984</v>
      </c>
      <c r="Y923" s="35">
        <v>14.18</v>
      </c>
      <c r="Z923" s="1" t="s">
        <v>3012</v>
      </c>
      <c r="AA923" s="36">
        <v>1.1850000000000001</v>
      </c>
      <c r="AB923" s="54">
        <v>9.2401999999999997</v>
      </c>
      <c r="AC923" s="54">
        <v>2.0839600000000003</v>
      </c>
      <c r="AD923" s="36">
        <v>26.155000000000001</v>
      </c>
    </row>
    <row r="924" spans="1:30" s="37" customFormat="1" ht="15.75" customHeight="1" x14ac:dyDescent="0.2">
      <c r="A924" s="26">
        <v>693</v>
      </c>
      <c r="B924" s="27" t="s">
        <v>1549</v>
      </c>
      <c r="C924" s="27" t="s">
        <v>48</v>
      </c>
      <c r="D924" s="28">
        <v>0.02</v>
      </c>
      <c r="E924" s="29">
        <v>500.98</v>
      </c>
      <c r="F924" s="29">
        <v>41.44</v>
      </c>
      <c r="G924" s="30" t="s">
        <v>27</v>
      </c>
      <c r="H924" s="27" t="s">
        <v>3095</v>
      </c>
      <c r="I924" s="27" t="s">
        <v>29</v>
      </c>
      <c r="J924" s="27" t="s">
        <v>117</v>
      </c>
      <c r="K924" s="27" t="s">
        <v>31</v>
      </c>
      <c r="L924" s="31" t="s">
        <v>1851</v>
      </c>
      <c r="M924" s="32">
        <v>0.66</v>
      </c>
      <c r="N924" s="27" t="s">
        <v>33</v>
      </c>
      <c r="O924" s="27" t="s">
        <v>60</v>
      </c>
      <c r="P924" s="27" t="s">
        <v>61</v>
      </c>
      <c r="Q924" s="27" t="s">
        <v>1550</v>
      </c>
      <c r="R924" s="33">
        <v>80229</v>
      </c>
      <c r="S924" s="34">
        <v>42088</v>
      </c>
      <c r="T924" s="34">
        <v>42088</v>
      </c>
      <c r="U924" s="29">
        <v>2568.4629</v>
      </c>
      <c r="V924" s="26">
        <v>7</v>
      </c>
      <c r="W924" s="29">
        <v>3722.41</v>
      </c>
      <c r="X924" s="26">
        <v>87811</v>
      </c>
      <c r="Y924" s="35">
        <v>5.6099999999999994</v>
      </c>
      <c r="Z924" s="1" t="s">
        <v>3013</v>
      </c>
      <c r="AA924" s="36">
        <v>70.137200000000007</v>
      </c>
      <c r="AB924" s="54">
        <v>1265.6193999999998</v>
      </c>
      <c r="AC924" s="54">
        <v>350.97008571428569</v>
      </c>
      <c r="AD924" s="36">
        <v>1042.3698999999997</v>
      </c>
    </row>
    <row r="925" spans="1:30" s="37" customFormat="1" ht="15.75" customHeight="1" x14ac:dyDescent="0.2">
      <c r="A925" s="26">
        <v>1241</v>
      </c>
      <c r="B925" s="27" t="s">
        <v>1684</v>
      </c>
      <c r="C925" s="27" t="s">
        <v>26</v>
      </c>
      <c r="D925" s="28">
        <v>0.06</v>
      </c>
      <c r="E925" s="29">
        <v>200.97</v>
      </c>
      <c r="F925" s="29">
        <v>15.59</v>
      </c>
      <c r="G925" s="30" t="s">
        <v>27</v>
      </c>
      <c r="H925" s="27" t="s">
        <v>3095</v>
      </c>
      <c r="I925" s="27" t="s">
        <v>41</v>
      </c>
      <c r="J925" s="27" t="s">
        <v>57</v>
      </c>
      <c r="K925" s="27" t="s">
        <v>58</v>
      </c>
      <c r="L925" s="31" t="s">
        <v>940</v>
      </c>
      <c r="M925" s="32">
        <v>0.36</v>
      </c>
      <c r="N925" s="27" t="s">
        <v>33</v>
      </c>
      <c r="O925" s="27" t="s">
        <v>34</v>
      </c>
      <c r="P925" s="27" t="s">
        <v>164</v>
      </c>
      <c r="Q925" s="27" t="s">
        <v>1204</v>
      </c>
      <c r="R925" s="33">
        <v>36830</v>
      </c>
      <c r="S925" s="34">
        <v>42088</v>
      </c>
      <c r="T925" s="34">
        <v>42088</v>
      </c>
      <c r="U925" s="29">
        <v>531.61800000000005</v>
      </c>
      <c r="V925" s="26">
        <v>7</v>
      </c>
      <c r="W925" s="29">
        <v>1348.83</v>
      </c>
      <c r="X925" s="26">
        <v>90881</v>
      </c>
      <c r="Y925" s="35">
        <v>22.78</v>
      </c>
      <c r="Z925" s="1" t="s">
        <v>3011</v>
      </c>
      <c r="AA925" s="36">
        <v>84.407399999999996</v>
      </c>
      <c r="AB925" s="54">
        <v>863.25119999999993</v>
      </c>
      <c r="AC925" s="54">
        <v>69.368399999999994</v>
      </c>
      <c r="AD925" s="36">
        <v>717.21459999999979</v>
      </c>
    </row>
    <row r="926" spans="1:30" s="37" customFormat="1" ht="15.75" customHeight="1" x14ac:dyDescent="0.2">
      <c r="A926" s="26">
        <v>1557</v>
      </c>
      <c r="B926" s="27" t="s">
        <v>1852</v>
      </c>
      <c r="C926" s="27" t="s">
        <v>48</v>
      </c>
      <c r="D926" s="28">
        <v>0.09</v>
      </c>
      <c r="E926" s="29">
        <v>60.98</v>
      </c>
      <c r="F926" s="29">
        <v>49</v>
      </c>
      <c r="G926" s="30" t="s">
        <v>39</v>
      </c>
      <c r="H926" s="27" t="s">
        <v>40</v>
      </c>
      <c r="I926" s="27" t="s">
        <v>49</v>
      </c>
      <c r="J926" s="27" t="s">
        <v>95</v>
      </c>
      <c r="K926" s="27" t="s">
        <v>65</v>
      </c>
      <c r="L926" s="31" t="s">
        <v>1530</v>
      </c>
      <c r="M926" s="32">
        <v>0.59</v>
      </c>
      <c r="N926" s="27" t="s">
        <v>33</v>
      </c>
      <c r="O926" s="27" t="s">
        <v>34</v>
      </c>
      <c r="P926" s="27" t="s">
        <v>242</v>
      </c>
      <c r="Q926" s="27" t="s">
        <v>1853</v>
      </c>
      <c r="R926" s="33">
        <v>22003</v>
      </c>
      <c r="S926" s="34">
        <v>42088</v>
      </c>
      <c r="T926" s="34">
        <v>42096</v>
      </c>
      <c r="U926" s="29">
        <v>-954.75800000000004</v>
      </c>
      <c r="V926" s="26">
        <v>15</v>
      </c>
      <c r="W926" s="29">
        <v>879.62</v>
      </c>
      <c r="X926" s="26">
        <v>87426</v>
      </c>
      <c r="Y926" s="35">
        <v>200.91</v>
      </c>
      <c r="Z926" s="1" t="s">
        <v>3011</v>
      </c>
      <c r="AA926" s="36">
        <v>82.322999999999979</v>
      </c>
      <c r="AB926" s="54">
        <v>360.64420000000001</v>
      </c>
      <c r="AC926" s="54">
        <v>34.598386666666663</v>
      </c>
      <c r="AD926" s="36">
        <v>1703.0550000000001</v>
      </c>
    </row>
    <row r="927" spans="1:30" s="37" customFormat="1" ht="15.75" customHeight="1" x14ac:dyDescent="0.2">
      <c r="A927" s="26">
        <v>2833</v>
      </c>
      <c r="B927" s="27" t="s">
        <v>1861</v>
      </c>
      <c r="C927" s="27" t="s">
        <v>3094</v>
      </c>
      <c r="D927" s="28">
        <v>0.08</v>
      </c>
      <c r="E927" s="29">
        <v>65.989999999999995</v>
      </c>
      <c r="F927" s="29">
        <v>8.99</v>
      </c>
      <c r="G927" s="30" t="s">
        <v>39</v>
      </c>
      <c r="H927" s="27" t="s">
        <v>3095</v>
      </c>
      <c r="I927" s="27" t="s">
        <v>41</v>
      </c>
      <c r="J927" s="27" t="s">
        <v>135</v>
      </c>
      <c r="K927" s="27" t="s">
        <v>73</v>
      </c>
      <c r="L927" s="31" t="s">
        <v>1864</v>
      </c>
      <c r="M927" s="32">
        <v>0.56000000000000005</v>
      </c>
      <c r="N927" s="27" t="s">
        <v>33</v>
      </c>
      <c r="O927" s="27" t="s">
        <v>53</v>
      </c>
      <c r="P927" s="27" t="s">
        <v>84</v>
      </c>
      <c r="Q927" s="27" t="s">
        <v>1863</v>
      </c>
      <c r="R927" s="33">
        <v>55076</v>
      </c>
      <c r="S927" s="34">
        <v>42088</v>
      </c>
      <c r="T927" s="34">
        <v>42089</v>
      </c>
      <c r="U927" s="29">
        <v>206.352</v>
      </c>
      <c r="V927" s="26">
        <v>15</v>
      </c>
      <c r="W927" s="29">
        <v>808.61</v>
      </c>
      <c r="X927" s="26">
        <v>91030</v>
      </c>
      <c r="Y927" s="35">
        <v>46.81</v>
      </c>
      <c r="Z927" s="1" t="s">
        <v>3012</v>
      </c>
      <c r="AA927" s="36">
        <v>79.187999999999988</v>
      </c>
      <c r="AB927" s="54">
        <v>355.78839999999997</v>
      </c>
      <c r="AC927" s="54">
        <v>30.18810666666667</v>
      </c>
      <c r="AD927" s="36">
        <v>514.08000000000004</v>
      </c>
    </row>
    <row r="928" spans="1:30" s="37" customFormat="1" ht="15.75" customHeight="1" x14ac:dyDescent="0.2">
      <c r="A928" s="26">
        <v>1648</v>
      </c>
      <c r="B928" s="27" t="s">
        <v>1842</v>
      </c>
      <c r="C928" s="27" t="s">
        <v>26</v>
      </c>
      <c r="D928" s="28">
        <v>0.08</v>
      </c>
      <c r="E928" s="29">
        <v>46.89</v>
      </c>
      <c r="F928" s="29">
        <v>5.0999999999999996</v>
      </c>
      <c r="G928" s="30" t="s">
        <v>39</v>
      </c>
      <c r="H928" s="27" t="s">
        <v>94</v>
      </c>
      <c r="I928" s="27" t="s">
        <v>49</v>
      </c>
      <c r="J928" s="27" t="s">
        <v>95</v>
      </c>
      <c r="K928" s="27" t="s">
        <v>144</v>
      </c>
      <c r="L928" s="31" t="s">
        <v>1843</v>
      </c>
      <c r="M928" s="32">
        <v>0.46</v>
      </c>
      <c r="N928" s="27" t="s">
        <v>33</v>
      </c>
      <c r="O928" s="27" t="s">
        <v>53</v>
      </c>
      <c r="P928" s="27" t="s">
        <v>103</v>
      </c>
      <c r="Q928" s="27" t="s">
        <v>664</v>
      </c>
      <c r="R928" s="33">
        <v>60098</v>
      </c>
      <c r="S928" s="34">
        <v>42088</v>
      </c>
      <c r="T928" s="34">
        <v>42090</v>
      </c>
      <c r="U928" s="29">
        <v>507.63299999999998</v>
      </c>
      <c r="V928" s="26">
        <v>17</v>
      </c>
      <c r="W928" s="29">
        <v>735.7</v>
      </c>
      <c r="X928" s="26">
        <v>91043</v>
      </c>
      <c r="Y928" s="35">
        <v>12.93</v>
      </c>
      <c r="Z928" s="1" t="s">
        <v>3012</v>
      </c>
      <c r="AA928" s="36">
        <v>63.770400000000002</v>
      </c>
      <c r="AB928" s="54">
        <v>397.27800000000008</v>
      </c>
      <c r="AC928" s="54">
        <v>19.907176470588237</v>
      </c>
      <c r="AD928" s="36">
        <v>159.1966000000001</v>
      </c>
    </row>
    <row r="929" spans="1:30" s="37" customFormat="1" ht="15.75" customHeight="1" x14ac:dyDescent="0.2">
      <c r="A929" s="26">
        <v>2833</v>
      </c>
      <c r="B929" s="27" t="s">
        <v>1861</v>
      </c>
      <c r="C929" s="27" t="s">
        <v>3094</v>
      </c>
      <c r="D929" s="28">
        <v>0.03</v>
      </c>
      <c r="E929" s="29">
        <v>140.97999999999999</v>
      </c>
      <c r="F929" s="29">
        <v>36.090000000000003</v>
      </c>
      <c r="G929" s="30" t="s">
        <v>27</v>
      </c>
      <c r="H929" s="27" t="s">
        <v>3095</v>
      </c>
      <c r="I929" s="27" t="s">
        <v>29</v>
      </c>
      <c r="J929" s="27" t="s">
        <v>117</v>
      </c>
      <c r="K929" s="27" t="s">
        <v>31</v>
      </c>
      <c r="L929" s="31" t="s">
        <v>1862</v>
      </c>
      <c r="M929" s="32">
        <v>0.77</v>
      </c>
      <c r="N929" s="27" t="s">
        <v>33</v>
      </c>
      <c r="O929" s="27" t="s">
        <v>53</v>
      </c>
      <c r="P929" s="27" t="s">
        <v>84</v>
      </c>
      <c r="Q929" s="27" t="s">
        <v>1863</v>
      </c>
      <c r="R929" s="33">
        <v>55076</v>
      </c>
      <c r="S929" s="34">
        <v>42088</v>
      </c>
      <c r="T929" s="34">
        <v>42090</v>
      </c>
      <c r="U929" s="29">
        <v>-221.5</v>
      </c>
      <c r="V929" s="26">
        <v>4</v>
      </c>
      <c r="W929" s="29">
        <v>608.80999999999995</v>
      </c>
      <c r="X929" s="26">
        <v>91030</v>
      </c>
      <c r="Y929" s="35">
        <v>10.63</v>
      </c>
      <c r="Z929" s="1" t="s">
        <v>3012</v>
      </c>
      <c r="AA929" s="36">
        <v>16.917599999999997</v>
      </c>
      <c r="AB929" s="54">
        <v>140.02629999999996</v>
      </c>
      <c r="AC929" s="54">
        <v>117.19592499999999</v>
      </c>
      <c r="AD929" s="36">
        <v>777.30239999999992</v>
      </c>
    </row>
    <row r="930" spans="1:30" s="37" customFormat="1" ht="15.75" customHeight="1" x14ac:dyDescent="0.2">
      <c r="A930" s="26">
        <v>2287</v>
      </c>
      <c r="B930" s="27" t="s">
        <v>1263</v>
      </c>
      <c r="C930" s="27" t="s">
        <v>3094</v>
      </c>
      <c r="D930" s="28">
        <v>0.05</v>
      </c>
      <c r="E930" s="29">
        <v>34.99</v>
      </c>
      <c r="F930" s="29">
        <v>7.73</v>
      </c>
      <c r="G930" s="30" t="s">
        <v>87</v>
      </c>
      <c r="H930" s="27" t="s">
        <v>94</v>
      </c>
      <c r="I930" s="27" t="s">
        <v>49</v>
      </c>
      <c r="J930" s="27" t="s">
        <v>50</v>
      </c>
      <c r="K930" s="27" t="s">
        <v>73</v>
      </c>
      <c r="L930" s="31" t="s">
        <v>1304</v>
      </c>
      <c r="M930" s="32">
        <v>0.59</v>
      </c>
      <c r="N930" s="27" t="s">
        <v>33</v>
      </c>
      <c r="O930" s="27" t="s">
        <v>34</v>
      </c>
      <c r="P930" s="27" t="s">
        <v>271</v>
      </c>
      <c r="Q930" s="27" t="s">
        <v>1265</v>
      </c>
      <c r="R930" s="33">
        <v>29483</v>
      </c>
      <c r="S930" s="34">
        <v>42088</v>
      </c>
      <c r="T930" s="34">
        <v>42090</v>
      </c>
      <c r="U930" s="29">
        <v>-12.0267</v>
      </c>
      <c r="V930" s="26">
        <v>12</v>
      </c>
      <c r="W930" s="29">
        <v>418.75</v>
      </c>
      <c r="X930" s="26">
        <v>90146</v>
      </c>
      <c r="Y930" s="35">
        <v>14.72</v>
      </c>
      <c r="Z930" s="1" t="s">
        <v>3011</v>
      </c>
      <c r="AA930" s="36">
        <v>20.994000000000003</v>
      </c>
      <c r="AB930" s="54">
        <v>171.6875</v>
      </c>
      <c r="AC930" s="54">
        <v>20.588541666666668</v>
      </c>
      <c r="AD930" s="36">
        <v>402.05270000000002</v>
      </c>
    </row>
    <row r="931" spans="1:30" s="37" customFormat="1" ht="15.75" customHeight="1" x14ac:dyDescent="0.2">
      <c r="A931" s="26">
        <v>1557</v>
      </c>
      <c r="B931" s="27" t="s">
        <v>1852</v>
      </c>
      <c r="C931" s="27" t="s">
        <v>48</v>
      </c>
      <c r="D931" s="28">
        <v>0.05</v>
      </c>
      <c r="E931" s="29">
        <v>29.89</v>
      </c>
      <c r="F931" s="29">
        <v>1.99</v>
      </c>
      <c r="G931" s="30" t="s">
        <v>39</v>
      </c>
      <c r="H931" s="27" t="s">
        <v>40</v>
      </c>
      <c r="I931" s="27" t="s">
        <v>41</v>
      </c>
      <c r="J931" s="27" t="s">
        <v>42</v>
      </c>
      <c r="K931" s="27" t="s">
        <v>43</v>
      </c>
      <c r="L931" s="31" t="s">
        <v>443</v>
      </c>
      <c r="M931" s="32">
        <v>0.5</v>
      </c>
      <c r="N931" s="27" t="s">
        <v>33</v>
      </c>
      <c r="O931" s="27" t="s">
        <v>34</v>
      </c>
      <c r="P931" s="27" t="s">
        <v>242</v>
      </c>
      <c r="Q931" s="27" t="s">
        <v>1853</v>
      </c>
      <c r="R931" s="33">
        <v>22003</v>
      </c>
      <c r="S931" s="34">
        <v>42088</v>
      </c>
      <c r="T931" s="34">
        <v>42090</v>
      </c>
      <c r="U931" s="29">
        <v>219.4734</v>
      </c>
      <c r="V931" s="26">
        <v>12</v>
      </c>
      <c r="W931" s="29">
        <v>361.19</v>
      </c>
      <c r="X931" s="26">
        <v>87426</v>
      </c>
      <c r="Y931" s="35">
        <v>35.92</v>
      </c>
      <c r="Z931" s="1" t="s">
        <v>3011</v>
      </c>
      <c r="AA931" s="36">
        <v>17.934000000000001</v>
      </c>
      <c r="AB931" s="54">
        <v>180.595</v>
      </c>
      <c r="AC931" s="54">
        <v>15.049583333333333</v>
      </c>
      <c r="AD931" s="36">
        <v>121.79259999999999</v>
      </c>
    </row>
    <row r="932" spans="1:30" s="37" customFormat="1" ht="15.75" customHeight="1" x14ac:dyDescent="0.2">
      <c r="A932" s="26">
        <v>1648</v>
      </c>
      <c r="B932" s="27" t="s">
        <v>1842</v>
      </c>
      <c r="C932" s="27" t="s">
        <v>26</v>
      </c>
      <c r="D932" s="28">
        <v>0.05</v>
      </c>
      <c r="E932" s="29">
        <v>12.98</v>
      </c>
      <c r="F932" s="29">
        <v>3.14</v>
      </c>
      <c r="G932" s="30" t="s">
        <v>39</v>
      </c>
      <c r="H932" s="27" t="s">
        <v>94</v>
      </c>
      <c r="I932" s="27" t="s">
        <v>49</v>
      </c>
      <c r="J932" s="27" t="s">
        <v>568</v>
      </c>
      <c r="K932" s="27" t="s">
        <v>43</v>
      </c>
      <c r="L932" s="31" t="s">
        <v>569</v>
      </c>
      <c r="M932" s="32">
        <v>0.6</v>
      </c>
      <c r="N932" s="27" t="s">
        <v>33</v>
      </c>
      <c r="O932" s="27" t="s">
        <v>53</v>
      </c>
      <c r="P932" s="27" t="s">
        <v>103</v>
      </c>
      <c r="Q932" s="27" t="s">
        <v>664</v>
      </c>
      <c r="R932" s="33">
        <v>60098</v>
      </c>
      <c r="S932" s="34">
        <v>42088</v>
      </c>
      <c r="T932" s="34">
        <v>42088</v>
      </c>
      <c r="U932" s="29">
        <v>38.229999999999997</v>
      </c>
      <c r="V932" s="26">
        <v>18</v>
      </c>
      <c r="W932" s="29">
        <v>225.59</v>
      </c>
      <c r="X932" s="26">
        <v>91043</v>
      </c>
      <c r="Y932" s="35">
        <v>500.96000000000004</v>
      </c>
      <c r="Z932" s="1" t="s">
        <v>3012</v>
      </c>
      <c r="AA932" s="36">
        <v>11.682</v>
      </c>
      <c r="AB932" s="54">
        <v>90.236000000000004</v>
      </c>
      <c r="AC932" s="54">
        <v>7.5196666666666658</v>
      </c>
      <c r="AD932" s="36">
        <v>172.53800000000001</v>
      </c>
    </row>
    <row r="933" spans="1:30" s="37" customFormat="1" ht="15.75" customHeight="1" x14ac:dyDescent="0.2">
      <c r="A933" s="26">
        <v>2287</v>
      </c>
      <c r="B933" s="27" t="s">
        <v>1263</v>
      </c>
      <c r="C933" s="27" t="s">
        <v>3094</v>
      </c>
      <c r="D933" s="28">
        <v>0.01</v>
      </c>
      <c r="E933" s="29">
        <v>18.97</v>
      </c>
      <c r="F933" s="29">
        <v>9.0299999999999994</v>
      </c>
      <c r="G933" s="30" t="s">
        <v>39</v>
      </c>
      <c r="H933" s="27" t="s">
        <v>94</v>
      </c>
      <c r="I933" s="27" t="s">
        <v>49</v>
      </c>
      <c r="J933" s="27" t="s">
        <v>88</v>
      </c>
      <c r="K933" s="27" t="s">
        <v>73</v>
      </c>
      <c r="L933" s="31" t="s">
        <v>630</v>
      </c>
      <c r="M933" s="32">
        <v>0.37</v>
      </c>
      <c r="N933" s="27" t="s">
        <v>33</v>
      </c>
      <c r="O933" s="27" t="s">
        <v>34</v>
      </c>
      <c r="P933" s="27" t="s">
        <v>271</v>
      </c>
      <c r="Q933" s="27" t="s">
        <v>1265</v>
      </c>
      <c r="R933" s="33">
        <v>29483</v>
      </c>
      <c r="S933" s="34">
        <v>42088</v>
      </c>
      <c r="T933" s="34">
        <v>42088</v>
      </c>
      <c r="U933" s="29">
        <v>-12.0267</v>
      </c>
      <c r="V933" s="26">
        <v>8</v>
      </c>
      <c r="W933" s="29">
        <v>164.67</v>
      </c>
      <c r="X933" s="26">
        <v>90146</v>
      </c>
      <c r="Y933" s="35">
        <v>60.889999999999993</v>
      </c>
      <c r="Z933" s="1" t="s">
        <v>3011</v>
      </c>
      <c r="AA933" s="36">
        <v>1.5175999999999998</v>
      </c>
      <c r="AB933" s="54">
        <v>103.74209999999999</v>
      </c>
      <c r="AC933" s="54">
        <v>7.6159874999999992</v>
      </c>
      <c r="AD933" s="36">
        <v>166.14909999999998</v>
      </c>
    </row>
    <row r="934" spans="1:30" s="37" customFormat="1" ht="15.75" customHeight="1" x14ac:dyDescent="0.2">
      <c r="A934" s="26">
        <v>290</v>
      </c>
      <c r="B934" s="27" t="s">
        <v>1858</v>
      </c>
      <c r="C934" s="27" t="s">
        <v>3094</v>
      </c>
      <c r="D934" s="28">
        <v>0.04</v>
      </c>
      <c r="E934" s="29">
        <v>4.9800000000000004</v>
      </c>
      <c r="F934" s="29">
        <v>4.62</v>
      </c>
      <c r="G934" s="30" t="s">
        <v>39</v>
      </c>
      <c r="H934" s="27" t="s">
        <v>3095</v>
      </c>
      <c r="I934" s="27" t="s">
        <v>41</v>
      </c>
      <c r="J934" s="27" t="s">
        <v>42</v>
      </c>
      <c r="K934" s="27" t="s">
        <v>43</v>
      </c>
      <c r="L934" s="31" t="s">
        <v>1221</v>
      </c>
      <c r="M934" s="32">
        <v>0.64</v>
      </c>
      <c r="N934" s="27" t="s">
        <v>33</v>
      </c>
      <c r="O934" s="27" t="s">
        <v>60</v>
      </c>
      <c r="P934" s="27" t="s">
        <v>61</v>
      </c>
      <c r="Q934" s="27" t="s">
        <v>1859</v>
      </c>
      <c r="R934" s="33">
        <v>80538</v>
      </c>
      <c r="S934" s="34">
        <v>42088</v>
      </c>
      <c r="T934" s="34">
        <v>42089</v>
      </c>
      <c r="U934" s="29">
        <v>-135.16</v>
      </c>
      <c r="V934" s="26">
        <v>20</v>
      </c>
      <c r="W934" s="29">
        <v>102.54</v>
      </c>
      <c r="X934" s="26">
        <v>90837</v>
      </c>
      <c r="Y934" s="35">
        <v>29.84</v>
      </c>
      <c r="Z934" s="1" t="s">
        <v>3013</v>
      </c>
      <c r="AA934" s="36">
        <v>3.9840000000000004</v>
      </c>
      <c r="AB934" s="54">
        <v>36.914400000000001</v>
      </c>
      <c r="AC934" s="54">
        <v>3.2812800000000006</v>
      </c>
      <c r="AD934" s="36">
        <v>229.096</v>
      </c>
    </row>
    <row r="935" spans="1:30" s="37" customFormat="1" ht="15.75" customHeight="1" x14ac:dyDescent="0.2">
      <c r="A935" s="26">
        <v>2287</v>
      </c>
      <c r="B935" s="27" t="s">
        <v>1263</v>
      </c>
      <c r="C935" s="27" t="s">
        <v>3094</v>
      </c>
      <c r="D935" s="28">
        <v>0.03</v>
      </c>
      <c r="E935" s="29">
        <v>12.28</v>
      </c>
      <c r="F935" s="29">
        <v>4.8600000000000003</v>
      </c>
      <c r="G935" s="30" t="s">
        <v>39</v>
      </c>
      <c r="H935" s="27" t="s">
        <v>94</v>
      </c>
      <c r="I935" s="27" t="s">
        <v>49</v>
      </c>
      <c r="J935" s="27" t="s">
        <v>88</v>
      </c>
      <c r="K935" s="27" t="s">
        <v>73</v>
      </c>
      <c r="L935" s="31" t="s">
        <v>1860</v>
      </c>
      <c r="M935" s="32">
        <v>0.38</v>
      </c>
      <c r="N935" s="27" t="s">
        <v>33</v>
      </c>
      <c r="O935" s="27" t="s">
        <v>34</v>
      </c>
      <c r="P935" s="27" t="s">
        <v>271</v>
      </c>
      <c r="Q935" s="27" t="s">
        <v>1265</v>
      </c>
      <c r="R935" s="33">
        <v>29483</v>
      </c>
      <c r="S935" s="34">
        <v>42088</v>
      </c>
      <c r="T935" s="34">
        <v>42089</v>
      </c>
      <c r="U935" s="29">
        <v>122.508</v>
      </c>
      <c r="V935" s="26">
        <v>6</v>
      </c>
      <c r="W935" s="29">
        <v>72.739999999999995</v>
      </c>
      <c r="X935" s="26">
        <v>90146</v>
      </c>
      <c r="Y935" s="35">
        <v>3.93</v>
      </c>
      <c r="Z935" s="1" t="s">
        <v>3011</v>
      </c>
      <c r="AA935" s="36">
        <v>2.2103999999999999</v>
      </c>
      <c r="AB935" s="54">
        <v>45.098799999999997</v>
      </c>
      <c r="AC935" s="54">
        <v>4.6068666666666669</v>
      </c>
      <c r="AD935" s="36">
        <v>-56.838399999999993</v>
      </c>
    </row>
    <row r="936" spans="1:30" s="37" customFormat="1" ht="15.75" customHeight="1" x14ac:dyDescent="0.2">
      <c r="A936" s="26">
        <v>1829</v>
      </c>
      <c r="B936" s="27" t="s">
        <v>254</v>
      </c>
      <c r="C936" s="27" t="s">
        <v>26</v>
      </c>
      <c r="D936" s="28">
        <v>0.01</v>
      </c>
      <c r="E936" s="29">
        <v>10.64</v>
      </c>
      <c r="F936" s="29">
        <v>5.16</v>
      </c>
      <c r="G936" s="30" t="s">
        <v>87</v>
      </c>
      <c r="H936" s="27" t="s">
        <v>94</v>
      </c>
      <c r="I936" s="27" t="s">
        <v>29</v>
      </c>
      <c r="J936" s="27" t="s">
        <v>126</v>
      </c>
      <c r="K936" s="27" t="s">
        <v>73</v>
      </c>
      <c r="L936" s="31" t="s">
        <v>1844</v>
      </c>
      <c r="M936" s="32">
        <v>0.56999999999999995</v>
      </c>
      <c r="N936" s="27" t="s">
        <v>33</v>
      </c>
      <c r="O936" s="27" t="s">
        <v>53</v>
      </c>
      <c r="P936" s="27" t="s">
        <v>213</v>
      </c>
      <c r="Q936" s="27" t="s">
        <v>256</v>
      </c>
      <c r="R936" s="33">
        <v>52402</v>
      </c>
      <c r="S936" s="34">
        <v>42088</v>
      </c>
      <c r="T936" s="34">
        <v>42090</v>
      </c>
      <c r="U936" s="29">
        <v>-11.69</v>
      </c>
      <c r="V936" s="26">
        <v>5</v>
      </c>
      <c r="W936" s="29">
        <v>58.52</v>
      </c>
      <c r="X936" s="26">
        <v>86957</v>
      </c>
      <c r="Y936" s="35">
        <v>6.4700000000000006</v>
      </c>
      <c r="Z936" s="1" t="s">
        <v>3012</v>
      </c>
      <c r="AA936" s="36">
        <v>0.53200000000000003</v>
      </c>
      <c r="AB936" s="54">
        <v>25.163600000000006</v>
      </c>
      <c r="AC936" s="54">
        <v>6.6712799999999994</v>
      </c>
      <c r="AD936" s="36">
        <v>64.518000000000001</v>
      </c>
    </row>
    <row r="937" spans="1:30" s="37" customFormat="1" ht="15.75" customHeight="1" x14ac:dyDescent="0.2">
      <c r="A937" s="26">
        <v>1699</v>
      </c>
      <c r="B937" s="27" t="s">
        <v>1854</v>
      </c>
      <c r="C937" s="27" t="s">
        <v>48</v>
      </c>
      <c r="D937" s="28">
        <v>0.05</v>
      </c>
      <c r="E937" s="29">
        <v>3.98</v>
      </c>
      <c r="F937" s="29">
        <v>5.26</v>
      </c>
      <c r="G937" s="30" t="s">
        <v>39</v>
      </c>
      <c r="H937" s="27" t="s">
        <v>3095</v>
      </c>
      <c r="I937" s="27" t="s">
        <v>49</v>
      </c>
      <c r="J937" s="27" t="s">
        <v>72</v>
      </c>
      <c r="K937" s="27" t="s">
        <v>73</v>
      </c>
      <c r="L937" s="31" t="s">
        <v>1855</v>
      </c>
      <c r="M937" s="32">
        <v>0.38</v>
      </c>
      <c r="N937" s="27" t="s">
        <v>33</v>
      </c>
      <c r="O937" s="27" t="s">
        <v>111</v>
      </c>
      <c r="P937" s="27" t="s">
        <v>320</v>
      </c>
      <c r="Q937" s="27" t="s">
        <v>1856</v>
      </c>
      <c r="R937" s="33">
        <v>19057</v>
      </c>
      <c r="S937" s="34">
        <v>42088</v>
      </c>
      <c r="T937" s="34">
        <v>42092</v>
      </c>
      <c r="U937" s="29">
        <v>-152.52449999999999</v>
      </c>
      <c r="V937" s="26">
        <v>12</v>
      </c>
      <c r="W937" s="29">
        <v>49.44</v>
      </c>
      <c r="X937" s="26">
        <v>87345</v>
      </c>
      <c r="Y937" s="35">
        <v>4.9400000000000004</v>
      </c>
      <c r="Z937" s="1" t="s">
        <v>3014</v>
      </c>
      <c r="AA937" s="36">
        <v>2.3879999999999999</v>
      </c>
      <c r="AB937" s="54">
        <v>30.652799999999999</v>
      </c>
      <c r="AC937" s="54">
        <v>1.5656000000000001</v>
      </c>
      <c r="AD937" s="36">
        <v>194.31649999999999</v>
      </c>
    </row>
    <row r="938" spans="1:30" s="37" customFormat="1" ht="15.75" customHeight="1" x14ac:dyDescent="0.2">
      <c r="A938" s="26">
        <v>3100</v>
      </c>
      <c r="B938" s="27" t="s">
        <v>1848</v>
      </c>
      <c r="C938" s="27" t="s">
        <v>26</v>
      </c>
      <c r="D938" s="28">
        <v>7.0000000000000007E-2</v>
      </c>
      <c r="E938" s="29">
        <v>35.99</v>
      </c>
      <c r="F938" s="29">
        <v>5</v>
      </c>
      <c r="G938" s="30" t="s">
        <v>39</v>
      </c>
      <c r="H938" s="27" t="s">
        <v>40</v>
      </c>
      <c r="I938" s="27" t="s">
        <v>41</v>
      </c>
      <c r="J938" s="27" t="s">
        <v>135</v>
      </c>
      <c r="K938" s="27" t="s">
        <v>51</v>
      </c>
      <c r="L938" s="31" t="s">
        <v>1849</v>
      </c>
      <c r="M938" s="32">
        <v>0.82</v>
      </c>
      <c r="N938" s="27" t="s">
        <v>33</v>
      </c>
      <c r="O938" s="27" t="s">
        <v>34</v>
      </c>
      <c r="P938" s="27" t="s">
        <v>123</v>
      </c>
      <c r="Q938" s="27" t="s">
        <v>1850</v>
      </c>
      <c r="R938" s="33">
        <v>33334</v>
      </c>
      <c r="S938" s="34">
        <v>42088</v>
      </c>
      <c r="T938" s="34">
        <v>42090</v>
      </c>
      <c r="U938" s="29">
        <v>-299.81420000000003</v>
      </c>
      <c r="V938" s="26">
        <v>1</v>
      </c>
      <c r="W938" s="29">
        <v>31.71</v>
      </c>
      <c r="X938" s="26">
        <v>89988</v>
      </c>
      <c r="Y938" s="35">
        <v>18.959999999999997</v>
      </c>
      <c r="Z938" s="1" t="s">
        <v>3011</v>
      </c>
      <c r="AA938" s="36">
        <v>2.5193000000000003</v>
      </c>
      <c r="AB938" s="54">
        <v>5.7078000000000015</v>
      </c>
      <c r="AC938" s="54">
        <v>26.002199999999998</v>
      </c>
      <c r="AD938" s="36">
        <v>324.00490000000002</v>
      </c>
    </row>
    <row r="939" spans="1:30" s="37" customFormat="1" ht="15.75" customHeight="1" x14ac:dyDescent="0.2">
      <c r="A939" s="26">
        <v>2201</v>
      </c>
      <c r="B939" s="27" t="s">
        <v>1845</v>
      </c>
      <c r="C939" s="27" t="s">
        <v>26</v>
      </c>
      <c r="D939" s="28">
        <v>0.17</v>
      </c>
      <c r="E939" s="29">
        <v>14.89</v>
      </c>
      <c r="F939" s="29">
        <v>13.56</v>
      </c>
      <c r="G939" s="30" t="s">
        <v>39</v>
      </c>
      <c r="H939" s="27" t="s">
        <v>3095</v>
      </c>
      <c r="I939" s="27" t="s">
        <v>29</v>
      </c>
      <c r="J939" s="27" t="s">
        <v>126</v>
      </c>
      <c r="K939" s="27" t="s">
        <v>65</v>
      </c>
      <c r="L939" s="31" t="s">
        <v>1846</v>
      </c>
      <c r="M939" s="32">
        <v>0.57999999999999996</v>
      </c>
      <c r="N939" s="27" t="s">
        <v>33</v>
      </c>
      <c r="O939" s="27" t="s">
        <v>53</v>
      </c>
      <c r="P939" s="27" t="s">
        <v>84</v>
      </c>
      <c r="Q939" s="27" t="s">
        <v>1847</v>
      </c>
      <c r="R939" s="33">
        <v>55420</v>
      </c>
      <c r="S939" s="34">
        <v>42088</v>
      </c>
      <c r="T939" s="34">
        <v>42090</v>
      </c>
      <c r="U939" s="29">
        <v>-9.1300000000000008</v>
      </c>
      <c r="V939" s="26">
        <v>1</v>
      </c>
      <c r="W939" s="29">
        <v>27.96</v>
      </c>
      <c r="X939" s="26">
        <v>86054</v>
      </c>
      <c r="Y939" s="35">
        <v>12.25</v>
      </c>
      <c r="Z939" s="1" t="s">
        <v>3012</v>
      </c>
      <c r="AA939" s="36">
        <v>2.5313000000000003</v>
      </c>
      <c r="AB939" s="54">
        <v>11.743200000000002</v>
      </c>
      <c r="AC939" s="54">
        <v>16.216799999999999</v>
      </c>
      <c r="AD939" s="36">
        <v>20.998699999999999</v>
      </c>
    </row>
    <row r="940" spans="1:30" s="37" customFormat="1" ht="15.75" customHeight="1" x14ac:dyDescent="0.2">
      <c r="A940" s="26">
        <v>880</v>
      </c>
      <c r="B940" s="27" t="s">
        <v>1839</v>
      </c>
      <c r="C940" s="27" t="s">
        <v>26</v>
      </c>
      <c r="D940" s="28">
        <v>0.06</v>
      </c>
      <c r="E940" s="29">
        <v>22.84</v>
      </c>
      <c r="F940" s="29">
        <v>11.54</v>
      </c>
      <c r="G940" s="30" t="s">
        <v>39</v>
      </c>
      <c r="H940" s="27" t="s">
        <v>3095</v>
      </c>
      <c r="I940" s="27" t="s">
        <v>49</v>
      </c>
      <c r="J940" s="27" t="s">
        <v>88</v>
      </c>
      <c r="K940" s="27" t="s">
        <v>73</v>
      </c>
      <c r="L940" s="31" t="s">
        <v>1841</v>
      </c>
      <c r="M940" s="32">
        <v>0.39</v>
      </c>
      <c r="N940" s="27" t="s">
        <v>33</v>
      </c>
      <c r="O940" s="27" t="s">
        <v>60</v>
      </c>
      <c r="P940" s="27" t="s">
        <v>588</v>
      </c>
      <c r="Q940" s="27" t="s">
        <v>1840</v>
      </c>
      <c r="R940" s="33">
        <v>85254</v>
      </c>
      <c r="S940" s="34">
        <v>42088</v>
      </c>
      <c r="T940" s="34">
        <v>42090</v>
      </c>
      <c r="U940" s="29">
        <v>-31.24</v>
      </c>
      <c r="V940" s="26">
        <v>1</v>
      </c>
      <c r="W940" s="29">
        <v>27.67</v>
      </c>
      <c r="X940" s="26">
        <v>86153</v>
      </c>
      <c r="Y940" s="35">
        <v>34.940000000000005</v>
      </c>
      <c r="Z940" s="1" t="s">
        <v>3013</v>
      </c>
      <c r="AA940" s="36">
        <v>1.3703999999999998</v>
      </c>
      <c r="AB940" s="54">
        <v>16.878700000000002</v>
      </c>
      <c r="AC940" s="54">
        <v>10.791300000000001</v>
      </c>
      <c r="AD940" s="36">
        <v>45.999600000000001</v>
      </c>
    </row>
    <row r="941" spans="1:30" s="37" customFormat="1" ht="15.75" customHeight="1" x14ac:dyDescent="0.2">
      <c r="A941" s="26">
        <v>880</v>
      </c>
      <c r="B941" s="27" t="s">
        <v>1839</v>
      </c>
      <c r="C941" s="27" t="s">
        <v>26</v>
      </c>
      <c r="D941" s="28">
        <v>7.0000000000000007E-2</v>
      </c>
      <c r="E941" s="29">
        <v>5.68</v>
      </c>
      <c r="F941" s="29">
        <v>1.39</v>
      </c>
      <c r="G941" s="30" t="s">
        <v>39</v>
      </c>
      <c r="H941" s="27" t="s">
        <v>3095</v>
      </c>
      <c r="I941" s="27" t="s">
        <v>49</v>
      </c>
      <c r="J941" s="27" t="s">
        <v>345</v>
      </c>
      <c r="K941" s="27" t="s">
        <v>73</v>
      </c>
      <c r="L941" s="31" t="s">
        <v>598</v>
      </c>
      <c r="M941" s="32">
        <v>0.38</v>
      </c>
      <c r="N941" s="27" t="s">
        <v>33</v>
      </c>
      <c r="O941" s="27" t="s">
        <v>60</v>
      </c>
      <c r="P941" s="27" t="s">
        <v>588</v>
      </c>
      <c r="Q941" s="27" t="s">
        <v>1840</v>
      </c>
      <c r="R941" s="33">
        <v>85254</v>
      </c>
      <c r="S941" s="34">
        <v>42088</v>
      </c>
      <c r="T941" s="34">
        <v>42090</v>
      </c>
      <c r="U941" s="29">
        <v>18.643799999999999</v>
      </c>
      <c r="V941" s="26">
        <v>5</v>
      </c>
      <c r="W941" s="29">
        <v>27.02</v>
      </c>
      <c r="X941" s="26">
        <v>86153</v>
      </c>
      <c r="Y941" s="35">
        <v>140.94999999999999</v>
      </c>
      <c r="Z941" s="1" t="s">
        <v>3013</v>
      </c>
      <c r="AA941" s="36">
        <v>1.988</v>
      </c>
      <c r="AB941" s="54">
        <v>16.752399999999998</v>
      </c>
      <c r="AC941" s="54">
        <v>2.0535199999999998</v>
      </c>
      <c r="AD941" s="36">
        <v>4.9982000000000006</v>
      </c>
    </row>
    <row r="942" spans="1:30" s="37" customFormat="1" ht="15.75" customHeight="1" x14ac:dyDescent="0.2">
      <c r="A942" s="26">
        <v>1699</v>
      </c>
      <c r="B942" s="27" t="s">
        <v>1854</v>
      </c>
      <c r="C942" s="27" t="s">
        <v>48</v>
      </c>
      <c r="D942" s="28">
        <v>0.01</v>
      </c>
      <c r="E942" s="29">
        <v>6.48</v>
      </c>
      <c r="F942" s="29">
        <v>5.4</v>
      </c>
      <c r="G942" s="30" t="s">
        <v>39</v>
      </c>
      <c r="H942" s="27" t="s">
        <v>3095</v>
      </c>
      <c r="I942" s="27" t="s">
        <v>49</v>
      </c>
      <c r="J942" s="27" t="s">
        <v>88</v>
      </c>
      <c r="K942" s="27" t="s">
        <v>73</v>
      </c>
      <c r="L942" s="31" t="s">
        <v>1857</v>
      </c>
      <c r="M942" s="32">
        <v>0.37</v>
      </c>
      <c r="N942" s="27" t="s">
        <v>33</v>
      </c>
      <c r="O942" s="27" t="s">
        <v>111</v>
      </c>
      <c r="P942" s="27" t="s">
        <v>320</v>
      </c>
      <c r="Q942" s="27" t="s">
        <v>1856</v>
      </c>
      <c r="R942" s="33">
        <v>19057</v>
      </c>
      <c r="S942" s="34">
        <v>42088</v>
      </c>
      <c r="T942" s="34">
        <v>42088</v>
      </c>
      <c r="U942" s="29">
        <v>-18.850000000000001</v>
      </c>
      <c r="V942" s="26">
        <v>2</v>
      </c>
      <c r="W942" s="29">
        <v>14.29</v>
      </c>
      <c r="X942" s="26">
        <v>87345</v>
      </c>
      <c r="Y942" s="35">
        <v>65.91</v>
      </c>
      <c r="Z942" s="1" t="s">
        <v>3014</v>
      </c>
      <c r="AA942" s="36">
        <v>0.12960000000000002</v>
      </c>
      <c r="AB942" s="54">
        <v>9.002699999999999</v>
      </c>
      <c r="AC942" s="54">
        <v>2.6436499999999996</v>
      </c>
      <c r="AD942" s="36">
        <v>27.610399999999998</v>
      </c>
    </row>
    <row r="943" spans="1:30" s="37" customFormat="1" ht="15.75" customHeight="1" x14ac:dyDescent="0.2">
      <c r="A943" s="26">
        <v>2124</v>
      </c>
      <c r="B943" s="27" t="s">
        <v>37</v>
      </c>
      <c r="C943" s="27" t="s">
        <v>38</v>
      </c>
      <c r="D943" s="28">
        <v>0.03</v>
      </c>
      <c r="E943" s="29">
        <v>124.49</v>
      </c>
      <c r="F943" s="29">
        <v>51.94</v>
      </c>
      <c r="G943" s="30" t="s">
        <v>27</v>
      </c>
      <c r="H943" s="27" t="s">
        <v>94</v>
      </c>
      <c r="I943" s="27" t="s">
        <v>29</v>
      </c>
      <c r="J943" s="27" t="s">
        <v>30</v>
      </c>
      <c r="K943" s="27" t="s">
        <v>31</v>
      </c>
      <c r="L943" s="31" t="s">
        <v>1149</v>
      </c>
      <c r="M943" s="32">
        <v>0.63</v>
      </c>
      <c r="N943" s="27" t="s">
        <v>33</v>
      </c>
      <c r="O943" s="27" t="s">
        <v>34</v>
      </c>
      <c r="P943" s="27" t="s">
        <v>45</v>
      </c>
      <c r="Q943" s="27" t="s">
        <v>46</v>
      </c>
      <c r="R943" s="33">
        <v>72301</v>
      </c>
      <c r="S943" s="34">
        <v>42089</v>
      </c>
      <c r="T943" s="34">
        <v>42090</v>
      </c>
      <c r="U943" s="29">
        <v>18.173999999999999</v>
      </c>
      <c r="V943" s="26">
        <v>21</v>
      </c>
      <c r="W943" s="29">
        <v>2761.94</v>
      </c>
      <c r="X943" s="26">
        <v>89666</v>
      </c>
      <c r="Y943" s="35">
        <v>50.97</v>
      </c>
      <c r="Z943" s="1" t="s">
        <v>3011</v>
      </c>
      <c r="AA943" s="36">
        <v>78.428699999999992</v>
      </c>
      <c r="AB943" s="54">
        <v>1021.9178000000001</v>
      </c>
      <c r="AC943" s="54">
        <v>82.858200000000011</v>
      </c>
      <c r="AD943" s="36">
        <v>2613.3973000000001</v>
      </c>
    </row>
    <row r="944" spans="1:30" s="37" customFormat="1" ht="15.75" customHeight="1" x14ac:dyDescent="0.2">
      <c r="A944" s="26">
        <v>2419</v>
      </c>
      <c r="B944" s="27" t="s">
        <v>1875</v>
      </c>
      <c r="C944" s="27" t="s">
        <v>3094</v>
      </c>
      <c r="D944" s="28">
        <v>7.0000000000000007E-2</v>
      </c>
      <c r="E944" s="29">
        <v>225.04</v>
      </c>
      <c r="F944" s="29">
        <v>11.79</v>
      </c>
      <c r="G944" s="30" t="s">
        <v>39</v>
      </c>
      <c r="H944" s="27" t="s">
        <v>40</v>
      </c>
      <c r="I944" s="27" t="s">
        <v>49</v>
      </c>
      <c r="J944" s="27" t="s">
        <v>95</v>
      </c>
      <c r="K944" s="27" t="s">
        <v>144</v>
      </c>
      <c r="L944" s="31" t="s">
        <v>1876</v>
      </c>
      <c r="M944" s="32">
        <v>0.42</v>
      </c>
      <c r="N944" s="27" t="s">
        <v>33</v>
      </c>
      <c r="O944" s="27" t="s">
        <v>34</v>
      </c>
      <c r="P944" s="27" t="s">
        <v>242</v>
      </c>
      <c r="Q944" s="27" t="s">
        <v>1877</v>
      </c>
      <c r="R944" s="33">
        <v>23701</v>
      </c>
      <c r="S944" s="34">
        <v>42089</v>
      </c>
      <c r="T944" s="34">
        <v>42089</v>
      </c>
      <c r="U944" s="29">
        <v>-162.91800000000001</v>
      </c>
      <c r="V944" s="26">
        <v>5</v>
      </c>
      <c r="W944" s="29">
        <v>1130.1500000000001</v>
      </c>
      <c r="X944" s="26">
        <v>86751</v>
      </c>
      <c r="Y944" s="35">
        <v>6.6</v>
      </c>
      <c r="Z944" s="1" t="s">
        <v>3011</v>
      </c>
      <c r="AA944" s="36">
        <v>78.76400000000001</v>
      </c>
      <c r="AB944" s="54">
        <v>655.48700000000008</v>
      </c>
      <c r="AC944" s="54">
        <v>94.932600000000008</v>
      </c>
      <c r="AD944" s="36">
        <v>1202.5140000000001</v>
      </c>
    </row>
    <row r="945" spans="1:30" s="37" customFormat="1" ht="15.75" customHeight="1" x14ac:dyDescent="0.2">
      <c r="A945" s="26">
        <v>1767</v>
      </c>
      <c r="B945" s="27" t="s">
        <v>1865</v>
      </c>
      <c r="C945" s="27" t="s">
        <v>26</v>
      </c>
      <c r="D945" s="28">
        <v>0.01</v>
      </c>
      <c r="E945" s="29">
        <v>50.98</v>
      </c>
      <c r="F945" s="29">
        <v>6.5</v>
      </c>
      <c r="G945" s="30" t="s">
        <v>39</v>
      </c>
      <c r="H945" s="27" t="s">
        <v>71</v>
      </c>
      <c r="I945" s="27" t="s">
        <v>41</v>
      </c>
      <c r="J945" s="27" t="s">
        <v>42</v>
      </c>
      <c r="K945" s="27" t="s">
        <v>73</v>
      </c>
      <c r="L945" s="31" t="s">
        <v>1866</v>
      </c>
      <c r="M945" s="32">
        <v>0.73</v>
      </c>
      <c r="N945" s="27" t="s">
        <v>33</v>
      </c>
      <c r="O945" s="27" t="s">
        <v>34</v>
      </c>
      <c r="P945" s="27" t="s">
        <v>75</v>
      </c>
      <c r="Q945" s="27" t="s">
        <v>1867</v>
      </c>
      <c r="R945" s="33">
        <v>30265</v>
      </c>
      <c r="S945" s="34">
        <v>42089</v>
      </c>
      <c r="T945" s="34">
        <v>42090</v>
      </c>
      <c r="U945" s="29">
        <v>5.3396999999999997</v>
      </c>
      <c r="V945" s="26">
        <v>16</v>
      </c>
      <c r="W945" s="29">
        <v>818.49</v>
      </c>
      <c r="X945" s="26">
        <v>89211</v>
      </c>
      <c r="Y945" s="35">
        <v>19.98</v>
      </c>
      <c r="Z945" s="1" t="s">
        <v>3011</v>
      </c>
      <c r="AA945" s="36">
        <v>8.1568000000000005</v>
      </c>
      <c r="AB945" s="54">
        <v>220.99230000000003</v>
      </c>
      <c r="AC945" s="54">
        <v>37.343606250000001</v>
      </c>
      <c r="AD945" s="36">
        <v>798.49350000000004</v>
      </c>
    </row>
    <row r="946" spans="1:30" s="37" customFormat="1" ht="15.75" customHeight="1" x14ac:dyDescent="0.2">
      <c r="A946" s="26">
        <v>3379</v>
      </c>
      <c r="B946" s="27" t="s">
        <v>1869</v>
      </c>
      <c r="C946" s="27" t="s">
        <v>26</v>
      </c>
      <c r="D946" s="28">
        <v>0</v>
      </c>
      <c r="E946" s="29">
        <v>19.98</v>
      </c>
      <c r="F946" s="29">
        <v>5.97</v>
      </c>
      <c r="G946" s="30" t="s">
        <v>87</v>
      </c>
      <c r="H946" s="27" t="s">
        <v>94</v>
      </c>
      <c r="I946" s="27" t="s">
        <v>49</v>
      </c>
      <c r="J946" s="27" t="s">
        <v>88</v>
      </c>
      <c r="K946" s="27" t="s">
        <v>73</v>
      </c>
      <c r="L946" s="31" t="s">
        <v>1870</v>
      </c>
      <c r="M946" s="32">
        <v>0.38</v>
      </c>
      <c r="N946" s="27" t="s">
        <v>33</v>
      </c>
      <c r="O946" s="27" t="s">
        <v>34</v>
      </c>
      <c r="P946" s="27" t="s">
        <v>75</v>
      </c>
      <c r="Q946" s="27" t="s">
        <v>1871</v>
      </c>
      <c r="R946" s="33">
        <v>30144</v>
      </c>
      <c r="S946" s="34">
        <v>42089</v>
      </c>
      <c r="T946" s="34">
        <v>42092</v>
      </c>
      <c r="U946" s="29">
        <v>-189.714</v>
      </c>
      <c r="V946" s="26">
        <v>12</v>
      </c>
      <c r="W946" s="29">
        <v>249.07</v>
      </c>
      <c r="X946" s="26">
        <v>88837</v>
      </c>
      <c r="Y946" s="35">
        <v>124.46</v>
      </c>
      <c r="Z946" s="1" t="s">
        <v>3011</v>
      </c>
      <c r="AA946" s="36">
        <v>0</v>
      </c>
      <c r="AB946" s="54">
        <v>154.42339999999999</v>
      </c>
      <c r="AC946" s="54">
        <v>7.8872166666666663</v>
      </c>
      <c r="AD946" s="36">
        <v>432.81399999999996</v>
      </c>
    </row>
    <row r="947" spans="1:30" s="37" customFormat="1" ht="15.75" customHeight="1" x14ac:dyDescent="0.2">
      <c r="A947" s="26">
        <v>2066</v>
      </c>
      <c r="B947" s="27" t="s">
        <v>1872</v>
      </c>
      <c r="C947" s="27" t="s">
        <v>116</v>
      </c>
      <c r="D947" s="28">
        <v>0.09</v>
      </c>
      <c r="E947" s="29">
        <v>20.89</v>
      </c>
      <c r="F947" s="29">
        <v>11.52</v>
      </c>
      <c r="G947" s="30" t="s">
        <v>39</v>
      </c>
      <c r="H947" s="27" t="s">
        <v>71</v>
      </c>
      <c r="I947" s="27" t="s">
        <v>49</v>
      </c>
      <c r="J947" s="27" t="s">
        <v>78</v>
      </c>
      <c r="K947" s="27" t="s">
        <v>73</v>
      </c>
      <c r="L947" s="31" t="s">
        <v>1873</v>
      </c>
      <c r="M947" s="32">
        <v>0.83</v>
      </c>
      <c r="N947" s="27" t="s">
        <v>33</v>
      </c>
      <c r="O947" s="27" t="s">
        <v>34</v>
      </c>
      <c r="P947" s="27" t="s">
        <v>97</v>
      </c>
      <c r="Q947" s="27" t="s">
        <v>1874</v>
      </c>
      <c r="R947" s="33">
        <v>28079</v>
      </c>
      <c r="S947" s="34">
        <v>42089</v>
      </c>
      <c r="T947" s="34">
        <v>42090</v>
      </c>
      <c r="U947" s="29">
        <v>-133.54599999999999</v>
      </c>
      <c r="V947" s="26">
        <v>7</v>
      </c>
      <c r="W947" s="29">
        <v>146.5</v>
      </c>
      <c r="X947" s="26">
        <v>85833</v>
      </c>
      <c r="Y947" s="35">
        <v>20.8</v>
      </c>
      <c r="Z947" s="1" t="s">
        <v>3011</v>
      </c>
      <c r="AA947" s="36">
        <v>13.160699999999999</v>
      </c>
      <c r="AB947" s="54">
        <v>24.905000000000005</v>
      </c>
      <c r="AC947" s="54">
        <v>17.370714285714282</v>
      </c>
      <c r="AD947" s="36">
        <v>255.36529999999999</v>
      </c>
    </row>
    <row r="948" spans="1:30" s="37" customFormat="1" ht="15.75" customHeight="1" x14ac:dyDescent="0.2">
      <c r="A948" s="26">
        <v>2114</v>
      </c>
      <c r="B948" s="27" t="s">
        <v>1375</v>
      </c>
      <c r="C948" s="27" t="s">
        <v>26</v>
      </c>
      <c r="D948" s="28">
        <v>0.08</v>
      </c>
      <c r="E948" s="29">
        <v>6.68</v>
      </c>
      <c r="F948" s="29">
        <v>1.5</v>
      </c>
      <c r="G948" s="30" t="s">
        <v>39</v>
      </c>
      <c r="H948" s="27" t="s">
        <v>94</v>
      </c>
      <c r="I948" s="27" t="s">
        <v>49</v>
      </c>
      <c r="J948" s="27" t="s">
        <v>50</v>
      </c>
      <c r="K948" s="27" t="s">
        <v>51</v>
      </c>
      <c r="L948" s="31" t="s">
        <v>1868</v>
      </c>
      <c r="M948" s="32">
        <v>0.48</v>
      </c>
      <c r="N948" s="27" t="s">
        <v>33</v>
      </c>
      <c r="O948" s="27" t="s">
        <v>34</v>
      </c>
      <c r="P948" s="27" t="s">
        <v>242</v>
      </c>
      <c r="Q948" s="27" t="s">
        <v>1377</v>
      </c>
      <c r="R948" s="33">
        <v>23518</v>
      </c>
      <c r="S948" s="34">
        <v>42089</v>
      </c>
      <c r="T948" s="34">
        <v>42091</v>
      </c>
      <c r="U948" s="29">
        <v>-601.80399999999997</v>
      </c>
      <c r="V948" s="26">
        <v>10</v>
      </c>
      <c r="W948" s="29">
        <v>66.12</v>
      </c>
      <c r="X948" s="26">
        <v>88403</v>
      </c>
      <c r="Y948" s="35">
        <v>224.97</v>
      </c>
      <c r="Z948" s="1" t="s">
        <v>3011</v>
      </c>
      <c r="AA948" s="36">
        <v>5.3439999999999994</v>
      </c>
      <c r="AB948" s="54">
        <v>34.382400000000004</v>
      </c>
      <c r="AC948" s="54">
        <v>3.1737600000000001</v>
      </c>
      <c r="AD948" s="36">
        <v>661.07999999999993</v>
      </c>
    </row>
    <row r="949" spans="1:30" s="37" customFormat="1" ht="15.75" customHeight="1" x14ac:dyDescent="0.2">
      <c r="A949" s="26">
        <v>2419</v>
      </c>
      <c r="B949" s="27" t="s">
        <v>1875</v>
      </c>
      <c r="C949" s="27" t="s">
        <v>3094</v>
      </c>
      <c r="D949" s="28">
        <v>0.03</v>
      </c>
      <c r="E949" s="29">
        <v>7.84</v>
      </c>
      <c r="F949" s="29">
        <v>4.71</v>
      </c>
      <c r="G949" s="30" t="s">
        <v>39</v>
      </c>
      <c r="H949" s="27" t="s">
        <v>40</v>
      </c>
      <c r="I949" s="27" t="s">
        <v>49</v>
      </c>
      <c r="J949" s="27" t="s">
        <v>72</v>
      </c>
      <c r="K949" s="27" t="s">
        <v>73</v>
      </c>
      <c r="L949" s="31" t="s">
        <v>679</v>
      </c>
      <c r="M949" s="32">
        <v>0.35</v>
      </c>
      <c r="N949" s="27" t="s">
        <v>33</v>
      </c>
      <c r="O949" s="27" t="s">
        <v>34</v>
      </c>
      <c r="P949" s="27" t="s">
        <v>242</v>
      </c>
      <c r="Q949" s="27" t="s">
        <v>1877</v>
      </c>
      <c r="R949" s="33">
        <v>23701</v>
      </c>
      <c r="S949" s="34">
        <v>42089</v>
      </c>
      <c r="T949" s="34">
        <v>42092</v>
      </c>
      <c r="U949" s="29">
        <v>859.71780000000001</v>
      </c>
      <c r="V949" s="26">
        <v>7</v>
      </c>
      <c r="W949" s="29">
        <v>54.37</v>
      </c>
      <c r="X949" s="26">
        <v>86751</v>
      </c>
      <c r="Y949" s="35">
        <v>7.81</v>
      </c>
      <c r="Z949" s="1" t="s">
        <v>3011</v>
      </c>
      <c r="AA949" s="36">
        <v>1.6463999999999999</v>
      </c>
      <c r="AB949" s="54">
        <v>35.340499999999999</v>
      </c>
      <c r="AC949" s="54">
        <v>2.7184999999999997</v>
      </c>
      <c r="AD949" s="36">
        <v>-811.70420000000001</v>
      </c>
    </row>
    <row r="950" spans="1:30" s="37" customFormat="1" ht="15.75" customHeight="1" x14ac:dyDescent="0.2">
      <c r="A950" s="26">
        <v>2773</v>
      </c>
      <c r="B950" s="27" t="s">
        <v>1878</v>
      </c>
      <c r="C950" s="27" t="s">
        <v>3094</v>
      </c>
      <c r="D950" s="28">
        <v>0.1</v>
      </c>
      <c r="E950" s="29">
        <v>5.18</v>
      </c>
      <c r="F950" s="29">
        <v>5.74</v>
      </c>
      <c r="G950" s="30" t="s">
        <v>39</v>
      </c>
      <c r="H950" s="27" t="s">
        <v>94</v>
      </c>
      <c r="I950" s="27" t="s">
        <v>49</v>
      </c>
      <c r="J950" s="27" t="s">
        <v>72</v>
      </c>
      <c r="K950" s="27" t="s">
        <v>73</v>
      </c>
      <c r="L950" s="31" t="s">
        <v>850</v>
      </c>
      <c r="M950" s="32">
        <v>0.36</v>
      </c>
      <c r="N950" s="27" t="s">
        <v>33</v>
      </c>
      <c r="O950" s="27" t="s">
        <v>60</v>
      </c>
      <c r="P950" s="27" t="s">
        <v>90</v>
      </c>
      <c r="Q950" s="27" t="s">
        <v>1610</v>
      </c>
      <c r="R950" s="33">
        <v>94568</v>
      </c>
      <c r="S950" s="34">
        <v>42089</v>
      </c>
      <c r="T950" s="34">
        <v>42091</v>
      </c>
      <c r="U950" s="29">
        <v>-29.003</v>
      </c>
      <c r="V950" s="26">
        <v>2</v>
      </c>
      <c r="W950" s="29">
        <v>10.96</v>
      </c>
      <c r="X950" s="26">
        <v>91584</v>
      </c>
      <c r="Y950" s="35">
        <v>5.08</v>
      </c>
      <c r="Z950" s="1" t="s">
        <v>3013</v>
      </c>
      <c r="AA950" s="36">
        <v>1.036</v>
      </c>
      <c r="AB950" s="54">
        <v>7.0144000000000011</v>
      </c>
      <c r="AC950" s="54">
        <v>1.9728000000000001</v>
      </c>
      <c r="AD950" s="36">
        <v>33.186999999999998</v>
      </c>
    </row>
    <row r="951" spans="1:30" s="37" customFormat="1" ht="15.75" customHeight="1" x14ac:dyDescent="0.2">
      <c r="A951" s="26">
        <v>698</v>
      </c>
      <c r="B951" s="27" t="s">
        <v>1043</v>
      </c>
      <c r="C951" s="27" t="s">
        <v>116</v>
      </c>
      <c r="D951" s="28">
        <v>0.1</v>
      </c>
      <c r="E951" s="29">
        <v>175.99</v>
      </c>
      <c r="F951" s="29">
        <v>8.99</v>
      </c>
      <c r="G951" s="30" t="s">
        <v>39</v>
      </c>
      <c r="H951" s="27" t="s">
        <v>94</v>
      </c>
      <c r="I951" s="27" t="s">
        <v>41</v>
      </c>
      <c r="J951" s="27" t="s">
        <v>135</v>
      </c>
      <c r="K951" s="27" t="s">
        <v>73</v>
      </c>
      <c r="L951" s="31" t="s">
        <v>1179</v>
      </c>
      <c r="M951" s="32">
        <v>0.56999999999999995</v>
      </c>
      <c r="N951" s="27" t="s">
        <v>33</v>
      </c>
      <c r="O951" s="27" t="s">
        <v>60</v>
      </c>
      <c r="P951" s="27" t="s">
        <v>67</v>
      </c>
      <c r="Q951" s="27" t="s">
        <v>142</v>
      </c>
      <c r="R951" s="33">
        <v>98105</v>
      </c>
      <c r="S951" s="34">
        <v>42090</v>
      </c>
      <c r="T951" s="34">
        <v>42091</v>
      </c>
      <c r="U951" s="29">
        <v>930.98699999999997</v>
      </c>
      <c r="V951" s="26">
        <v>39</v>
      </c>
      <c r="W951" s="29">
        <v>5250.66</v>
      </c>
      <c r="X951" s="26">
        <v>32869</v>
      </c>
      <c r="Y951" s="35">
        <v>9.75</v>
      </c>
      <c r="Z951" s="1" t="s">
        <v>3013</v>
      </c>
      <c r="AA951" s="36">
        <v>686.36099999999999</v>
      </c>
      <c r="AB951" s="54">
        <v>2257.7838000000002</v>
      </c>
      <c r="AC951" s="54">
        <v>76.740415384615375</v>
      </c>
      <c r="AD951" s="36">
        <v>3624.3220000000001</v>
      </c>
    </row>
    <row r="952" spans="1:30" s="37" customFormat="1" ht="15.75" customHeight="1" x14ac:dyDescent="0.2">
      <c r="A952" s="26">
        <v>698</v>
      </c>
      <c r="B952" s="27" t="s">
        <v>1043</v>
      </c>
      <c r="C952" s="27" t="s">
        <v>116</v>
      </c>
      <c r="D952" s="28">
        <v>0.05</v>
      </c>
      <c r="E952" s="29">
        <v>51.65</v>
      </c>
      <c r="F952" s="29">
        <v>18.45</v>
      </c>
      <c r="G952" s="30" t="s">
        <v>39</v>
      </c>
      <c r="H952" s="27" t="s">
        <v>94</v>
      </c>
      <c r="I952" s="27" t="s">
        <v>29</v>
      </c>
      <c r="J952" s="27" t="s">
        <v>126</v>
      </c>
      <c r="K952" s="27" t="s">
        <v>144</v>
      </c>
      <c r="L952" s="31" t="s">
        <v>1885</v>
      </c>
      <c r="M952" s="32">
        <v>0.65</v>
      </c>
      <c r="N952" s="27" t="s">
        <v>33</v>
      </c>
      <c r="O952" s="27" t="s">
        <v>60</v>
      </c>
      <c r="P952" s="27" t="s">
        <v>67</v>
      </c>
      <c r="Q952" s="27" t="s">
        <v>142</v>
      </c>
      <c r="R952" s="33">
        <v>98105</v>
      </c>
      <c r="S952" s="34">
        <v>42090</v>
      </c>
      <c r="T952" s="34">
        <v>42091</v>
      </c>
      <c r="U952" s="29">
        <v>25.04</v>
      </c>
      <c r="V952" s="26">
        <v>49</v>
      </c>
      <c r="W952" s="29">
        <v>2470.84</v>
      </c>
      <c r="X952" s="26">
        <v>32869</v>
      </c>
      <c r="Y952" s="35">
        <v>125.94999999999999</v>
      </c>
      <c r="Z952" s="1" t="s">
        <v>3013</v>
      </c>
      <c r="AA952" s="36">
        <v>126.5425</v>
      </c>
      <c r="AB952" s="54">
        <v>864.79399999999998</v>
      </c>
      <c r="AC952" s="54">
        <v>32.776448979591841</v>
      </c>
      <c r="AD952" s="36">
        <v>2300.8075000000003</v>
      </c>
    </row>
    <row r="953" spans="1:30" s="37" customFormat="1" ht="15.75" customHeight="1" x14ac:dyDescent="0.2">
      <c r="A953" s="26">
        <v>1625</v>
      </c>
      <c r="B953" s="27" t="s">
        <v>1223</v>
      </c>
      <c r="C953" s="27" t="s">
        <v>116</v>
      </c>
      <c r="D953" s="28">
        <v>0.08</v>
      </c>
      <c r="E953" s="29">
        <v>213.45</v>
      </c>
      <c r="F953" s="29">
        <v>14.7</v>
      </c>
      <c r="G953" s="30" t="s">
        <v>27</v>
      </c>
      <c r="H953" s="27" t="s">
        <v>71</v>
      </c>
      <c r="I953" s="27" t="s">
        <v>41</v>
      </c>
      <c r="J953" s="27" t="s">
        <v>57</v>
      </c>
      <c r="K953" s="27" t="s">
        <v>58</v>
      </c>
      <c r="L953" s="31" t="s">
        <v>180</v>
      </c>
      <c r="M953" s="32">
        <v>0.59</v>
      </c>
      <c r="N953" s="27" t="s">
        <v>33</v>
      </c>
      <c r="O953" s="27" t="s">
        <v>111</v>
      </c>
      <c r="P953" s="27" t="s">
        <v>112</v>
      </c>
      <c r="Q953" s="27" t="s">
        <v>1225</v>
      </c>
      <c r="R953" s="33">
        <v>11542</v>
      </c>
      <c r="S953" s="34">
        <v>42090</v>
      </c>
      <c r="T953" s="34">
        <v>42092</v>
      </c>
      <c r="U953" s="29">
        <v>1674.7542000000001</v>
      </c>
      <c r="V953" s="26">
        <v>12</v>
      </c>
      <c r="W953" s="29">
        <v>2427.1799999999998</v>
      </c>
      <c r="X953" s="26">
        <v>90600</v>
      </c>
      <c r="Y953" s="35">
        <v>17.97</v>
      </c>
      <c r="Z953" s="1" t="s">
        <v>3014</v>
      </c>
      <c r="AA953" s="36">
        <v>204.91200000000001</v>
      </c>
      <c r="AB953" s="54">
        <v>995.14380000000006</v>
      </c>
      <c r="AC953" s="54">
        <v>119.33634999999998</v>
      </c>
      <c r="AD953" s="36">
        <v>532.81379999999967</v>
      </c>
    </row>
    <row r="954" spans="1:30" s="37" customFormat="1" ht="15.75" customHeight="1" x14ac:dyDescent="0.2">
      <c r="A954" s="26">
        <v>697</v>
      </c>
      <c r="B954" s="27" t="s">
        <v>1041</v>
      </c>
      <c r="C954" s="27" t="s">
        <v>116</v>
      </c>
      <c r="D954" s="28">
        <v>0.1</v>
      </c>
      <c r="E954" s="29">
        <v>175.99</v>
      </c>
      <c r="F954" s="29">
        <v>8.99</v>
      </c>
      <c r="G954" s="30" t="s">
        <v>39</v>
      </c>
      <c r="H954" s="27" t="s">
        <v>94</v>
      </c>
      <c r="I954" s="27" t="s">
        <v>41</v>
      </c>
      <c r="J954" s="27" t="s">
        <v>135</v>
      </c>
      <c r="K954" s="27" t="s">
        <v>73</v>
      </c>
      <c r="L954" s="31" t="s">
        <v>1179</v>
      </c>
      <c r="M954" s="32">
        <v>0.56999999999999995</v>
      </c>
      <c r="N954" s="27" t="s">
        <v>33</v>
      </c>
      <c r="O954" s="27" t="s">
        <v>53</v>
      </c>
      <c r="P954" s="27" t="s">
        <v>54</v>
      </c>
      <c r="Q954" s="27" t="s">
        <v>1042</v>
      </c>
      <c r="R954" s="33">
        <v>46312</v>
      </c>
      <c r="S954" s="34">
        <v>42090</v>
      </c>
      <c r="T954" s="34">
        <v>42091</v>
      </c>
      <c r="U954" s="29">
        <v>928.96079999999995</v>
      </c>
      <c r="V954" s="26">
        <v>10</v>
      </c>
      <c r="W954" s="29">
        <v>1346.32</v>
      </c>
      <c r="X954" s="26">
        <v>89847</v>
      </c>
      <c r="Y954" s="35">
        <v>28.5</v>
      </c>
      <c r="Z954" s="1" t="s">
        <v>3012</v>
      </c>
      <c r="AA954" s="36">
        <v>175.99</v>
      </c>
      <c r="AB954" s="54">
        <v>578.91759999999999</v>
      </c>
      <c r="AC954" s="54">
        <v>76.74024</v>
      </c>
      <c r="AD954" s="36">
        <v>232.37920000000008</v>
      </c>
    </row>
    <row r="955" spans="1:30" s="37" customFormat="1" ht="15.75" customHeight="1" x14ac:dyDescent="0.2">
      <c r="A955" s="26">
        <v>2059</v>
      </c>
      <c r="B955" s="27" t="s">
        <v>616</v>
      </c>
      <c r="C955" s="27" t="s">
        <v>26</v>
      </c>
      <c r="D955" s="28">
        <v>0.04</v>
      </c>
      <c r="E955" s="29">
        <v>125.99</v>
      </c>
      <c r="F955" s="29">
        <v>7.69</v>
      </c>
      <c r="G955" s="30" t="s">
        <v>39</v>
      </c>
      <c r="H955" s="27" t="s">
        <v>94</v>
      </c>
      <c r="I955" s="27" t="s">
        <v>41</v>
      </c>
      <c r="J955" s="27" t="s">
        <v>135</v>
      </c>
      <c r="K955" s="27" t="s">
        <v>73</v>
      </c>
      <c r="L955" s="31" t="s">
        <v>1049</v>
      </c>
      <c r="M955" s="32">
        <v>0.57999999999999996</v>
      </c>
      <c r="N955" s="27" t="s">
        <v>33</v>
      </c>
      <c r="O955" s="27" t="s">
        <v>34</v>
      </c>
      <c r="P955" s="27" t="s">
        <v>97</v>
      </c>
      <c r="Q955" s="27" t="s">
        <v>617</v>
      </c>
      <c r="R955" s="33">
        <v>27260</v>
      </c>
      <c r="S955" s="34">
        <v>42090</v>
      </c>
      <c r="T955" s="34">
        <v>42091</v>
      </c>
      <c r="U955" s="29">
        <v>-528.83600000000001</v>
      </c>
      <c r="V955" s="26">
        <v>9</v>
      </c>
      <c r="W955" s="29">
        <v>934.52</v>
      </c>
      <c r="X955" s="26">
        <v>88041</v>
      </c>
      <c r="Y955" s="35">
        <v>15.27</v>
      </c>
      <c r="Z955" s="1" t="s">
        <v>3011</v>
      </c>
      <c r="AA955" s="36">
        <v>45.356400000000001</v>
      </c>
      <c r="AB955" s="54">
        <v>392.4984</v>
      </c>
      <c r="AC955" s="54">
        <v>60.224622222222223</v>
      </c>
      <c r="AD955" s="36">
        <v>1410.3096</v>
      </c>
    </row>
    <row r="956" spans="1:30" s="37" customFormat="1" ht="15.75" customHeight="1" x14ac:dyDescent="0.2">
      <c r="A956" s="26">
        <v>696</v>
      </c>
      <c r="B956" s="27" t="s">
        <v>1883</v>
      </c>
      <c r="C956" s="27" t="s">
        <v>116</v>
      </c>
      <c r="D956" s="28">
        <v>0.05</v>
      </c>
      <c r="E956" s="29">
        <v>51.65</v>
      </c>
      <c r="F956" s="29">
        <v>18.45</v>
      </c>
      <c r="G956" s="30" t="s">
        <v>39</v>
      </c>
      <c r="H956" s="27" t="s">
        <v>94</v>
      </c>
      <c r="I956" s="27" t="s">
        <v>29</v>
      </c>
      <c r="J956" s="27" t="s">
        <v>126</v>
      </c>
      <c r="K956" s="27" t="s">
        <v>144</v>
      </c>
      <c r="L956" s="31" t="s">
        <v>1885</v>
      </c>
      <c r="M956" s="32">
        <v>0.65</v>
      </c>
      <c r="N956" s="27" t="s">
        <v>33</v>
      </c>
      <c r="O956" s="27" t="s">
        <v>53</v>
      </c>
      <c r="P956" s="27" t="s">
        <v>54</v>
      </c>
      <c r="Q956" s="27" t="s">
        <v>1884</v>
      </c>
      <c r="R956" s="33">
        <v>46307</v>
      </c>
      <c r="S956" s="34">
        <v>42090</v>
      </c>
      <c r="T956" s="34">
        <v>42091</v>
      </c>
      <c r="U956" s="29">
        <v>25.04</v>
      </c>
      <c r="V956" s="26">
        <v>12</v>
      </c>
      <c r="W956" s="29">
        <v>605.1</v>
      </c>
      <c r="X956" s="26">
        <v>89847</v>
      </c>
      <c r="Y956" s="35">
        <v>15.88</v>
      </c>
      <c r="Z956" s="1" t="s">
        <v>3012</v>
      </c>
      <c r="AA956" s="36">
        <v>30.990000000000002</v>
      </c>
      <c r="AB956" s="54">
        <v>211.785</v>
      </c>
      <c r="AC956" s="54">
        <v>32.776250000000005</v>
      </c>
      <c r="AD956" s="36">
        <v>530.62</v>
      </c>
    </row>
    <row r="957" spans="1:30" s="37" customFormat="1" ht="15.75" customHeight="1" x14ac:dyDescent="0.2">
      <c r="A957" s="26">
        <v>1072</v>
      </c>
      <c r="B957" s="27" t="s">
        <v>1889</v>
      </c>
      <c r="C957" s="27" t="s">
        <v>3094</v>
      </c>
      <c r="D957" s="28">
        <v>0.01</v>
      </c>
      <c r="E957" s="29">
        <v>150.88999999999999</v>
      </c>
      <c r="F957" s="29">
        <v>60.2</v>
      </c>
      <c r="G957" s="30" t="s">
        <v>27</v>
      </c>
      <c r="H957" s="27" t="s">
        <v>94</v>
      </c>
      <c r="I957" s="27" t="s">
        <v>29</v>
      </c>
      <c r="J957" s="27" t="s">
        <v>109</v>
      </c>
      <c r="K957" s="27" t="s">
        <v>58</v>
      </c>
      <c r="L957" s="31" t="s">
        <v>1303</v>
      </c>
      <c r="M957" s="32">
        <v>0.77</v>
      </c>
      <c r="N957" s="27" t="s">
        <v>33</v>
      </c>
      <c r="O957" s="27" t="s">
        <v>111</v>
      </c>
      <c r="P957" s="27" t="s">
        <v>320</v>
      </c>
      <c r="Q957" s="27" t="s">
        <v>1890</v>
      </c>
      <c r="R957" s="33">
        <v>18018</v>
      </c>
      <c r="S957" s="34">
        <v>42090</v>
      </c>
      <c r="T957" s="34">
        <v>42093</v>
      </c>
      <c r="U957" s="29">
        <v>-505.76</v>
      </c>
      <c r="V957" s="26">
        <v>3</v>
      </c>
      <c r="W957" s="29">
        <v>473.53</v>
      </c>
      <c r="X957" s="26">
        <v>89631</v>
      </c>
      <c r="Y957" s="35">
        <v>8.0599999999999987</v>
      </c>
      <c r="Z957" s="1" t="s">
        <v>3014</v>
      </c>
      <c r="AA957" s="36">
        <v>4.5266999999999999</v>
      </c>
      <c r="AB957" s="54">
        <v>108.91189999999999</v>
      </c>
      <c r="AC957" s="54">
        <v>121.53936666666667</v>
      </c>
      <c r="AD957" s="36">
        <v>914.56330000000003</v>
      </c>
    </row>
    <row r="958" spans="1:30" s="37" customFormat="1" ht="15.75" customHeight="1" x14ac:dyDescent="0.2">
      <c r="A958" s="26">
        <v>1625</v>
      </c>
      <c r="B958" s="27" t="s">
        <v>1223</v>
      </c>
      <c r="C958" s="27" t="s">
        <v>116</v>
      </c>
      <c r="D958" s="28">
        <v>0.1</v>
      </c>
      <c r="E958" s="29">
        <v>55.98</v>
      </c>
      <c r="F958" s="29">
        <v>13.88</v>
      </c>
      <c r="G958" s="30" t="s">
        <v>39</v>
      </c>
      <c r="H958" s="27" t="s">
        <v>71</v>
      </c>
      <c r="I958" s="27" t="s">
        <v>49</v>
      </c>
      <c r="J958" s="27" t="s">
        <v>88</v>
      </c>
      <c r="K958" s="27" t="s">
        <v>73</v>
      </c>
      <c r="L958" s="31" t="s">
        <v>1886</v>
      </c>
      <c r="M958" s="32">
        <v>0.36</v>
      </c>
      <c r="N958" s="27" t="s">
        <v>33</v>
      </c>
      <c r="O958" s="27" t="s">
        <v>111</v>
      </c>
      <c r="P958" s="27" t="s">
        <v>112</v>
      </c>
      <c r="Q958" s="27" t="s">
        <v>1225</v>
      </c>
      <c r="R958" s="33">
        <v>11542</v>
      </c>
      <c r="S958" s="34">
        <v>42090</v>
      </c>
      <c r="T958" s="34">
        <v>42092</v>
      </c>
      <c r="U958" s="29">
        <v>300.04649999999998</v>
      </c>
      <c r="V958" s="26">
        <v>8</v>
      </c>
      <c r="W958" s="29">
        <v>434.85</v>
      </c>
      <c r="X958" s="26">
        <v>90600</v>
      </c>
      <c r="Y958" s="35">
        <v>51.6</v>
      </c>
      <c r="Z958" s="1" t="s">
        <v>3014</v>
      </c>
      <c r="AA958" s="36">
        <v>44.783999999999999</v>
      </c>
      <c r="AB958" s="54">
        <v>278.30400000000003</v>
      </c>
      <c r="AC958" s="54">
        <v>19.568249999999999</v>
      </c>
      <c r="AD958" s="36">
        <v>76.139500000000055</v>
      </c>
    </row>
    <row r="959" spans="1:30" s="37" customFormat="1" ht="15.75" customHeight="1" x14ac:dyDescent="0.2">
      <c r="A959" s="26">
        <v>698</v>
      </c>
      <c r="B959" s="27" t="s">
        <v>1043</v>
      </c>
      <c r="C959" s="27" t="s">
        <v>116</v>
      </c>
      <c r="D959" s="28">
        <v>0.06</v>
      </c>
      <c r="E959" s="29">
        <v>8.1199999999999992</v>
      </c>
      <c r="F959" s="29">
        <v>2.83</v>
      </c>
      <c r="G959" s="30" t="s">
        <v>39</v>
      </c>
      <c r="H959" s="27" t="s">
        <v>94</v>
      </c>
      <c r="I959" s="27" t="s">
        <v>41</v>
      </c>
      <c r="J959" s="27" t="s">
        <v>42</v>
      </c>
      <c r="K959" s="27" t="s">
        <v>43</v>
      </c>
      <c r="L959" s="31" t="s">
        <v>1698</v>
      </c>
      <c r="M959" s="32">
        <v>0.77</v>
      </c>
      <c r="N959" s="27" t="s">
        <v>33</v>
      </c>
      <c r="O959" s="27" t="s">
        <v>60</v>
      </c>
      <c r="P959" s="27" t="s">
        <v>67</v>
      </c>
      <c r="Q959" s="27" t="s">
        <v>142</v>
      </c>
      <c r="R959" s="33">
        <v>98105</v>
      </c>
      <c r="S959" s="34">
        <v>42090</v>
      </c>
      <c r="T959" s="34">
        <v>42091</v>
      </c>
      <c r="U959" s="29">
        <v>-82.83</v>
      </c>
      <c r="V959" s="26">
        <v>41</v>
      </c>
      <c r="W959" s="29">
        <v>322.02999999999997</v>
      </c>
      <c r="X959" s="26">
        <v>32869</v>
      </c>
      <c r="Y959" s="35">
        <v>175.89000000000001</v>
      </c>
      <c r="Z959" s="1" t="s">
        <v>3013</v>
      </c>
      <c r="AA959" s="36">
        <v>19.975199999999997</v>
      </c>
      <c r="AB959" s="54">
        <v>74.06689999999999</v>
      </c>
      <c r="AC959" s="54">
        <v>6.0478804878048775</v>
      </c>
      <c r="AD959" s="36">
        <v>382.0548</v>
      </c>
    </row>
    <row r="960" spans="1:30" s="37" customFormat="1" ht="15.75" customHeight="1" x14ac:dyDescent="0.2">
      <c r="A960" s="26">
        <v>1481</v>
      </c>
      <c r="B960" s="27" t="s">
        <v>1891</v>
      </c>
      <c r="C960" s="27" t="s">
        <v>3094</v>
      </c>
      <c r="D960" s="28">
        <v>7.0000000000000007E-2</v>
      </c>
      <c r="E960" s="29">
        <v>8.9499999999999993</v>
      </c>
      <c r="F960" s="29">
        <v>2.0099999999999998</v>
      </c>
      <c r="G960" s="30" t="s">
        <v>39</v>
      </c>
      <c r="H960" s="27" t="s">
        <v>94</v>
      </c>
      <c r="I960" s="27" t="s">
        <v>49</v>
      </c>
      <c r="J960" s="27" t="s">
        <v>88</v>
      </c>
      <c r="K960" s="27" t="s">
        <v>51</v>
      </c>
      <c r="L960" s="31" t="s">
        <v>1892</v>
      </c>
      <c r="M960" s="32">
        <v>0.39</v>
      </c>
      <c r="N960" s="27" t="s">
        <v>33</v>
      </c>
      <c r="O960" s="27" t="s">
        <v>60</v>
      </c>
      <c r="P960" s="27" t="s">
        <v>90</v>
      </c>
      <c r="Q960" s="27" t="s">
        <v>100</v>
      </c>
      <c r="R960" s="33">
        <v>90049</v>
      </c>
      <c r="S960" s="34">
        <v>42090</v>
      </c>
      <c r="T960" s="34">
        <v>42091</v>
      </c>
      <c r="U960" s="29">
        <v>91.73</v>
      </c>
      <c r="V960" s="26">
        <v>36</v>
      </c>
      <c r="W960" s="29">
        <v>307.64999999999998</v>
      </c>
      <c r="X960" s="26">
        <v>53953</v>
      </c>
      <c r="Y960" s="35">
        <v>8.0599999999999987</v>
      </c>
      <c r="Z960" s="1" t="s">
        <v>3013</v>
      </c>
      <c r="AA960" s="36">
        <v>22.554000000000002</v>
      </c>
      <c r="AB960" s="54">
        <v>187.66649999999998</v>
      </c>
      <c r="AC960" s="54">
        <v>3.3328749999999996</v>
      </c>
      <c r="AD960" s="36">
        <v>191.35599999999997</v>
      </c>
    </row>
    <row r="961" spans="1:30" s="37" customFormat="1" ht="15.75" customHeight="1" x14ac:dyDescent="0.2">
      <c r="A961" s="26">
        <v>234</v>
      </c>
      <c r="B961" s="27" t="s">
        <v>985</v>
      </c>
      <c r="C961" s="27" t="s">
        <v>38</v>
      </c>
      <c r="D961" s="28">
        <v>0.03</v>
      </c>
      <c r="E961" s="29">
        <v>28.53</v>
      </c>
      <c r="F961" s="29">
        <v>1.49</v>
      </c>
      <c r="G961" s="30" t="s">
        <v>39</v>
      </c>
      <c r="H961" s="27" t="s">
        <v>3095</v>
      </c>
      <c r="I961" s="27" t="s">
        <v>49</v>
      </c>
      <c r="J961" s="27" t="s">
        <v>72</v>
      </c>
      <c r="K961" s="27" t="s">
        <v>73</v>
      </c>
      <c r="L961" s="31" t="s">
        <v>1832</v>
      </c>
      <c r="M961" s="32">
        <v>0.38</v>
      </c>
      <c r="N961" s="27" t="s">
        <v>33</v>
      </c>
      <c r="O961" s="27" t="s">
        <v>53</v>
      </c>
      <c r="P961" s="27" t="s">
        <v>213</v>
      </c>
      <c r="Q961" s="27" t="s">
        <v>737</v>
      </c>
      <c r="R961" s="33">
        <v>50208</v>
      </c>
      <c r="S961" s="34">
        <v>42090</v>
      </c>
      <c r="T961" s="34">
        <v>42092</v>
      </c>
      <c r="U961" s="29">
        <v>136.33709999999999</v>
      </c>
      <c r="V961" s="26">
        <v>7</v>
      </c>
      <c r="W961" s="29">
        <v>197.59</v>
      </c>
      <c r="X961" s="26">
        <v>90238</v>
      </c>
      <c r="Y961" s="35">
        <v>51.6</v>
      </c>
      <c r="Z961" s="1" t="s">
        <v>3012</v>
      </c>
      <c r="AA961" s="36">
        <v>5.9912999999999998</v>
      </c>
      <c r="AB961" s="54">
        <v>122.50580000000001</v>
      </c>
      <c r="AC961" s="54">
        <v>10.726314285714286</v>
      </c>
      <c r="AD961" s="36">
        <v>53.771600000000007</v>
      </c>
    </row>
    <row r="962" spans="1:30" s="37" customFormat="1" ht="15.75" customHeight="1" x14ac:dyDescent="0.2">
      <c r="A962" s="26">
        <v>920</v>
      </c>
      <c r="B962" s="27" t="s">
        <v>1881</v>
      </c>
      <c r="C962" s="27" t="s">
        <v>48</v>
      </c>
      <c r="D962" s="28">
        <v>0.1</v>
      </c>
      <c r="E962" s="29">
        <v>15.98</v>
      </c>
      <c r="F962" s="29">
        <v>4</v>
      </c>
      <c r="G962" s="30" t="s">
        <v>39</v>
      </c>
      <c r="H962" s="27" t="s">
        <v>94</v>
      </c>
      <c r="I962" s="27" t="s">
        <v>41</v>
      </c>
      <c r="J962" s="27" t="s">
        <v>42</v>
      </c>
      <c r="K962" s="27" t="s">
        <v>73</v>
      </c>
      <c r="L962" s="31" t="s">
        <v>1882</v>
      </c>
      <c r="M962" s="32">
        <v>0.37</v>
      </c>
      <c r="N962" s="27" t="s">
        <v>33</v>
      </c>
      <c r="O962" s="27" t="s">
        <v>60</v>
      </c>
      <c r="P962" s="27" t="s">
        <v>90</v>
      </c>
      <c r="Q962" s="27" t="s">
        <v>1229</v>
      </c>
      <c r="R962" s="33">
        <v>92374</v>
      </c>
      <c r="S962" s="34">
        <v>42090</v>
      </c>
      <c r="T962" s="34">
        <v>42095</v>
      </c>
      <c r="U962" s="29">
        <v>92.722200000000001</v>
      </c>
      <c r="V962" s="26">
        <v>9</v>
      </c>
      <c r="W962" s="29">
        <v>134.38</v>
      </c>
      <c r="X962" s="26">
        <v>90491</v>
      </c>
      <c r="Y962" s="35">
        <v>175.89000000000001</v>
      </c>
      <c r="Z962" s="1" t="s">
        <v>3013</v>
      </c>
      <c r="AA962" s="36">
        <v>14.382000000000001</v>
      </c>
      <c r="AB962" s="54">
        <v>84.659399999999991</v>
      </c>
      <c r="AC962" s="54">
        <v>5.5245111111111109</v>
      </c>
      <c r="AD962" s="36">
        <v>23.27579999999999</v>
      </c>
    </row>
    <row r="963" spans="1:30" s="37" customFormat="1" ht="15.75" customHeight="1" x14ac:dyDescent="0.2">
      <c r="A963" s="26">
        <v>1917</v>
      </c>
      <c r="B963" s="27" t="s">
        <v>1456</v>
      </c>
      <c r="C963" s="27" t="s">
        <v>116</v>
      </c>
      <c r="D963" s="28">
        <v>0.08</v>
      </c>
      <c r="E963" s="29">
        <v>18.7</v>
      </c>
      <c r="F963" s="29">
        <v>8.99</v>
      </c>
      <c r="G963" s="30" t="s">
        <v>39</v>
      </c>
      <c r="H963" s="27" t="s">
        <v>71</v>
      </c>
      <c r="I963" s="27" t="s">
        <v>29</v>
      </c>
      <c r="J963" s="27" t="s">
        <v>126</v>
      </c>
      <c r="K963" s="27" t="s">
        <v>43</v>
      </c>
      <c r="L963" s="31" t="s">
        <v>1888</v>
      </c>
      <c r="M963" s="32">
        <v>0.47</v>
      </c>
      <c r="N963" s="27" t="s">
        <v>33</v>
      </c>
      <c r="O963" s="27" t="s">
        <v>34</v>
      </c>
      <c r="P963" s="27" t="s">
        <v>45</v>
      </c>
      <c r="Q963" s="27" t="s">
        <v>1458</v>
      </c>
      <c r="R963" s="33">
        <v>72113</v>
      </c>
      <c r="S963" s="34">
        <v>42090</v>
      </c>
      <c r="T963" s="34">
        <v>42091</v>
      </c>
      <c r="U963" s="29">
        <v>16.136399999999998</v>
      </c>
      <c r="V963" s="26">
        <v>7</v>
      </c>
      <c r="W963" s="29">
        <v>132.22999999999999</v>
      </c>
      <c r="X963" s="26">
        <v>85894</v>
      </c>
      <c r="Y963" s="35">
        <v>213.36999999999998</v>
      </c>
      <c r="Z963" s="1" t="s">
        <v>3011</v>
      </c>
      <c r="AA963" s="36">
        <v>10.472</v>
      </c>
      <c r="AB963" s="54">
        <v>70.081900000000005</v>
      </c>
      <c r="AC963" s="54">
        <v>8.8782999999999976</v>
      </c>
      <c r="AD963" s="36">
        <v>96.631599999999992</v>
      </c>
    </row>
    <row r="964" spans="1:30" s="37" customFormat="1" ht="15.75" customHeight="1" x14ac:dyDescent="0.2">
      <c r="A964" s="26">
        <v>2059</v>
      </c>
      <c r="B964" s="27" t="s">
        <v>616</v>
      </c>
      <c r="C964" s="27" t="s">
        <v>26</v>
      </c>
      <c r="D964" s="28">
        <v>0.1</v>
      </c>
      <c r="E964" s="29">
        <v>9.85</v>
      </c>
      <c r="F964" s="29">
        <v>4.82</v>
      </c>
      <c r="G964" s="30" t="s">
        <v>39</v>
      </c>
      <c r="H964" s="27" t="s">
        <v>94</v>
      </c>
      <c r="I964" s="27" t="s">
        <v>49</v>
      </c>
      <c r="J964" s="27" t="s">
        <v>50</v>
      </c>
      <c r="K964" s="27" t="s">
        <v>51</v>
      </c>
      <c r="L964" s="31" t="s">
        <v>1879</v>
      </c>
      <c r="M964" s="32">
        <v>0.47</v>
      </c>
      <c r="N964" s="27" t="s">
        <v>33</v>
      </c>
      <c r="O964" s="27" t="s">
        <v>34</v>
      </c>
      <c r="P964" s="27" t="s">
        <v>97</v>
      </c>
      <c r="Q964" s="27" t="s">
        <v>617</v>
      </c>
      <c r="R964" s="33">
        <v>27260</v>
      </c>
      <c r="S964" s="34">
        <v>42090</v>
      </c>
      <c r="T964" s="34">
        <v>42091</v>
      </c>
      <c r="U964" s="29">
        <v>374.904</v>
      </c>
      <c r="V964" s="26">
        <v>12</v>
      </c>
      <c r="W964" s="29">
        <v>114.91</v>
      </c>
      <c r="X964" s="26">
        <v>88041</v>
      </c>
      <c r="Y964" s="35">
        <v>55.879999999999995</v>
      </c>
      <c r="Z964" s="1" t="s">
        <v>3011</v>
      </c>
      <c r="AA964" s="36">
        <v>11.82</v>
      </c>
      <c r="AB964" s="54">
        <v>60.902300000000004</v>
      </c>
      <c r="AC964" s="54">
        <v>4.5006416666666667</v>
      </c>
      <c r="AD964" s="36">
        <v>-276.63400000000001</v>
      </c>
    </row>
    <row r="965" spans="1:30" s="37" customFormat="1" ht="15.75" customHeight="1" x14ac:dyDescent="0.2">
      <c r="A965" s="26">
        <v>696</v>
      </c>
      <c r="B965" s="27" t="s">
        <v>1883</v>
      </c>
      <c r="C965" s="27" t="s">
        <v>116</v>
      </c>
      <c r="D965" s="28">
        <v>0.06</v>
      </c>
      <c r="E965" s="29">
        <v>8.1199999999999992</v>
      </c>
      <c r="F965" s="29">
        <v>2.83</v>
      </c>
      <c r="G965" s="30" t="s">
        <v>39</v>
      </c>
      <c r="H965" s="27" t="s">
        <v>94</v>
      </c>
      <c r="I965" s="27" t="s">
        <v>41</v>
      </c>
      <c r="J965" s="27" t="s">
        <v>42</v>
      </c>
      <c r="K965" s="27" t="s">
        <v>43</v>
      </c>
      <c r="L965" s="31" t="s">
        <v>1698</v>
      </c>
      <c r="M965" s="32">
        <v>0.77</v>
      </c>
      <c r="N965" s="27" t="s">
        <v>33</v>
      </c>
      <c r="O965" s="27" t="s">
        <v>53</v>
      </c>
      <c r="P965" s="27" t="s">
        <v>54</v>
      </c>
      <c r="Q965" s="27" t="s">
        <v>1884</v>
      </c>
      <c r="R965" s="33">
        <v>46307</v>
      </c>
      <c r="S965" s="34">
        <v>42090</v>
      </c>
      <c r="T965" s="34">
        <v>42091</v>
      </c>
      <c r="U965" s="29">
        <v>-82.83</v>
      </c>
      <c r="V965" s="26">
        <v>10</v>
      </c>
      <c r="W965" s="29">
        <v>78.540000000000006</v>
      </c>
      <c r="X965" s="26">
        <v>89847</v>
      </c>
      <c r="Y965" s="35">
        <v>16.059999999999999</v>
      </c>
      <c r="Z965" s="1" t="s">
        <v>3012</v>
      </c>
      <c r="AA965" s="36">
        <v>4.871999999999999</v>
      </c>
      <c r="AB965" s="54">
        <v>18.0642</v>
      </c>
      <c r="AC965" s="54">
        <v>6.0475800000000008</v>
      </c>
      <c r="AD965" s="36">
        <v>153.66800000000001</v>
      </c>
    </row>
    <row r="966" spans="1:30" s="37" customFormat="1" ht="15.75" customHeight="1" x14ac:dyDescent="0.2">
      <c r="A966" s="26">
        <v>1482</v>
      </c>
      <c r="B966" s="27" t="s">
        <v>1438</v>
      </c>
      <c r="C966" s="27" t="s">
        <v>3094</v>
      </c>
      <c r="D966" s="28">
        <v>7.0000000000000007E-2</v>
      </c>
      <c r="E966" s="29">
        <v>8.9499999999999993</v>
      </c>
      <c r="F966" s="29">
        <v>2.0099999999999998</v>
      </c>
      <c r="G966" s="30" t="s">
        <v>39</v>
      </c>
      <c r="H966" s="27" t="s">
        <v>94</v>
      </c>
      <c r="I966" s="27" t="s">
        <v>49</v>
      </c>
      <c r="J966" s="27" t="s">
        <v>88</v>
      </c>
      <c r="K966" s="27" t="s">
        <v>51</v>
      </c>
      <c r="L966" s="31" t="s">
        <v>1892</v>
      </c>
      <c r="M966" s="32">
        <v>0.39</v>
      </c>
      <c r="N966" s="27" t="s">
        <v>33</v>
      </c>
      <c r="O966" s="27" t="s">
        <v>53</v>
      </c>
      <c r="P966" s="27" t="s">
        <v>289</v>
      </c>
      <c r="Q966" s="27" t="s">
        <v>994</v>
      </c>
      <c r="R966" s="33">
        <v>48708</v>
      </c>
      <c r="S966" s="34">
        <v>42090</v>
      </c>
      <c r="T966" s="34">
        <v>42091</v>
      </c>
      <c r="U966" s="29">
        <v>53.067900000000002</v>
      </c>
      <c r="V966" s="26">
        <v>9</v>
      </c>
      <c r="W966" s="29">
        <v>76.91</v>
      </c>
      <c r="X966" s="26">
        <v>91362</v>
      </c>
      <c r="Y966" s="35">
        <v>18.62</v>
      </c>
      <c r="Z966" s="1" t="s">
        <v>3012</v>
      </c>
      <c r="AA966" s="36">
        <v>5.6385000000000005</v>
      </c>
      <c r="AB966" s="54">
        <v>46.915099999999995</v>
      </c>
      <c r="AC966" s="54">
        <v>3.3327666666666667</v>
      </c>
      <c r="AD966" s="36">
        <v>16.193599999999996</v>
      </c>
    </row>
    <row r="967" spans="1:30" s="37" customFormat="1" ht="15.75" customHeight="1" x14ac:dyDescent="0.2">
      <c r="A967" s="26">
        <v>3354</v>
      </c>
      <c r="B967" s="27" t="s">
        <v>1893</v>
      </c>
      <c r="C967" s="27" t="s">
        <v>3094</v>
      </c>
      <c r="D967" s="28">
        <v>0.04</v>
      </c>
      <c r="E967" s="29">
        <v>3.69</v>
      </c>
      <c r="F967" s="29">
        <v>0.5</v>
      </c>
      <c r="G967" s="30" t="s">
        <v>39</v>
      </c>
      <c r="H967" s="27" t="s">
        <v>94</v>
      </c>
      <c r="I967" s="27" t="s">
        <v>49</v>
      </c>
      <c r="J967" s="27" t="s">
        <v>152</v>
      </c>
      <c r="K967" s="27" t="s">
        <v>73</v>
      </c>
      <c r="L967" s="31" t="s">
        <v>1894</v>
      </c>
      <c r="M967" s="32">
        <v>0.38</v>
      </c>
      <c r="N967" s="27" t="s">
        <v>33</v>
      </c>
      <c r="O967" s="27" t="s">
        <v>60</v>
      </c>
      <c r="P967" s="27" t="s">
        <v>90</v>
      </c>
      <c r="Q967" s="27" t="s">
        <v>1895</v>
      </c>
      <c r="R967" s="33">
        <v>92231</v>
      </c>
      <c r="S967" s="34">
        <v>42090</v>
      </c>
      <c r="T967" s="34">
        <v>42092</v>
      </c>
      <c r="U967" s="29">
        <v>47.527200000000001</v>
      </c>
      <c r="V967" s="26">
        <v>19</v>
      </c>
      <c r="W967" s="29">
        <v>68.88</v>
      </c>
      <c r="X967" s="26">
        <v>88590</v>
      </c>
      <c r="Y967" s="35">
        <v>150.88</v>
      </c>
      <c r="Z967" s="1" t="s">
        <v>3013</v>
      </c>
      <c r="AA967" s="36">
        <v>2.8044000000000002</v>
      </c>
      <c r="AB967" s="54">
        <v>42.705599999999997</v>
      </c>
      <c r="AC967" s="54">
        <v>1.3775999999999999</v>
      </c>
      <c r="AD967" s="36">
        <v>18.048399999999994</v>
      </c>
    </row>
    <row r="968" spans="1:30" s="37" customFormat="1" ht="15.75" customHeight="1" x14ac:dyDescent="0.2">
      <c r="A968" s="26">
        <v>32</v>
      </c>
      <c r="B968" s="27" t="s">
        <v>644</v>
      </c>
      <c r="C968" s="27" t="s">
        <v>38</v>
      </c>
      <c r="D968" s="28">
        <v>0.01</v>
      </c>
      <c r="E968" s="29">
        <v>17.98</v>
      </c>
      <c r="F968" s="29">
        <v>8.51</v>
      </c>
      <c r="G968" s="30" t="s">
        <v>39</v>
      </c>
      <c r="H968" s="27" t="s">
        <v>94</v>
      </c>
      <c r="I968" s="27" t="s">
        <v>41</v>
      </c>
      <c r="J968" s="27" t="s">
        <v>57</v>
      </c>
      <c r="K968" s="27" t="s">
        <v>144</v>
      </c>
      <c r="L968" s="31" t="s">
        <v>1880</v>
      </c>
      <c r="M968" s="32">
        <v>0.4</v>
      </c>
      <c r="N968" s="27" t="s">
        <v>33</v>
      </c>
      <c r="O968" s="27" t="s">
        <v>60</v>
      </c>
      <c r="P968" s="27" t="s">
        <v>139</v>
      </c>
      <c r="Q968" s="27" t="s">
        <v>646</v>
      </c>
      <c r="R968" s="33">
        <v>97526</v>
      </c>
      <c r="S968" s="34">
        <v>42090</v>
      </c>
      <c r="T968" s="34">
        <v>42091</v>
      </c>
      <c r="U968" s="29">
        <v>-35.878799999999998</v>
      </c>
      <c r="V968" s="26">
        <v>2</v>
      </c>
      <c r="W968" s="29">
        <v>40.17</v>
      </c>
      <c r="X968" s="26">
        <v>89200</v>
      </c>
      <c r="Y968" s="35">
        <v>8.879999999999999</v>
      </c>
      <c r="Z968" s="1" t="s">
        <v>3013</v>
      </c>
      <c r="AA968" s="36">
        <v>0.35960000000000003</v>
      </c>
      <c r="AB968" s="54">
        <v>24.102</v>
      </c>
      <c r="AC968" s="54">
        <v>8.0340000000000007</v>
      </c>
      <c r="AD968" s="36">
        <v>67.179200000000009</v>
      </c>
    </row>
    <row r="969" spans="1:30" s="37" customFormat="1" ht="15.75" customHeight="1" x14ac:dyDescent="0.2">
      <c r="A969" s="26">
        <v>234</v>
      </c>
      <c r="B969" s="27" t="s">
        <v>985</v>
      </c>
      <c r="C969" s="27" t="s">
        <v>38</v>
      </c>
      <c r="D969" s="28">
        <v>0.01</v>
      </c>
      <c r="E969" s="29">
        <v>15.28</v>
      </c>
      <c r="F969" s="29">
        <v>1.99</v>
      </c>
      <c r="G969" s="30" t="s">
        <v>39</v>
      </c>
      <c r="H969" s="27" t="s">
        <v>3095</v>
      </c>
      <c r="I969" s="27" t="s">
        <v>41</v>
      </c>
      <c r="J969" s="27" t="s">
        <v>42</v>
      </c>
      <c r="K969" s="27" t="s">
        <v>43</v>
      </c>
      <c r="L969" s="31" t="s">
        <v>512</v>
      </c>
      <c r="M969" s="32">
        <v>0.42</v>
      </c>
      <c r="N969" s="27" t="s">
        <v>33</v>
      </c>
      <c r="O969" s="27" t="s">
        <v>53</v>
      </c>
      <c r="P969" s="27" t="s">
        <v>213</v>
      </c>
      <c r="Q969" s="27" t="s">
        <v>737</v>
      </c>
      <c r="R969" s="33">
        <v>50208</v>
      </c>
      <c r="S969" s="34">
        <v>42090</v>
      </c>
      <c r="T969" s="34">
        <v>42092</v>
      </c>
      <c r="U969" s="29">
        <v>-12.46</v>
      </c>
      <c r="V969" s="26">
        <v>2</v>
      </c>
      <c r="W969" s="29">
        <v>33.04</v>
      </c>
      <c r="X969" s="26">
        <v>90238</v>
      </c>
      <c r="Y969" s="35">
        <v>8.879999999999999</v>
      </c>
      <c r="Z969" s="1" t="s">
        <v>3012</v>
      </c>
      <c r="AA969" s="36">
        <v>0.30559999999999998</v>
      </c>
      <c r="AB969" s="54">
        <v>19.163200000000003</v>
      </c>
      <c r="AC969" s="54">
        <v>6.9383999999999997</v>
      </c>
      <c r="AD969" s="36">
        <v>43.2044</v>
      </c>
    </row>
    <row r="970" spans="1:30" s="37" customFormat="1" ht="15.75" customHeight="1" x14ac:dyDescent="0.2">
      <c r="A970" s="26">
        <v>1625</v>
      </c>
      <c r="B970" s="27" t="s">
        <v>1223</v>
      </c>
      <c r="C970" s="27" t="s">
        <v>116</v>
      </c>
      <c r="D970" s="28">
        <v>0</v>
      </c>
      <c r="E970" s="29">
        <v>16.059999999999999</v>
      </c>
      <c r="F970" s="29">
        <v>8.34</v>
      </c>
      <c r="G970" s="30" t="s">
        <v>39</v>
      </c>
      <c r="H970" s="27" t="s">
        <v>71</v>
      </c>
      <c r="I970" s="27" t="s">
        <v>49</v>
      </c>
      <c r="J970" s="27" t="s">
        <v>78</v>
      </c>
      <c r="K970" s="27" t="s">
        <v>73</v>
      </c>
      <c r="L970" s="31" t="s">
        <v>1887</v>
      </c>
      <c r="M970" s="32">
        <v>0.59</v>
      </c>
      <c r="N970" s="27" t="s">
        <v>33</v>
      </c>
      <c r="O970" s="27" t="s">
        <v>111</v>
      </c>
      <c r="P970" s="27" t="s">
        <v>112</v>
      </c>
      <c r="Q970" s="27" t="s">
        <v>1225</v>
      </c>
      <c r="R970" s="33">
        <v>11542</v>
      </c>
      <c r="S970" s="34">
        <v>42090</v>
      </c>
      <c r="T970" s="34">
        <v>42091</v>
      </c>
      <c r="U970" s="29">
        <v>-28.09</v>
      </c>
      <c r="V970" s="26">
        <v>1</v>
      </c>
      <c r="W970" s="29">
        <v>19.16</v>
      </c>
      <c r="X970" s="26">
        <v>90600</v>
      </c>
      <c r="Y970" s="35">
        <v>3.65</v>
      </c>
      <c r="Z970" s="1" t="s">
        <v>3014</v>
      </c>
      <c r="AA970" s="36">
        <v>0</v>
      </c>
      <c r="AB970" s="54">
        <v>7.8556000000000008</v>
      </c>
      <c r="AC970" s="54">
        <v>11.304399999999999</v>
      </c>
      <c r="AD970" s="36">
        <v>38.909999999999997</v>
      </c>
    </row>
    <row r="971" spans="1:30" s="37" customFormat="1" ht="15.75" customHeight="1" x14ac:dyDescent="0.2">
      <c r="A971" s="26">
        <v>1738</v>
      </c>
      <c r="B971" s="27" t="s">
        <v>1901</v>
      </c>
      <c r="C971" s="27" t="s">
        <v>116</v>
      </c>
      <c r="D971" s="28">
        <v>0.08</v>
      </c>
      <c r="E971" s="29">
        <v>175.99</v>
      </c>
      <c r="F971" s="29">
        <v>4.99</v>
      </c>
      <c r="G971" s="30" t="s">
        <v>39</v>
      </c>
      <c r="H971" s="27" t="s">
        <v>94</v>
      </c>
      <c r="I971" s="27" t="s">
        <v>41</v>
      </c>
      <c r="J971" s="27" t="s">
        <v>135</v>
      </c>
      <c r="K971" s="27" t="s">
        <v>73</v>
      </c>
      <c r="L971" s="31" t="s">
        <v>1249</v>
      </c>
      <c r="M971" s="32">
        <v>0.59</v>
      </c>
      <c r="N971" s="27" t="s">
        <v>33</v>
      </c>
      <c r="O971" s="27" t="s">
        <v>34</v>
      </c>
      <c r="P971" s="27" t="s">
        <v>97</v>
      </c>
      <c r="Q971" s="27" t="s">
        <v>1902</v>
      </c>
      <c r="R971" s="33">
        <v>28052</v>
      </c>
      <c r="S971" s="34">
        <v>42091</v>
      </c>
      <c r="T971" s="34">
        <v>42091</v>
      </c>
      <c r="U971" s="29">
        <v>-16476.838</v>
      </c>
      <c r="V971" s="26">
        <v>10</v>
      </c>
      <c r="W971" s="29">
        <v>1486.34</v>
      </c>
      <c r="X971" s="26">
        <v>85865</v>
      </c>
      <c r="Y971" s="35">
        <v>10.360000000000001</v>
      </c>
      <c r="Z971" s="1" t="s">
        <v>3011</v>
      </c>
      <c r="AA971" s="36">
        <v>140.792</v>
      </c>
      <c r="AB971" s="54">
        <v>609.39940000000001</v>
      </c>
      <c r="AC971" s="54">
        <v>87.694059999999993</v>
      </c>
      <c r="AD971" s="36">
        <v>17817.395999999997</v>
      </c>
    </row>
    <row r="972" spans="1:30" s="37" customFormat="1" ht="15.75" customHeight="1" x14ac:dyDescent="0.2">
      <c r="A972" s="26">
        <v>800</v>
      </c>
      <c r="B972" s="27" t="s">
        <v>1900</v>
      </c>
      <c r="C972" s="27" t="s">
        <v>48</v>
      </c>
      <c r="D972" s="28">
        <v>0.04</v>
      </c>
      <c r="E972" s="29">
        <v>50.98</v>
      </c>
      <c r="F972" s="29">
        <v>6.5</v>
      </c>
      <c r="G972" s="30" t="s">
        <v>39</v>
      </c>
      <c r="H972" s="27" t="s">
        <v>40</v>
      </c>
      <c r="I972" s="27" t="s">
        <v>41</v>
      </c>
      <c r="J972" s="27" t="s">
        <v>42</v>
      </c>
      <c r="K972" s="27" t="s">
        <v>73</v>
      </c>
      <c r="L972" s="31" t="s">
        <v>1866</v>
      </c>
      <c r="M972" s="32">
        <v>0.73</v>
      </c>
      <c r="N972" s="27" t="s">
        <v>33</v>
      </c>
      <c r="O972" s="27" t="s">
        <v>60</v>
      </c>
      <c r="P972" s="27" t="s">
        <v>146</v>
      </c>
      <c r="Q972" s="27" t="s">
        <v>1526</v>
      </c>
      <c r="R972" s="33">
        <v>84067</v>
      </c>
      <c r="S972" s="34">
        <v>42091</v>
      </c>
      <c r="T972" s="34">
        <v>42097</v>
      </c>
      <c r="U972" s="29">
        <v>-13.28</v>
      </c>
      <c r="V972" s="26">
        <v>11</v>
      </c>
      <c r="W972" s="29">
        <v>568.25</v>
      </c>
      <c r="X972" s="26">
        <v>89910</v>
      </c>
      <c r="Y972" s="35">
        <v>4.2</v>
      </c>
      <c r="Z972" s="1" t="s">
        <v>3013</v>
      </c>
      <c r="AA972" s="36">
        <v>22.4312</v>
      </c>
      <c r="AB972" s="54">
        <v>153.42750000000001</v>
      </c>
      <c r="AC972" s="54">
        <v>37.711136363636363</v>
      </c>
      <c r="AD972" s="36">
        <v>552.59879999999998</v>
      </c>
    </row>
    <row r="973" spans="1:30" s="37" customFormat="1" ht="15.75" customHeight="1" x14ac:dyDescent="0.2">
      <c r="A973" s="26">
        <v>2968</v>
      </c>
      <c r="B973" s="27" t="s">
        <v>1319</v>
      </c>
      <c r="C973" s="27" t="s">
        <v>38</v>
      </c>
      <c r="D973" s="28">
        <v>0.06</v>
      </c>
      <c r="E973" s="29">
        <v>363.25</v>
      </c>
      <c r="F973" s="29">
        <v>19.989999999999998</v>
      </c>
      <c r="G973" s="30" t="s">
        <v>39</v>
      </c>
      <c r="H973" s="27" t="s">
        <v>3095</v>
      </c>
      <c r="I973" s="27" t="s">
        <v>49</v>
      </c>
      <c r="J973" s="27" t="s">
        <v>95</v>
      </c>
      <c r="K973" s="27" t="s">
        <v>73</v>
      </c>
      <c r="L973" s="31" t="s">
        <v>199</v>
      </c>
      <c r="M973" s="32">
        <v>0.56999999999999995</v>
      </c>
      <c r="N973" s="27" t="s">
        <v>33</v>
      </c>
      <c r="O973" s="27" t="s">
        <v>34</v>
      </c>
      <c r="P973" s="27" t="s">
        <v>123</v>
      </c>
      <c r="Q973" s="27" t="s">
        <v>1321</v>
      </c>
      <c r="R973" s="33">
        <v>33021</v>
      </c>
      <c r="S973" s="34">
        <v>42091</v>
      </c>
      <c r="T973" s="34">
        <v>42093</v>
      </c>
      <c r="U973" s="29">
        <v>36.164099999999998</v>
      </c>
      <c r="V973" s="26">
        <v>1</v>
      </c>
      <c r="W973" s="29">
        <v>344.87</v>
      </c>
      <c r="X973" s="26">
        <v>86086</v>
      </c>
      <c r="Y973" s="35">
        <v>363.19</v>
      </c>
      <c r="Z973" s="1" t="s">
        <v>3011</v>
      </c>
      <c r="AA973" s="36">
        <v>21.794999999999998</v>
      </c>
      <c r="AB973" s="54">
        <v>148.29410000000001</v>
      </c>
      <c r="AC973" s="54">
        <v>196.57589999999999</v>
      </c>
      <c r="AD973" s="36">
        <v>266.92090000000002</v>
      </c>
    </row>
    <row r="974" spans="1:30" s="37" customFormat="1" ht="15.75" customHeight="1" x14ac:dyDescent="0.2">
      <c r="A974" s="26">
        <v>2668</v>
      </c>
      <c r="B974" s="27" t="s">
        <v>1896</v>
      </c>
      <c r="C974" s="27" t="s">
        <v>38</v>
      </c>
      <c r="D974" s="28">
        <v>0.04</v>
      </c>
      <c r="E974" s="29">
        <v>10.4</v>
      </c>
      <c r="F974" s="29">
        <v>5.4</v>
      </c>
      <c r="G974" s="30" t="s">
        <v>39</v>
      </c>
      <c r="H974" s="27" t="s">
        <v>94</v>
      </c>
      <c r="I974" s="27" t="s">
        <v>29</v>
      </c>
      <c r="J974" s="27" t="s">
        <v>126</v>
      </c>
      <c r="K974" s="27" t="s">
        <v>43</v>
      </c>
      <c r="L974" s="31" t="s">
        <v>1897</v>
      </c>
      <c r="M974" s="32">
        <v>0.51</v>
      </c>
      <c r="N974" s="27" t="s">
        <v>33</v>
      </c>
      <c r="O974" s="27" t="s">
        <v>53</v>
      </c>
      <c r="P974" s="27" t="s">
        <v>1071</v>
      </c>
      <c r="Q974" s="27" t="s">
        <v>1898</v>
      </c>
      <c r="R974" s="33">
        <v>57701</v>
      </c>
      <c r="S974" s="34">
        <v>42091</v>
      </c>
      <c r="T974" s="34">
        <v>42092</v>
      </c>
      <c r="U974" s="29">
        <v>29.98</v>
      </c>
      <c r="V974" s="26">
        <v>12</v>
      </c>
      <c r="W974" s="29">
        <v>130.74</v>
      </c>
      <c r="X974" s="26">
        <v>87830</v>
      </c>
      <c r="Y974" s="35">
        <v>50.94</v>
      </c>
      <c r="Z974" s="1" t="s">
        <v>3012</v>
      </c>
      <c r="AA974" s="36">
        <v>4.9920000000000009</v>
      </c>
      <c r="AB974" s="54">
        <v>64.062600000000003</v>
      </c>
      <c r="AC974" s="54">
        <v>5.5564500000000008</v>
      </c>
      <c r="AD974" s="36">
        <v>90.368000000000009</v>
      </c>
    </row>
    <row r="975" spans="1:30" s="37" customFormat="1" ht="15.75" customHeight="1" x14ac:dyDescent="0.2">
      <c r="A975" s="26">
        <v>800</v>
      </c>
      <c r="B975" s="27" t="s">
        <v>1900</v>
      </c>
      <c r="C975" s="27" t="s">
        <v>48</v>
      </c>
      <c r="D975" s="28">
        <v>0.02</v>
      </c>
      <c r="E975" s="29">
        <v>6.48</v>
      </c>
      <c r="F975" s="29">
        <v>5.14</v>
      </c>
      <c r="G975" s="30" t="s">
        <v>39</v>
      </c>
      <c r="H975" s="27" t="s">
        <v>40</v>
      </c>
      <c r="I975" s="27" t="s">
        <v>49</v>
      </c>
      <c r="J975" s="27" t="s">
        <v>88</v>
      </c>
      <c r="K975" s="27" t="s">
        <v>73</v>
      </c>
      <c r="L975" s="31" t="s">
        <v>1745</v>
      </c>
      <c r="M975" s="32">
        <v>0.37</v>
      </c>
      <c r="N975" s="27" t="s">
        <v>33</v>
      </c>
      <c r="O975" s="27" t="s">
        <v>60</v>
      </c>
      <c r="P975" s="27" t="s">
        <v>146</v>
      </c>
      <c r="Q975" s="27" t="s">
        <v>1526</v>
      </c>
      <c r="R975" s="33">
        <v>84067</v>
      </c>
      <c r="S975" s="34">
        <v>42091</v>
      </c>
      <c r="T975" s="34">
        <v>42093</v>
      </c>
      <c r="U975" s="29">
        <v>-48.68</v>
      </c>
      <c r="V975" s="26">
        <v>19</v>
      </c>
      <c r="W975" s="29">
        <v>126.66</v>
      </c>
      <c r="X975" s="26">
        <v>89910</v>
      </c>
      <c r="Y975" s="35">
        <v>6.4600000000000009</v>
      </c>
      <c r="Z975" s="1" t="s">
        <v>3013</v>
      </c>
      <c r="AA975" s="36">
        <v>2.4624000000000006</v>
      </c>
      <c r="AB975" s="54">
        <v>79.7958</v>
      </c>
      <c r="AC975" s="54">
        <v>2.4665368421052629</v>
      </c>
      <c r="AD975" s="36">
        <v>167.73759999999999</v>
      </c>
    </row>
    <row r="976" spans="1:30" s="37" customFormat="1" ht="15.75" customHeight="1" x14ac:dyDescent="0.2">
      <c r="A976" s="26">
        <v>2880</v>
      </c>
      <c r="B976" s="27" t="s">
        <v>1903</v>
      </c>
      <c r="C976" s="27" t="s">
        <v>116</v>
      </c>
      <c r="D976" s="28">
        <v>0.05</v>
      </c>
      <c r="E976" s="29">
        <v>6.68</v>
      </c>
      <c r="F976" s="29">
        <v>6.93</v>
      </c>
      <c r="G976" s="30" t="s">
        <v>39</v>
      </c>
      <c r="H976" s="27" t="s">
        <v>3095</v>
      </c>
      <c r="I976" s="27" t="s">
        <v>49</v>
      </c>
      <c r="J976" s="27" t="s">
        <v>88</v>
      </c>
      <c r="K976" s="27" t="s">
        <v>73</v>
      </c>
      <c r="L976" s="31" t="s">
        <v>976</v>
      </c>
      <c r="M976" s="32">
        <v>0.37</v>
      </c>
      <c r="N976" s="27" t="s">
        <v>33</v>
      </c>
      <c r="O976" s="27" t="s">
        <v>34</v>
      </c>
      <c r="P976" s="27" t="s">
        <v>123</v>
      </c>
      <c r="Q976" s="27" t="s">
        <v>1904</v>
      </c>
      <c r="R976" s="33">
        <v>33160</v>
      </c>
      <c r="S976" s="34">
        <v>42091</v>
      </c>
      <c r="T976" s="34">
        <v>42092</v>
      </c>
      <c r="U976" s="29">
        <v>-2.3519999999999999</v>
      </c>
      <c r="V976" s="26">
        <v>11</v>
      </c>
      <c r="W976" s="29">
        <v>77.2</v>
      </c>
      <c r="X976" s="26">
        <v>88626</v>
      </c>
      <c r="Y976" s="35">
        <v>175.91</v>
      </c>
      <c r="Z976" s="1" t="s">
        <v>3011</v>
      </c>
      <c r="AA976" s="36">
        <v>3.6740000000000004</v>
      </c>
      <c r="AB976" s="54">
        <v>48.636000000000003</v>
      </c>
      <c r="AC976" s="54">
        <v>2.5967272727272728</v>
      </c>
      <c r="AD976" s="36">
        <v>68.948000000000008</v>
      </c>
    </row>
    <row r="977" spans="1:30" s="37" customFormat="1" ht="15.75" customHeight="1" x14ac:dyDescent="0.2">
      <c r="A977" s="26">
        <v>2668</v>
      </c>
      <c r="B977" s="27" t="s">
        <v>1896</v>
      </c>
      <c r="C977" s="27" t="s">
        <v>38</v>
      </c>
      <c r="D977" s="28">
        <v>0.08</v>
      </c>
      <c r="E977" s="29">
        <v>4.28</v>
      </c>
      <c r="F977" s="29">
        <v>4.79</v>
      </c>
      <c r="G977" s="30" t="s">
        <v>39</v>
      </c>
      <c r="H977" s="27" t="s">
        <v>94</v>
      </c>
      <c r="I977" s="27" t="s">
        <v>49</v>
      </c>
      <c r="J977" s="27" t="s">
        <v>88</v>
      </c>
      <c r="K977" s="27" t="s">
        <v>73</v>
      </c>
      <c r="L977" s="31" t="s">
        <v>1899</v>
      </c>
      <c r="M977" s="32">
        <v>0.4</v>
      </c>
      <c r="N977" s="27" t="s">
        <v>33</v>
      </c>
      <c r="O977" s="27" t="s">
        <v>53</v>
      </c>
      <c r="P977" s="27" t="s">
        <v>1071</v>
      </c>
      <c r="Q977" s="27" t="s">
        <v>1898</v>
      </c>
      <c r="R977" s="33">
        <v>57701</v>
      </c>
      <c r="S977" s="34">
        <v>42091</v>
      </c>
      <c r="T977" s="34">
        <v>42093</v>
      </c>
      <c r="U977" s="29">
        <v>-121.2</v>
      </c>
      <c r="V977" s="26">
        <v>12</v>
      </c>
      <c r="W977" s="29">
        <v>49.87</v>
      </c>
      <c r="X977" s="26">
        <v>87830</v>
      </c>
      <c r="Y977" s="35">
        <v>6.63</v>
      </c>
      <c r="Z977" s="1" t="s">
        <v>3012</v>
      </c>
      <c r="AA977" s="36">
        <v>4.1088000000000005</v>
      </c>
      <c r="AB977" s="54">
        <v>29.921999999999997</v>
      </c>
      <c r="AC977" s="54">
        <v>1.6623333333333332</v>
      </c>
      <c r="AD977" s="36">
        <v>162.1712</v>
      </c>
    </row>
    <row r="978" spans="1:30" s="37" customFormat="1" ht="15.75" customHeight="1" x14ac:dyDescent="0.2">
      <c r="A978" s="26">
        <v>152</v>
      </c>
      <c r="B978" s="27" t="s">
        <v>505</v>
      </c>
      <c r="C978" s="27" t="s">
        <v>38</v>
      </c>
      <c r="D978" s="28">
        <v>0.01</v>
      </c>
      <c r="E978" s="29">
        <v>65.989999999999995</v>
      </c>
      <c r="F978" s="29">
        <v>8.99</v>
      </c>
      <c r="G978" s="30" t="s">
        <v>39</v>
      </c>
      <c r="H978" s="27" t="s">
        <v>40</v>
      </c>
      <c r="I978" s="27" t="s">
        <v>41</v>
      </c>
      <c r="J978" s="27" t="s">
        <v>135</v>
      </c>
      <c r="K978" s="27" t="s">
        <v>73</v>
      </c>
      <c r="L978" s="31" t="s">
        <v>1905</v>
      </c>
      <c r="M978" s="32">
        <v>0.6</v>
      </c>
      <c r="N978" s="27" t="s">
        <v>33</v>
      </c>
      <c r="O978" s="27" t="s">
        <v>34</v>
      </c>
      <c r="P978" s="27" t="s">
        <v>400</v>
      </c>
      <c r="Q978" s="27" t="s">
        <v>507</v>
      </c>
      <c r="R978" s="33">
        <v>37918</v>
      </c>
      <c r="S978" s="34">
        <v>42092</v>
      </c>
      <c r="T978" s="34">
        <v>42095</v>
      </c>
      <c r="U978" s="29">
        <v>97.86</v>
      </c>
      <c r="V978" s="26">
        <v>5</v>
      </c>
      <c r="W978" s="29">
        <v>292.23</v>
      </c>
      <c r="X978" s="26">
        <v>89524</v>
      </c>
      <c r="Y978" s="35">
        <v>65.97999999999999</v>
      </c>
      <c r="Z978" s="1" t="s">
        <v>3011</v>
      </c>
      <c r="AA978" s="36">
        <v>3.2994999999999997</v>
      </c>
      <c r="AB978" s="54">
        <v>116.89200000000001</v>
      </c>
      <c r="AC978" s="54">
        <v>35.067599999999999</v>
      </c>
      <c r="AD978" s="36">
        <v>182.08050000000003</v>
      </c>
    </row>
    <row r="979" spans="1:30" s="37" customFormat="1" ht="15.75" customHeight="1" x14ac:dyDescent="0.2">
      <c r="A979" s="26">
        <v>2530</v>
      </c>
      <c r="B979" s="27" t="s">
        <v>1907</v>
      </c>
      <c r="C979" s="27" t="s">
        <v>38</v>
      </c>
      <c r="D979" s="28">
        <v>0.04</v>
      </c>
      <c r="E979" s="29">
        <v>40.98</v>
      </c>
      <c r="F979" s="29">
        <v>6.5</v>
      </c>
      <c r="G979" s="30" t="s">
        <v>39</v>
      </c>
      <c r="H979" s="27" t="s">
        <v>3095</v>
      </c>
      <c r="I979" s="27" t="s">
        <v>41</v>
      </c>
      <c r="J979" s="27" t="s">
        <v>42</v>
      </c>
      <c r="K979" s="27" t="s">
        <v>73</v>
      </c>
      <c r="L979" s="31" t="s">
        <v>446</v>
      </c>
      <c r="M979" s="32">
        <v>0.74</v>
      </c>
      <c r="N979" s="27" t="s">
        <v>33</v>
      </c>
      <c r="O979" s="27" t="s">
        <v>60</v>
      </c>
      <c r="P979" s="27" t="s">
        <v>90</v>
      </c>
      <c r="Q979" s="27" t="s">
        <v>1908</v>
      </c>
      <c r="R979" s="33">
        <v>92307</v>
      </c>
      <c r="S979" s="34">
        <v>42092</v>
      </c>
      <c r="T979" s="34">
        <v>42093</v>
      </c>
      <c r="U979" s="29">
        <v>-89.5</v>
      </c>
      <c r="V979" s="26">
        <v>7</v>
      </c>
      <c r="W979" s="29">
        <v>277.07</v>
      </c>
      <c r="X979" s="26">
        <v>87451</v>
      </c>
      <c r="Y979" s="35">
        <v>6.65</v>
      </c>
      <c r="Z979" s="1" t="s">
        <v>3013</v>
      </c>
      <c r="AA979" s="36">
        <v>11.474399999999999</v>
      </c>
      <c r="AB979" s="54">
        <v>72.038200000000003</v>
      </c>
      <c r="AC979" s="54">
        <v>29.29025714285714</v>
      </c>
      <c r="AD979" s="36">
        <v>348.59559999999999</v>
      </c>
    </row>
    <row r="980" spans="1:30" s="37" customFormat="1" ht="15.75" customHeight="1" x14ac:dyDescent="0.2">
      <c r="A980" s="26">
        <v>2430</v>
      </c>
      <c r="B980" s="27" t="s">
        <v>1837</v>
      </c>
      <c r="C980" s="27" t="s">
        <v>48</v>
      </c>
      <c r="D980" s="28">
        <v>0.03</v>
      </c>
      <c r="E980" s="29">
        <v>140.99</v>
      </c>
      <c r="F980" s="29">
        <v>4.2</v>
      </c>
      <c r="G980" s="30" t="s">
        <v>39</v>
      </c>
      <c r="H980" s="27" t="s">
        <v>71</v>
      </c>
      <c r="I980" s="27" t="s">
        <v>41</v>
      </c>
      <c r="J980" s="27" t="s">
        <v>135</v>
      </c>
      <c r="K980" s="27" t="s">
        <v>73</v>
      </c>
      <c r="L980" s="31" t="s">
        <v>1911</v>
      </c>
      <c r="M980" s="32">
        <v>0.59</v>
      </c>
      <c r="N980" s="27" t="s">
        <v>33</v>
      </c>
      <c r="O980" s="27" t="s">
        <v>53</v>
      </c>
      <c r="P980" s="27" t="s">
        <v>187</v>
      </c>
      <c r="Q980" s="27" t="s">
        <v>1838</v>
      </c>
      <c r="R980" s="33">
        <v>76541</v>
      </c>
      <c r="S980" s="34">
        <v>42092</v>
      </c>
      <c r="T980" s="34">
        <v>42100</v>
      </c>
      <c r="U980" s="29">
        <v>-458.74400000000003</v>
      </c>
      <c r="V980" s="26">
        <v>2</v>
      </c>
      <c r="W980" s="29">
        <v>246.44</v>
      </c>
      <c r="X980" s="26">
        <v>91110</v>
      </c>
      <c r="Y980" s="35">
        <v>40.94</v>
      </c>
      <c r="Z980" s="1" t="s">
        <v>3012</v>
      </c>
      <c r="AA980" s="36">
        <v>8.4594000000000005</v>
      </c>
      <c r="AB980" s="54">
        <v>101.04040000000001</v>
      </c>
      <c r="AC980" s="54">
        <v>72.699799999999996</v>
      </c>
      <c r="AD980" s="36">
        <v>692.52459999999996</v>
      </c>
    </row>
    <row r="981" spans="1:30" s="37" customFormat="1" ht="15.75" customHeight="1" x14ac:dyDescent="0.2">
      <c r="A981" s="26">
        <v>1129</v>
      </c>
      <c r="B981" s="27" t="s">
        <v>786</v>
      </c>
      <c r="C981" s="27" t="s">
        <v>3094</v>
      </c>
      <c r="D981" s="28">
        <v>0.05</v>
      </c>
      <c r="E981" s="29">
        <v>5.78</v>
      </c>
      <c r="F981" s="29">
        <v>7.64</v>
      </c>
      <c r="G981" s="30" t="s">
        <v>87</v>
      </c>
      <c r="H981" s="27" t="s">
        <v>94</v>
      </c>
      <c r="I981" s="27" t="s">
        <v>49</v>
      </c>
      <c r="J981" s="27" t="s">
        <v>88</v>
      </c>
      <c r="K981" s="27" t="s">
        <v>73</v>
      </c>
      <c r="L981" s="31" t="s">
        <v>1915</v>
      </c>
      <c r="M981" s="32">
        <v>0.36</v>
      </c>
      <c r="N981" s="27" t="s">
        <v>33</v>
      </c>
      <c r="O981" s="27" t="s">
        <v>111</v>
      </c>
      <c r="P981" s="27" t="s">
        <v>403</v>
      </c>
      <c r="Q981" s="27" t="s">
        <v>788</v>
      </c>
      <c r="R981" s="33">
        <v>2118</v>
      </c>
      <c r="S981" s="34">
        <v>42092</v>
      </c>
      <c r="T981" s="34">
        <v>42094</v>
      </c>
      <c r="U981" s="29">
        <v>-116.05</v>
      </c>
      <c r="V981" s="26">
        <v>29</v>
      </c>
      <c r="W981" s="29">
        <v>177.41</v>
      </c>
      <c r="X981" s="26">
        <v>49125</v>
      </c>
      <c r="Y981" s="35">
        <v>35.940000000000005</v>
      </c>
      <c r="Z981" s="1" t="s">
        <v>3014</v>
      </c>
      <c r="AA981" s="36">
        <v>8.3810000000000002</v>
      </c>
      <c r="AB981" s="54">
        <v>113.5424</v>
      </c>
      <c r="AC981" s="54">
        <v>2.2023310344827585</v>
      </c>
      <c r="AD981" s="36">
        <v>277.43899999999996</v>
      </c>
    </row>
    <row r="982" spans="1:30" s="37" customFormat="1" ht="15.75" customHeight="1" x14ac:dyDescent="0.2">
      <c r="A982" s="26">
        <v>2534</v>
      </c>
      <c r="B982" s="27" t="s">
        <v>1909</v>
      </c>
      <c r="C982" s="27" t="s">
        <v>38</v>
      </c>
      <c r="D982" s="28">
        <v>0.05</v>
      </c>
      <c r="E982" s="29">
        <v>35.99</v>
      </c>
      <c r="F982" s="29">
        <v>3.3</v>
      </c>
      <c r="G982" s="30" t="s">
        <v>39</v>
      </c>
      <c r="H982" s="27" t="s">
        <v>3095</v>
      </c>
      <c r="I982" s="27" t="s">
        <v>41</v>
      </c>
      <c r="J982" s="27" t="s">
        <v>135</v>
      </c>
      <c r="K982" s="27" t="s">
        <v>43</v>
      </c>
      <c r="L982" s="31" t="s">
        <v>1910</v>
      </c>
      <c r="M982" s="32">
        <v>0.39</v>
      </c>
      <c r="N982" s="27" t="s">
        <v>33</v>
      </c>
      <c r="O982" s="27" t="s">
        <v>111</v>
      </c>
      <c r="P982" s="27" t="s">
        <v>331</v>
      </c>
      <c r="Q982" s="27" t="s">
        <v>887</v>
      </c>
      <c r="R982" s="33">
        <v>4401</v>
      </c>
      <c r="S982" s="34">
        <v>42092</v>
      </c>
      <c r="T982" s="34">
        <v>42094</v>
      </c>
      <c r="U982" s="29">
        <v>103.2723</v>
      </c>
      <c r="V982" s="26">
        <v>5</v>
      </c>
      <c r="W982" s="29">
        <v>149.66999999999999</v>
      </c>
      <c r="X982" s="26">
        <v>87451</v>
      </c>
      <c r="Y982" s="35">
        <v>99.22</v>
      </c>
      <c r="Z982" s="1" t="s">
        <v>3014</v>
      </c>
      <c r="AA982" s="36">
        <v>8.9975000000000005</v>
      </c>
      <c r="AB982" s="54">
        <v>91.298699999999997</v>
      </c>
      <c r="AC982" s="54">
        <v>11.67426</v>
      </c>
      <c r="AD982" s="36">
        <v>34.100199999999987</v>
      </c>
    </row>
    <row r="983" spans="1:30" s="37" customFormat="1" ht="15.75" customHeight="1" x14ac:dyDescent="0.2">
      <c r="A983" s="26">
        <v>3151</v>
      </c>
      <c r="B983" s="27" t="s">
        <v>953</v>
      </c>
      <c r="C983" s="27" t="s">
        <v>38</v>
      </c>
      <c r="D983" s="28">
        <v>0.01</v>
      </c>
      <c r="E983" s="29">
        <v>99.23</v>
      </c>
      <c r="F983" s="29">
        <v>8.99</v>
      </c>
      <c r="G983" s="30" t="s">
        <v>39</v>
      </c>
      <c r="H983" s="27" t="s">
        <v>94</v>
      </c>
      <c r="I983" s="27" t="s">
        <v>29</v>
      </c>
      <c r="J983" s="27" t="s">
        <v>126</v>
      </c>
      <c r="K983" s="27" t="s">
        <v>43</v>
      </c>
      <c r="L983" s="31" t="s">
        <v>127</v>
      </c>
      <c r="M983" s="32">
        <v>0.35</v>
      </c>
      <c r="N983" s="27" t="s">
        <v>33</v>
      </c>
      <c r="O983" s="27" t="s">
        <v>60</v>
      </c>
      <c r="P983" s="27" t="s">
        <v>90</v>
      </c>
      <c r="Q983" s="27" t="s">
        <v>954</v>
      </c>
      <c r="R983" s="33">
        <v>92277</v>
      </c>
      <c r="S983" s="34">
        <v>42092</v>
      </c>
      <c r="T983" s="34">
        <v>42096</v>
      </c>
      <c r="U983" s="29">
        <v>-87.46</v>
      </c>
      <c r="V983" s="26">
        <v>1</v>
      </c>
      <c r="W983" s="29">
        <v>99.22</v>
      </c>
      <c r="X983" s="26">
        <v>88548</v>
      </c>
      <c r="Y983" s="35">
        <v>140.96</v>
      </c>
      <c r="Z983" s="1" t="s">
        <v>3013</v>
      </c>
      <c r="AA983" s="36">
        <v>0.99230000000000007</v>
      </c>
      <c r="AB983" s="54">
        <v>64.492999999999995</v>
      </c>
      <c r="AC983" s="54">
        <v>34.726999999999997</v>
      </c>
      <c r="AD983" s="36">
        <v>176.6977</v>
      </c>
    </row>
    <row r="984" spans="1:30" s="37" customFormat="1" ht="15.75" customHeight="1" x14ac:dyDescent="0.2">
      <c r="A984" s="26">
        <v>2338</v>
      </c>
      <c r="B984" s="27" t="s">
        <v>458</v>
      </c>
      <c r="C984" s="27" t="s">
        <v>38</v>
      </c>
      <c r="D984" s="28">
        <v>0.1</v>
      </c>
      <c r="E984" s="29">
        <v>6.75</v>
      </c>
      <c r="F984" s="29">
        <v>2.99</v>
      </c>
      <c r="G984" s="30" t="s">
        <v>39</v>
      </c>
      <c r="H984" s="27" t="s">
        <v>71</v>
      </c>
      <c r="I984" s="27" t="s">
        <v>49</v>
      </c>
      <c r="J984" s="27" t="s">
        <v>72</v>
      </c>
      <c r="K984" s="27" t="s">
        <v>73</v>
      </c>
      <c r="L984" s="31" t="s">
        <v>1906</v>
      </c>
      <c r="M984" s="32">
        <v>0.35</v>
      </c>
      <c r="N984" s="27" t="s">
        <v>33</v>
      </c>
      <c r="O984" s="27" t="s">
        <v>111</v>
      </c>
      <c r="P984" s="27" t="s">
        <v>418</v>
      </c>
      <c r="Q984" s="27" t="s">
        <v>460</v>
      </c>
      <c r="R984" s="33">
        <v>20740</v>
      </c>
      <c r="S984" s="34">
        <v>42092</v>
      </c>
      <c r="T984" s="34">
        <v>42092</v>
      </c>
      <c r="U984" s="29">
        <v>18.147500000000001</v>
      </c>
      <c r="V984" s="26">
        <v>15</v>
      </c>
      <c r="W984" s="29">
        <v>96.13</v>
      </c>
      <c r="X984" s="26">
        <v>91481</v>
      </c>
      <c r="Y984" s="35">
        <v>7.01</v>
      </c>
      <c r="Z984" s="1" t="s">
        <v>3014</v>
      </c>
      <c r="AA984" s="36">
        <v>10.125</v>
      </c>
      <c r="AB984" s="54">
        <v>62.484499999999997</v>
      </c>
      <c r="AC984" s="54">
        <v>2.243033333333333</v>
      </c>
      <c r="AD984" s="36">
        <v>64.867499999999993</v>
      </c>
    </row>
    <row r="985" spans="1:30" s="37" customFormat="1" ht="15.75" customHeight="1" x14ac:dyDescent="0.2">
      <c r="A985" s="26">
        <v>1028</v>
      </c>
      <c r="B985" s="27" t="s">
        <v>1912</v>
      </c>
      <c r="C985" s="27" t="s">
        <v>116</v>
      </c>
      <c r="D985" s="28">
        <v>7.0000000000000007E-2</v>
      </c>
      <c r="E985" s="29">
        <v>7.08</v>
      </c>
      <c r="F985" s="29">
        <v>2.35</v>
      </c>
      <c r="G985" s="30" t="s">
        <v>87</v>
      </c>
      <c r="H985" s="27" t="s">
        <v>3095</v>
      </c>
      <c r="I985" s="27" t="s">
        <v>49</v>
      </c>
      <c r="J985" s="27" t="s">
        <v>50</v>
      </c>
      <c r="K985" s="27" t="s">
        <v>51</v>
      </c>
      <c r="L985" s="31" t="s">
        <v>1913</v>
      </c>
      <c r="M985" s="32">
        <v>0.47</v>
      </c>
      <c r="N985" s="27" t="s">
        <v>33</v>
      </c>
      <c r="O985" s="27" t="s">
        <v>111</v>
      </c>
      <c r="P985" s="27" t="s">
        <v>112</v>
      </c>
      <c r="Q985" s="27" t="s">
        <v>1914</v>
      </c>
      <c r="R985" s="33">
        <v>11725</v>
      </c>
      <c r="S985" s="34">
        <v>42092</v>
      </c>
      <c r="T985" s="34">
        <v>42093</v>
      </c>
      <c r="U985" s="29">
        <v>30.49</v>
      </c>
      <c r="V985" s="26">
        <v>13</v>
      </c>
      <c r="W985" s="29">
        <v>93.82</v>
      </c>
      <c r="X985" s="26">
        <v>89006</v>
      </c>
      <c r="Y985" s="35">
        <v>5.73</v>
      </c>
      <c r="Z985" s="1" t="s">
        <v>3014</v>
      </c>
      <c r="AA985" s="36">
        <v>6.4428000000000001</v>
      </c>
      <c r="AB985" s="54">
        <v>49.724600000000002</v>
      </c>
      <c r="AC985" s="54">
        <v>3.3919538461538457</v>
      </c>
      <c r="AD985" s="36">
        <v>54.537199999999999</v>
      </c>
    </row>
    <row r="986" spans="1:30" s="37" customFormat="1" ht="15.75" customHeight="1" x14ac:dyDescent="0.2">
      <c r="A986" s="26">
        <v>3399</v>
      </c>
      <c r="B986" s="27" t="s">
        <v>1919</v>
      </c>
      <c r="C986" s="27" t="s">
        <v>3094</v>
      </c>
      <c r="D986" s="28">
        <v>0.08</v>
      </c>
      <c r="E986" s="29">
        <v>11.97</v>
      </c>
      <c r="F986" s="29">
        <v>5.81</v>
      </c>
      <c r="G986" s="30" t="s">
        <v>39</v>
      </c>
      <c r="H986" s="27" t="s">
        <v>3095</v>
      </c>
      <c r="I986" s="27" t="s">
        <v>49</v>
      </c>
      <c r="J986" s="27" t="s">
        <v>50</v>
      </c>
      <c r="K986" s="27" t="s">
        <v>43</v>
      </c>
      <c r="L986" s="31" t="s">
        <v>1812</v>
      </c>
      <c r="M986" s="32">
        <v>0.6</v>
      </c>
      <c r="N986" s="27" t="s">
        <v>33</v>
      </c>
      <c r="O986" s="27" t="s">
        <v>53</v>
      </c>
      <c r="P986" s="27" t="s">
        <v>103</v>
      </c>
      <c r="Q986" s="27" t="s">
        <v>1581</v>
      </c>
      <c r="R986" s="33">
        <v>60016</v>
      </c>
      <c r="S986" s="34">
        <v>42092</v>
      </c>
      <c r="T986" s="34">
        <v>42094</v>
      </c>
      <c r="U986" s="29">
        <v>-41.87</v>
      </c>
      <c r="V986" s="26">
        <v>5</v>
      </c>
      <c r="W986" s="29">
        <v>59.98</v>
      </c>
      <c r="X986" s="26">
        <v>87534</v>
      </c>
      <c r="Y986" s="35">
        <v>7.36</v>
      </c>
      <c r="Z986" s="1" t="s">
        <v>3012</v>
      </c>
      <c r="AA986" s="36">
        <v>4.7880000000000003</v>
      </c>
      <c r="AB986" s="54">
        <v>23.992000000000001</v>
      </c>
      <c r="AC986" s="54">
        <v>7.1975999999999987</v>
      </c>
      <c r="AD986" s="36">
        <v>91.251999999999995</v>
      </c>
    </row>
    <row r="987" spans="1:30" s="37" customFormat="1" ht="15.75" customHeight="1" x14ac:dyDescent="0.2">
      <c r="A987" s="26">
        <v>1237</v>
      </c>
      <c r="B987" s="27" t="s">
        <v>1916</v>
      </c>
      <c r="C987" s="27" t="s">
        <v>3094</v>
      </c>
      <c r="D987" s="28">
        <v>0.02</v>
      </c>
      <c r="E987" s="29">
        <v>7.38</v>
      </c>
      <c r="F987" s="29">
        <v>5.21</v>
      </c>
      <c r="G987" s="30" t="s">
        <v>39</v>
      </c>
      <c r="H987" s="27" t="s">
        <v>94</v>
      </c>
      <c r="I987" s="27" t="s">
        <v>29</v>
      </c>
      <c r="J987" s="27" t="s">
        <v>126</v>
      </c>
      <c r="K987" s="27" t="s">
        <v>73</v>
      </c>
      <c r="L987" s="31" t="s">
        <v>1917</v>
      </c>
      <c r="M987" s="32">
        <v>0.56000000000000005</v>
      </c>
      <c r="N987" s="27" t="s">
        <v>33</v>
      </c>
      <c r="O987" s="27" t="s">
        <v>53</v>
      </c>
      <c r="P987" s="27" t="s">
        <v>187</v>
      </c>
      <c r="Q987" s="27" t="s">
        <v>1918</v>
      </c>
      <c r="R987" s="33">
        <v>75007</v>
      </c>
      <c r="S987" s="34">
        <v>42092</v>
      </c>
      <c r="T987" s="34">
        <v>42093</v>
      </c>
      <c r="U987" s="29">
        <v>7.74</v>
      </c>
      <c r="V987" s="26">
        <v>3</v>
      </c>
      <c r="W987" s="29">
        <v>24.52</v>
      </c>
      <c r="X987" s="26">
        <v>86076</v>
      </c>
      <c r="Y987" s="35">
        <v>11.89</v>
      </c>
      <c r="Z987" s="1" t="s">
        <v>3012</v>
      </c>
      <c r="AA987" s="36">
        <v>0.44280000000000003</v>
      </c>
      <c r="AB987" s="54">
        <v>10.788799999999998</v>
      </c>
      <c r="AC987" s="54">
        <v>4.5770666666666671</v>
      </c>
      <c r="AD987" s="36">
        <v>11.1272</v>
      </c>
    </row>
    <row r="988" spans="1:30" s="37" customFormat="1" ht="15.75" customHeight="1" x14ac:dyDescent="0.2">
      <c r="A988" s="26">
        <v>84</v>
      </c>
      <c r="B988" s="27" t="s">
        <v>933</v>
      </c>
      <c r="C988" s="27" t="s">
        <v>38</v>
      </c>
      <c r="D988" s="28">
        <v>0.08</v>
      </c>
      <c r="E988" s="29">
        <v>896.99</v>
      </c>
      <c r="F988" s="29">
        <v>19.989999999999998</v>
      </c>
      <c r="G988" s="30" t="s">
        <v>39</v>
      </c>
      <c r="H988" s="27" t="s">
        <v>94</v>
      </c>
      <c r="I988" s="27" t="s">
        <v>49</v>
      </c>
      <c r="J988" s="27" t="s">
        <v>72</v>
      </c>
      <c r="K988" s="27" t="s">
        <v>73</v>
      </c>
      <c r="L988" s="31" t="s">
        <v>323</v>
      </c>
      <c r="M988" s="32">
        <v>0.38</v>
      </c>
      <c r="N988" s="27" t="s">
        <v>33</v>
      </c>
      <c r="O988" s="27" t="s">
        <v>111</v>
      </c>
      <c r="P988" s="27" t="s">
        <v>317</v>
      </c>
      <c r="Q988" s="27" t="s">
        <v>934</v>
      </c>
      <c r="R988" s="33">
        <v>45231</v>
      </c>
      <c r="S988" s="34">
        <v>42093</v>
      </c>
      <c r="T988" s="34">
        <v>42096</v>
      </c>
      <c r="U988" s="29">
        <v>7402.32</v>
      </c>
      <c r="V988" s="26">
        <v>13</v>
      </c>
      <c r="W988" s="29">
        <v>10728</v>
      </c>
      <c r="X988" s="26">
        <v>87366</v>
      </c>
      <c r="Y988" s="35">
        <v>6.4</v>
      </c>
      <c r="Z988" s="1" t="s">
        <v>3014</v>
      </c>
      <c r="AA988" s="36">
        <v>932.8696000000001</v>
      </c>
      <c r="AB988" s="54">
        <v>6651.36</v>
      </c>
      <c r="AC988" s="54">
        <v>313.58769230769235</v>
      </c>
      <c r="AD988" s="36">
        <v>2372.8204000000005</v>
      </c>
    </row>
    <row r="989" spans="1:30" s="37" customFormat="1" ht="15.75" customHeight="1" x14ac:dyDescent="0.2">
      <c r="A989" s="26">
        <v>1527</v>
      </c>
      <c r="B989" s="27" t="s">
        <v>338</v>
      </c>
      <c r="C989" s="27" t="s">
        <v>48</v>
      </c>
      <c r="D989" s="28">
        <v>0.03</v>
      </c>
      <c r="E989" s="29">
        <v>65.989999999999995</v>
      </c>
      <c r="F989" s="29">
        <v>5.26</v>
      </c>
      <c r="G989" s="30" t="s">
        <v>39</v>
      </c>
      <c r="H989" s="27" t="s">
        <v>71</v>
      </c>
      <c r="I989" s="27" t="s">
        <v>41</v>
      </c>
      <c r="J989" s="27" t="s">
        <v>135</v>
      </c>
      <c r="K989" s="27" t="s">
        <v>73</v>
      </c>
      <c r="L989" s="31" t="s">
        <v>1725</v>
      </c>
      <c r="M989" s="32">
        <v>0.56000000000000005</v>
      </c>
      <c r="N989" s="27" t="s">
        <v>33</v>
      </c>
      <c r="O989" s="27" t="s">
        <v>34</v>
      </c>
      <c r="P989" s="27" t="s">
        <v>164</v>
      </c>
      <c r="Q989" s="27" t="s">
        <v>340</v>
      </c>
      <c r="R989" s="33">
        <v>35601</v>
      </c>
      <c r="S989" s="34">
        <v>42093</v>
      </c>
      <c r="T989" s="34">
        <v>42103</v>
      </c>
      <c r="U989" s="29">
        <v>-52.247999999999998</v>
      </c>
      <c r="V989" s="26">
        <v>23</v>
      </c>
      <c r="W989" s="29">
        <v>1316.03</v>
      </c>
      <c r="X989" s="26">
        <v>86814</v>
      </c>
      <c r="Y989" s="35">
        <v>21.34</v>
      </c>
      <c r="Z989" s="1" t="s">
        <v>3011</v>
      </c>
      <c r="AA989" s="36">
        <v>45.533099999999997</v>
      </c>
      <c r="AB989" s="54">
        <v>579.05319999999995</v>
      </c>
      <c r="AC989" s="54">
        <v>32.042469565217395</v>
      </c>
      <c r="AD989" s="36">
        <v>1317.4848999999999</v>
      </c>
    </row>
    <row r="990" spans="1:30" s="37" customFormat="1" ht="15.75" customHeight="1" x14ac:dyDescent="0.2">
      <c r="A990" s="26">
        <v>271</v>
      </c>
      <c r="B990" s="27" t="s">
        <v>1930</v>
      </c>
      <c r="C990" s="27" t="s">
        <v>116</v>
      </c>
      <c r="D990" s="28">
        <v>0.1</v>
      </c>
      <c r="E990" s="29">
        <v>80.97</v>
      </c>
      <c r="F990" s="29">
        <v>30.06</v>
      </c>
      <c r="G990" s="30" t="s">
        <v>27</v>
      </c>
      <c r="H990" s="27" t="s">
        <v>3095</v>
      </c>
      <c r="I990" s="27" t="s">
        <v>41</v>
      </c>
      <c r="J990" s="27" t="s">
        <v>57</v>
      </c>
      <c r="K990" s="27" t="s">
        <v>31</v>
      </c>
      <c r="L990" s="31" t="s">
        <v>1152</v>
      </c>
      <c r="M990" s="32">
        <v>0.4</v>
      </c>
      <c r="N990" s="27" t="s">
        <v>33</v>
      </c>
      <c r="O990" s="27" t="s">
        <v>34</v>
      </c>
      <c r="P990" s="27" t="s">
        <v>75</v>
      </c>
      <c r="Q990" s="27" t="s">
        <v>1759</v>
      </c>
      <c r="R990" s="33">
        <v>30297</v>
      </c>
      <c r="S990" s="34">
        <v>42093</v>
      </c>
      <c r="T990" s="34">
        <v>42094</v>
      </c>
      <c r="U990" s="29">
        <v>128.02529999999999</v>
      </c>
      <c r="V990" s="26">
        <v>12</v>
      </c>
      <c r="W990" s="29">
        <v>899.81</v>
      </c>
      <c r="X990" s="26">
        <v>88940</v>
      </c>
      <c r="Y990" s="35">
        <v>11.33</v>
      </c>
      <c r="Z990" s="1" t="s">
        <v>3011</v>
      </c>
      <c r="AA990" s="36">
        <v>97.163999999999987</v>
      </c>
      <c r="AB990" s="54">
        <v>539.88599999999997</v>
      </c>
      <c r="AC990" s="54">
        <v>29.99366666666667</v>
      </c>
      <c r="AD990" s="36">
        <v>644.5607</v>
      </c>
    </row>
    <row r="991" spans="1:30" s="37" customFormat="1" ht="15.75" customHeight="1" x14ac:dyDescent="0.2">
      <c r="A991" s="26">
        <v>1840</v>
      </c>
      <c r="B991" s="27" t="s">
        <v>1935</v>
      </c>
      <c r="C991" s="27" t="s">
        <v>3094</v>
      </c>
      <c r="D991" s="28">
        <v>7.0000000000000007E-2</v>
      </c>
      <c r="E991" s="29">
        <v>40.98</v>
      </c>
      <c r="F991" s="29">
        <v>2.99</v>
      </c>
      <c r="G991" s="30" t="s">
        <v>39</v>
      </c>
      <c r="H991" s="27" t="s">
        <v>71</v>
      </c>
      <c r="I991" s="27" t="s">
        <v>49</v>
      </c>
      <c r="J991" s="27" t="s">
        <v>72</v>
      </c>
      <c r="K991" s="27" t="s">
        <v>73</v>
      </c>
      <c r="L991" s="31" t="s">
        <v>83</v>
      </c>
      <c r="M991" s="32">
        <v>0.36</v>
      </c>
      <c r="N991" s="27" t="s">
        <v>33</v>
      </c>
      <c r="O991" s="27" t="s">
        <v>111</v>
      </c>
      <c r="P991" s="27" t="s">
        <v>403</v>
      </c>
      <c r="Q991" s="27" t="s">
        <v>1936</v>
      </c>
      <c r="R991" s="33">
        <v>1469</v>
      </c>
      <c r="S991" s="34">
        <v>42093</v>
      </c>
      <c r="T991" s="34">
        <v>42095</v>
      </c>
      <c r="U991" s="29">
        <v>369.20519999999999</v>
      </c>
      <c r="V991" s="26">
        <v>13</v>
      </c>
      <c r="W991" s="29">
        <v>535.08000000000004</v>
      </c>
      <c r="X991" s="26">
        <v>86599</v>
      </c>
      <c r="Y991" s="35">
        <v>896.91</v>
      </c>
      <c r="Z991" s="1" t="s">
        <v>3014</v>
      </c>
      <c r="AA991" s="36">
        <v>37.291800000000002</v>
      </c>
      <c r="AB991" s="54">
        <v>342.45120000000003</v>
      </c>
      <c r="AC991" s="54">
        <v>14.817600000000001</v>
      </c>
      <c r="AD991" s="36">
        <v>125.59300000000002</v>
      </c>
    </row>
    <row r="992" spans="1:30" s="37" customFormat="1" ht="15.75" customHeight="1" x14ac:dyDescent="0.2">
      <c r="A992" s="26">
        <v>3154</v>
      </c>
      <c r="B992" s="27" t="s">
        <v>781</v>
      </c>
      <c r="C992" s="27" t="s">
        <v>26</v>
      </c>
      <c r="D992" s="28">
        <v>0.04</v>
      </c>
      <c r="E992" s="29">
        <v>21.38</v>
      </c>
      <c r="F992" s="29">
        <v>8.99</v>
      </c>
      <c r="G992" s="30" t="s">
        <v>39</v>
      </c>
      <c r="H992" s="27" t="s">
        <v>94</v>
      </c>
      <c r="I992" s="27" t="s">
        <v>49</v>
      </c>
      <c r="J992" s="27" t="s">
        <v>50</v>
      </c>
      <c r="K992" s="27" t="s">
        <v>43</v>
      </c>
      <c r="L992" s="31" t="s">
        <v>1677</v>
      </c>
      <c r="M992" s="32">
        <v>0.59</v>
      </c>
      <c r="N992" s="27" t="s">
        <v>33</v>
      </c>
      <c r="O992" s="27" t="s">
        <v>34</v>
      </c>
      <c r="P992" s="27" t="s">
        <v>123</v>
      </c>
      <c r="Q992" s="27" t="s">
        <v>783</v>
      </c>
      <c r="R992" s="33">
        <v>33710</v>
      </c>
      <c r="S992" s="34">
        <v>42093</v>
      </c>
      <c r="T992" s="34">
        <v>42093</v>
      </c>
      <c r="U992" s="29">
        <v>-51.66</v>
      </c>
      <c r="V992" s="26">
        <v>21</v>
      </c>
      <c r="W992" s="29">
        <v>443.66</v>
      </c>
      <c r="X992" s="26">
        <v>86901</v>
      </c>
      <c r="Y992" s="35">
        <v>65.959999999999994</v>
      </c>
      <c r="Z992" s="1" t="s">
        <v>3011</v>
      </c>
      <c r="AA992" s="36">
        <v>17.959199999999999</v>
      </c>
      <c r="AB992" s="54">
        <v>181.90060000000003</v>
      </c>
      <c r="AC992" s="54">
        <v>12.464733333333333</v>
      </c>
      <c r="AD992" s="36">
        <v>468.37080000000003</v>
      </c>
    </row>
    <row r="993" spans="1:30" s="37" customFormat="1" ht="15.75" customHeight="1" x14ac:dyDescent="0.2">
      <c r="A993" s="26">
        <v>3206</v>
      </c>
      <c r="B993" s="27" t="s">
        <v>1926</v>
      </c>
      <c r="C993" s="27" t="s">
        <v>48</v>
      </c>
      <c r="D993" s="28">
        <v>0.01</v>
      </c>
      <c r="E993" s="29">
        <v>39.979999999999997</v>
      </c>
      <c r="F993" s="29">
        <v>4</v>
      </c>
      <c r="G993" s="30" t="s">
        <v>39</v>
      </c>
      <c r="H993" s="27" t="s">
        <v>40</v>
      </c>
      <c r="I993" s="27" t="s">
        <v>41</v>
      </c>
      <c r="J993" s="27" t="s">
        <v>42</v>
      </c>
      <c r="K993" s="27" t="s">
        <v>73</v>
      </c>
      <c r="L993" s="31" t="s">
        <v>1927</v>
      </c>
      <c r="M993" s="32">
        <v>0.7</v>
      </c>
      <c r="N993" s="27" t="s">
        <v>33</v>
      </c>
      <c r="O993" s="27" t="s">
        <v>60</v>
      </c>
      <c r="P993" s="27" t="s">
        <v>490</v>
      </c>
      <c r="Q993" s="27" t="s">
        <v>1928</v>
      </c>
      <c r="R993" s="33">
        <v>83301</v>
      </c>
      <c r="S993" s="34">
        <v>42093</v>
      </c>
      <c r="T993" s="34">
        <v>42098</v>
      </c>
      <c r="U993" s="29">
        <v>51.59</v>
      </c>
      <c r="V993" s="26">
        <v>6</v>
      </c>
      <c r="W993" s="29">
        <v>257.52</v>
      </c>
      <c r="X993" s="26">
        <v>87933</v>
      </c>
      <c r="Y993" s="35">
        <v>5.91</v>
      </c>
      <c r="Z993" s="1" t="s">
        <v>3013</v>
      </c>
      <c r="AA993" s="36">
        <v>2.3988</v>
      </c>
      <c r="AB993" s="54">
        <v>77.256</v>
      </c>
      <c r="AC993" s="54">
        <v>30.043999999999993</v>
      </c>
      <c r="AD993" s="36">
        <v>199.53119999999998</v>
      </c>
    </row>
    <row r="994" spans="1:30" s="37" customFormat="1" ht="15.75" customHeight="1" x14ac:dyDescent="0.2">
      <c r="A994" s="26">
        <v>1314</v>
      </c>
      <c r="B994" s="27" t="s">
        <v>223</v>
      </c>
      <c r="C994" s="27" t="s">
        <v>116</v>
      </c>
      <c r="D994" s="28">
        <v>0.04</v>
      </c>
      <c r="E994" s="29">
        <v>5.34</v>
      </c>
      <c r="F994" s="29">
        <v>2.99</v>
      </c>
      <c r="G994" s="30" t="s">
        <v>39</v>
      </c>
      <c r="H994" s="27" t="s">
        <v>71</v>
      </c>
      <c r="I994" s="27" t="s">
        <v>49</v>
      </c>
      <c r="J994" s="27" t="s">
        <v>72</v>
      </c>
      <c r="K994" s="27" t="s">
        <v>73</v>
      </c>
      <c r="L994" s="31" t="s">
        <v>1378</v>
      </c>
      <c r="M994" s="32">
        <v>0.38</v>
      </c>
      <c r="N994" s="27" t="s">
        <v>33</v>
      </c>
      <c r="O994" s="27" t="s">
        <v>60</v>
      </c>
      <c r="P994" s="27" t="s">
        <v>90</v>
      </c>
      <c r="Q994" s="27" t="s">
        <v>100</v>
      </c>
      <c r="R994" s="33">
        <v>90058</v>
      </c>
      <c r="S994" s="34">
        <v>42093</v>
      </c>
      <c r="T994" s="34">
        <v>42095</v>
      </c>
      <c r="U994" s="29">
        <v>3.4510000000000001</v>
      </c>
      <c r="V994" s="26">
        <v>45</v>
      </c>
      <c r="W994" s="29">
        <v>240.6</v>
      </c>
      <c r="X994" s="26">
        <v>22755</v>
      </c>
      <c r="Y994" s="35">
        <v>39.97</v>
      </c>
      <c r="Z994" s="1" t="s">
        <v>3013</v>
      </c>
      <c r="AA994" s="36">
        <v>9.6120000000000001</v>
      </c>
      <c r="AB994" s="54">
        <v>149.172</v>
      </c>
      <c r="AC994" s="54">
        <v>2.0317333333333334</v>
      </c>
      <c r="AD994" s="36">
        <v>224.547</v>
      </c>
    </row>
    <row r="995" spans="1:30" s="37" customFormat="1" ht="15.75" customHeight="1" x14ac:dyDescent="0.2">
      <c r="A995" s="26">
        <v>1314</v>
      </c>
      <c r="B995" s="27" t="s">
        <v>223</v>
      </c>
      <c r="C995" s="27" t="s">
        <v>116</v>
      </c>
      <c r="D995" s="28">
        <v>0.06</v>
      </c>
      <c r="E995" s="29">
        <v>55.99</v>
      </c>
      <c r="F995" s="29">
        <v>5</v>
      </c>
      <c r="G995" s="30" t="s">
        <v>39</v>
      </c>
      <c r="H995" s="27" t="s">
        <v>71</v>
      </c>
      <c r="I995" s="27" t="s">
        <v>41</v>
      </c>
      <c r="J995" s="27" t="s">
        <v>135</v>
      </c>
      <c r="K995" s="27" t="s">
        <v>43</v>
      </c>
      <c r="L995" s="31" t="s">
        <v>1931</v>
      </c>
      <c r="M995" s="32">
        <v>0.8</v>
      </c>
      <c r="N995" s="27" t="s">
        <v>33</v>
      </c>
      <c r="O995" s="27" t="s">
        <v>60</v>
      </c>
      <c r="P995" s="27" t="s">
        <v>90</v>
      </c>
      <c r="Q995" s="27" t="s">
        <v>100</v>
      </c>
      <c r="R995" s="33">
        <v>90058</v>
      </c>
      <c r="S995" s="34">
        <v>42093</v>
      </c>
      <c r="T995" s="34">
        <v>42095</v>
      </c>
      <c r="U995" s="29">
        <v>-275.25299999999999</v>
      </c>
      <c r="V995" s="26">
        <v>5</v>
      </c>
      <c r="W995" s="29">
        <v>236.88</v>
      </c>
      <c r="X995" s="26">
        <v>22755</v>
      </c>
      <c r="Y995" s="35">
        <v>6.47</v>
      </c>
      <c r="Z995" s="1" t="s">
        <v>3013</v>
      </c>
      <c r="AA995" s="36">
        <v>16.797000000000001</v>
      </c>
      <c r="AB995" s="54">
        <v>47.375999999999991</v>
      </c>
      <c r="AC995" s="54">
        <v>37.900799999999997</v>
      </c>
      <c r="AD995" s="36">
        <v>490.33600000000001</v>
      </c>
    </row>
    <row r="996" spans="1:30" s="37" customFormat="1" ht="15.75" customHeight="1" x14ac:dyDescent="0.2">
      <c r="A996" s="26">
        <v>193</v>
      </c>
      <c r="B996" s="27" t="s">
        <v>179</v>
      </c>
      <c r="C996" s="27" t="s">
        <v>116</v>
      </c>
      <c r="D996" s="28">
        <v>7.0000000000000007E-2</v>
      </c>
      <c r="E996" s="29">
        <v>6.54</v>
      </c>
      <c r="F996" s="29">
        <v>5.27</v>
      </c>
      <c r="G996" s="30" t="s">
        <v>39</v>
      </c>
      <c r="H996" s="27" t="s">
        <v>94</v>
      </c>
      <c r="I996" s="27" t="s">
        <v>49</v>
      </c>
      <c r="J996" s="27" t="s">
        <v>72</v>
      </c>
      <c r="K996" s="27" t="s">
        <v>73</v>
      </c>
      <c r="L996" s="31" t="s">
        <v>1929</v>
      </c>
      <c r="M996" s="32">
        <v>0.36</v>
      </c>
      <c r="N996" s="27" t="s">
        <v>33</v>
      </c>
      <c r="O996" s="27" t="s">
        <v>60</v>
      </c>
      <c r="P996" s="27" t="s">
        <v>146</v>
      </c>
      <c r="Q996" s="27" t="s">
        <v>181</v>
      </c>
      <c r="R996" s="33">
        <v>84041</v>
      </c>
      <c r="S996" s="34">
        <v>42093</v>
      </c>
      <c r="T996" s="34">
        <v>42095</v>
      </c>
      <c r="U996" s="29">
        <v>-66.044499999999999</v>
      </c>
      <c r="V996" s="26">
        <v>21</v>
      </c>
      <c r="W996" s="29">
        <v>140.30000000000001</v>
      </c>
      <c r="X996" s="26">
        <v>90432</v>
      </c>
      <c r="Y996" s="35">
        <v>3.2</v>
      </c>
      <c r="Z996" s="1" t="s">
        <v>3013</v>
      </c>
      <c r="AA996" s="36">
        <v>9.6138000000000012</v>
      </c>
      <c r="AB996" s="54">
        <v>89.792000000000016</v>
      </c>
      <c r="AC996" s="54">
        <v>2.4051428571428572</v>
      </c>
      <c r="AD996" s="36">
        <v>191.46070000000003</v>
      </c>
    </row>
    <row r="997" spans="1:30" s="37" customFormat="1" ht="15.75" customHeight="1" x14ac:dyDescent="0.2">
      <c r="A997" s="26">
        <v>2351</v>
      </c>
      <c r="B997" s="27" t="s">
        <v>1920</v>
      </c>
      <c r="C997" s="27" t="s">
        <v>26</v>
      </c>
      <c r="D997" s="28">
        <v>0.08</v>
      </c>
      <c r="E997" s="29">
        <v>6.48</v>
      </c>
      <c r="F997" s="29">
        <v>7.49</v>
      </c>
      <c r="G997" s="30" t="s">
        <v>39</v>
      </c>
      <c r="H997" s="27" t="s">
        <v>94</v>
      </c>
      <c r="I997" s="27" t="s">
        <v>49</v>
      </c>
      <c r="J997" s="27" t="s">
        <v>88</v>
      </c>
      <c r="K997" s="27" t="s">
        <v>73</v>
      </c>
      <c r="L997" s="31" t="s">
        <v>1921</v>
      </c>
      <c r="M997" s="32">
        <v>0.37</v>
      </c>
      <c r="N997" s="27" t="s">
        <v>33</v>
      </c>
      <c r="O997" s="27" t="s">
        <v>111</v>
      </c>
      <c r="P997" s="27" t="s">
        <v>418</v>
      </c>
      <c r="Q997" s="27" t="s">
        <v>1922</v>
      </c>
      <c r="R997" s="33">
        <v>21114</v>
      </c>
      <c r="S997" s="34">
        <v>42093</v>
      </c>
      <c r="T997" s="34">
        <v>42096</v>
      </c>
      <c r="U997" s="29">
        <v>-119.32</v>
      </c>
      <c r="V997" s="26">
        <v>13</v>
      </c>
      <c r="W997" s="29">
        <v>80.86</v>
      </c>
      <c r="X997" s="26">
        <v>86163</v>
      </c>
      <c r="Y997" s="35">
        <v>80.87</v>
      </c>
      <c r="Z997" s="1" t="s">
        <v>3014</v>
      </c>
      <c r="AA997" s="36">
        <v>6.7392000000000012</v>
      </c>
      <c r="AB997" s="54">
        <v>50.941800000000001</v>
      </c>
      <c r="AC997" s="54">
        <v>2.3013999999999997</v>
      </c>
      <c r="AD997" s="36">
        <v>185.95080000000002</v>
      </c>
    </row>
    <row r="998" spans="1:30" s="37" customFormat="1" ht="15.75" customHeight="1" x14ac:dyDescent="0.2">
      <c r="A998" s="26">
        <v>194</v>
      </c>
      <c r="B998" s="27" t="s">
        <v>393</v>
      </c>
      <c r="C998" s="27" t="s">
        <v>116</v>
      </c>
      <c r="D998" s="28">
        <v>0.09</v>
      </c>
      <c r="E998" s="29">
        <v>3.29</v>
      </c>
      <c r="F998" s="29">
        <v>1.35</v>
      </c>
      <c r="G998" s="30" t="s">
        <v>39</v>
      </c>
      <c r="H998" s="27" t="s">
        <v>94</v>
      </c>
      <c r="I998" s="27" t="s">
        <v>49</v>
      </c>
      <c r="J998" s="27" t="s">
        <v>176</v>
      </c>
      <c r="K998" s="27" t="s">
        <v>51</v>
      </c>
      <c r="L998" s="31" t="s">
        <v>1668</v>
      </c>
      <c r="M998" s="32">
        <v>0.4</v>
      </c>
      <c r="N998" s="27" t="s">
        <v>33</v>
      </c>
      <c r="O998" s="27" t="s">
        <v>60</v>
      </c>
      <c r="P998" s="27" t="s">
        <v>146</v>
      </c>
      <c r="Q998" s="27" t="s">
        <v>395</v>
      </c>
      <c r="R998" s="33">
        <v>84043</v>
      </c>
      <c r="S998" s="34">
        <v>42093</v>
      </c>
      <c r="T998" s="34">
        <v>42095</v>
      </c>
      <c r="U998" s="29">
        <v>15.66</v>
      </c>
      <c r="V998" s="26">
        <v>23</v>
      </c>
      <c r="W998" s="29">
        <v>71.55</v>
      </c>
      <c r="X998" s="26">
        <v>90432</v>
      </c>
      <c r="Y998" s="35">
        <v>5.3</v>
      </c>
      <c r="Z998" s="1" t="s">
        <v>3013</v>
      </c>
      <c r="AA998" s="36">
        <v>6.8102999999999998</v>
      </c>
      <c r="AB998" s="54">
        <v>42.93</v>
      </c>
      <c r="AC998" s="54">
        <v>1.2443478260869565</v>
      </c>
      <c r="AD998" s="36">
        <v>47.729699999999994</v>
      </c>
    </row>
    <row r="999" spans="1:30" s="37" customFormat="1" ht="15.75" customHeight="1" x14ac:dyDescent="0.2">
      <c r="A999" s="26">
        <v>1316</v>
      </c>
      <c r="B999" s="27" t="s">
        <v>226</v>
      </c>
      <c r="C999" s="27" t="s">
        <v>116</v>
      </c>
      <c r="D999" s="28">
        <v>0.04</v>
      </c>
      <c r="E999" s="29">
        <v>5.34</v>
      </c>
      <c r="F999" s="29">
        <v>2.99</v>
      </c>
      <c r="G999" s="30" t="s">
        <v>39</v>
      </c>
      <c r="H999" s="27" t="s">
        <v>71</v>
      </c>
      <c r="I999" s="27" t="s">
        <v>49</v>
      </c>
      <c r="J999" s="27" t="s">
        <v>72</v>
      </c>
      <c r="K999" s="27" t="s">
        <v>73</v>
      </c>
      <c r="L999" s="31" t="s">
        <v>1378</v>
      </c>
      <c r="M999" s="32">
        <v>0.38</v>
      </c>
      <c r="N999" s="27" t="s">
        <v>33</v>
      </c>
      <c r="O999" s="27" t="s">
        <v>60</v>
      </c>
      <c r="P999" s="27" t="s">
        <v>61</v>
      </c>
      <c r="Q999" s="27" t="s">
        <v>227</v>
      </c>
      <c r="R999" s="33">
        <v>80022</v>
      </c>
      <c r="S999" s="34">
        <v>42093</v>
      </c>
      <c r="T999" s="34">
        <v>42095</v>
      </c>
      <c r="U999" s="29">
        <v>3.4510000000000001</v>
      </c>
      <c r="V999" s="26">
        <v>11</v>
      </c>
      <c r="W999" s="29">
        <v>58.81</v>
      </c>
      <c r="X999" s="26">
        <v>87602</v>
      </c>
      <c r="Y999" s="35">
        <v>55.93</v>
      </c>
      <c r="Z999" s="1" t="s">
        <v>3013</v>
      </c>
      <c r="AA999" s="36">
        <v>2.3496000000000001</v>
      </c>
      <c r="AB999" s="54">
        <v>36.462200000000003</v>
      </c>
      <c r="AC999" s="54">
        <v>2.0316181818181818</v>
      </c>
      <c r="AD999" s="36">
        <v>50.019400000000005</v>
      </c>
    </row>
    <row r="1000" spans="1:30" s="37" customFormat="1" ht="15.75" customHeight="1" x14ac:dyDescent="0.2">
      <c r="A1000" s="26">
        <v>3205</v>
      </c>
      <c r="B1000" s="27" t="s">
        <v>1925</v>
      </c>
      <c r="C1000" s="27" t="s">
        <v>48</v>
      </c>
      <c r="D1000" s="28">
        <v>7.0000000000000007E-2</v>
      </c>
      <c r="E1000" s="29">
        <v>5.98</v>
      </c>
      <c r="F1000" s="29">
        <v>0.96</v>
      </c>
      <c r="G1000" s="30" t="s">
        <v>39</v>
      </c>
      <c r="H1000" s="27" t="s">
        <v>40</v>
      </c>
      <c r="I1000" s="27" t="s">
        <v>49</v>
      </c>
      <c r="J1000" s="27" t="s">
        <v>50</v>
      </c>
      <c r="K1000" s="27" t="s">
        <v>51</v>
      </c>
      <c r="L1000" s="31" t="s">
        <v>1267</v>
      </c>
      <c r="M1000" s="32">
        <v>0.6</v>
      </c>
      <c r="N1000" s="27" t="s">
        <v>33</v>
      </c>
      <c r="O1000" s="27" t="s">
        <v>60</v>
      </c>
      <c r="P1000" s="27" t="s">
        <v>490</v>
      </c>
      <c r="Q1000" s="27" t="s">
        <v>494</v>
      </c>
      <c r="R1000" s="33">
        <v>83440</v>
      </c>
      <c r="S1000" s="34">
        <v>42093</v>
      </c>
      <c r="T1000" s="34">
        <v>42097</v>
      </c>
      <c r="U1000" s="29">
        <v>32.83</v>
      </c>
      <c r="V1000" s="26">
        <v>10</v>
      </c>
      <c r="W1000" s="29">
        <v>56.4</v>
      </c>
      <c r="X1000" s="26">
        <v>87933</v>
      </c>
      <c r="Y1000" s="35">
        <v>4.91</v>
      </c>
      <c r="Z1000" s="1" t="s">
        <v>3013</v>
      </c>
      <c r="AA1000" s="36">
        <v>4.1860000000000008</v>
      </c>
      <c r="AB1000" s="54">
        <v>22.560000000000002</v>
      </c>
      <c r="AC1000" s="54">
        <v>3.3839999999999999</v>
      </c>
      <c r="AD1000" s="36">
        <v>18.423999999999999</v>
      </c>
    </row>
    <row r="1001" spans="1:30" s="37" customFormat="1" ht="15.75" customHeight="1" x14ac:dyDescent="0.2">
      <c r="A1001" s="26">
        <v>1315</v>
      </c>
      <c r="B1001" s="27" t="s">
        <v>1932</v>
      </c>
      <c r="C1001" s="27" t="s">
        <v>116</v>
      </c>
      <c r="D1001" s="28">
        <v>0</v>
      </c>
      <c r="E1001" s="29">
        <v>4.91</v>
      </c>
      <c r="F1001" s="29">
        <v>5.68</v>
      </c>
      <c r="G1001" s="30" t="s">
        <v>39</v>
      </c>
      <c r="H1001" s="27" t="s">
        <v>71</v>
      </c>
      <c r="I1001" s="27" t="s">
        <v>49</v>
      </c>
      <c r="J1001" s="27" t="s">
        <v>72</v>
      </c>
      <c r="K1001" s="27" t="s">
        <v>73</v>
      </c>
      <c r="L1001" s="31" t="s">
        <v>1933</v>
      </c>
      <c r="M1001" s="32">
        <v>0.36</v>
      </c>
      <c r="N1001" s="27" t="s">
        <v>33</v>
      </c>
      <c r="O1001" s="27" t="s">
        <v>60</v>
      </c>
      <c r="P1001" s="27" t="s">
        <v>61</v>
      </c>
      <c r="Q1001" s="27" t="s">
        <v>1934</v>
      </c>
      <c r="R1001" s="33">
        <v>80906</v>
      </c>
      <c r="S1001" s="34">
        <v>42093</v>
      </c>
      <c r="T1001" s="34">
        <v>42094</v>
      </c>
      <c r="U1001" s="29">
        <v>-95.047499999999999</v>
      </c>
      <c r="V1001" s="26">
        <v>9</v>
      </c>
      <c r="W1001" s="29">
        <v>48.3</v>
      </c>
      <c r="X1001" s="26">
        <v>87602</v>
      </c>
      <c r="Y1001" s="35">
        <v>5.3</v>
      </c>
      <c r="Z1001" s="1" t="s">
        <v>3013</v>
      </c>
      <c r="AA1001" s="36">
        <v>0</v>
      </c>
      <c r="AB1001" s="54">
        <v>30.911999999999999</v>
      </c>
      <c r="AC1001" s="54">
        <v>1.9319999999999997</v>
      </c>
      <c r="AD1001" s="36">
        <v>137.66750000000002</v>
      </c>
    </row>
    <row r="1002" spans="1:30" s="37" customFormat="1" ht="15.75" customHeight="1" x14ac:dyDescent="0.2">
      <c r="A1002" s="26">
        <v>1316</v>
      </c>
      <c r="B1002" s="27" t="s">
        <v>226</v>
      </c>
      <c r="C1002" s="27" t="s">
        <v>116</v>
      </c>
      <c r="D1002" s="28">
        <v>0.06</v>
      </c>
      <c r="E1002" s="29">
        <v>55.99</v>
      </c>
      <c r="F1002" s="29">
        <v>5</v>
      </c>
      <c r="G1002" s="30" t="s">
        <v>39</v>
      </c>
      <c r="H1002" s="27" t="s">
        <v>71</v>
      </c>
      <c r="I1002" s="27" t="s">
        <v>41</v>
      </c>
      <c r="J1002" s="27" t="s">
        <v>135</v>
      </c>
      <c r="K1002" s="27" t="s">
        <v>43</v>
      </c>
      <c r="L1002" s="31" t="s">
        <v>1931</v>
      </c>
      <c r="M1002" s="32">
        <v>0.8</v>
      </c>
      <c r="N1002" s="27" t="s">
        <v>33</v>
      </c>
      <c r="O1002" s="27" t="s">
        <v>60</v>
      </c>
      <c r="P1002" s="27" t="s">
        <v>61</v>
      </c>
      <c r="Q1002" s="27" t="s">
        <v>227</v>
      </c>
      <c r="R1002" s="33">
        <v>80022</v>
      </c>
      <c r="S1002" s="34">
        <v>42093</v>
      </c>
      <c r="T1002" s="34">
        <v>42095</v>
      </c>
      <c r="U1002" s="29">
        <v>-275.25299999999999</v>
      </c>
      <c r="V1002" s="26">
        <v>1</v>
      </c>
      <c r="W1002" s="29">
        <v>47.38</v>
      </c>
      <c r="X1002" s="26">
        <v>87602</v>
      </c>
      <c r="Y1002" s="35">
        <v>55.93</v>
      </c>
      <c r="Z1002" s="1" t="s">
        <v>3013</v>
      </c>
      <c r="AA1002" s="36">
        <v>3.3593999999999999</v>
      </c>
      <c r="AB1002" s="54">
        <v>9.4759999999999991</v>
      </c>
      <c r="AC1002" s="54">
        <v>37.904000000000003</v>
      </c>
      <c r="AD1002" s="36">
        <v>314.27359999999999</v>
      </c>
    </row>
    <row r="1003" spans="1:30" s="37" customFormat="1" ht="15.75" customHeight="1" x14ac:dyDescent="0.2">
      <c r="A1003" s="26">
        <v>3252</v>
      </c>
      <c r="B1003" s="27" t="s">
        <v>1923</v>
      </c>
      <c r="C1003" s="27" t="s">
        <v>26</v>
      </c>
      <c r="D1003" s="28">
        <v>0.01</v>
      </c>
      <c r="E1003" s="29">
        <v>11.34</v>
      </c>
      <c r="F1003" s="29">
        <v>5.01</v>
      </c>
      <c r="G1003" s="30" t="s">
        <v>39</v>
      </c>
      <c r="H1003" s="27" t="s">
        <v>3095</v>
      </c>
      <c r="I1003" s="27" t="s">
        <v>49</v>
      </c>
      <c r="J1003" s="27" t="s">
        <v>88</v>
      </c>
      <c r="K1003" s="27" t="s">
        <v>73</v>
      </c>
      <c r="L1003" s="31" t="s">
        <v>415</v>
      </c>
      <c r="M1003" s="32">
        <v>0.36</v>
      </c>
      <c r="N1003" s="27" t="s">
        <v>33</v>
      </c>
      <c r="O1003" s="27" t="s">
        <v>111</v>
      </c>
      <c r="P1003" s="27" t="s">
        <v>112</v>
      </c>
      <c r="Q1003" s="27" t="s">
        <v>1924</v>
      </c>
      <c r="R1003" s="33">
        <v>12306</v>
      </c>
      <c r="S1003" s="34">
        <v>42093</v>
      </c>
      <c r="T1003" s="34">
        <v>42095</v>
      </c>
      <c r="U1003" s="29">
        <v>-11.83</v>
      </c>
      <c r="V1003" s="26">
        <v>1</v>
      </c>
      <c r="W1003" s="29">
        <v>14.52</v>
      </c>
      <c r="X1003" s="26">
        <v>87296</v>
      </c>
      <c r="Y1003" s="35">
        <v>40.909999999999997</v>
      </c>
      <c r="Z1003" s="1" t="s">
        <v>3014</v>
      </c>
      <c r="AA1003" s="36">
        <v>0.1134</v>
      </c>
      <c r="AB1003" s="54">
        <v>9.2927999999999997</v>
      </c>
      <c r="AC1003" s="54">
        <v>5.2271999999999998</v>
      </c>
      <c r="AD1003" s="36">
        <v>21.226599999999998</v>
      </c>
    </row>
    <row r="1004" spans="1:30" s="37" customFormat="1" ht="15.75" customHeight="1" x14ac:dyDescent="0.2">
      <c r="A1004" s="26">
        <v>1083</v>
      </c>
      <c r="B1004" s="27" t="s">
        <v>1937</v>
      </c>
      <c r="C1004" s="27" t="s">
        <v>3094</v>
      </c>
      <c r="D1004" s="28">
        <v>7.0000000000000007E-2</v>
      </c>
      <c r="E1004" s="29">
        <v>55.99</v>
      </c>
      <c r="F1004" s="29">
        <v>5</v>
      </c>
      <c r="G1004" s="30" t="s">
        <v>87</v>
      </c>
      <c r="H1004" s="27" t="s">
        <v>94</v>
      </c>
      <c r="I1004" s="27" t="s">
        <v>41</v>
      </c>
      <c r="J1004" s="27" t="s">
        <v>135</v>
      </c>
      <c r="K1004" s="27" t="s">
        <v>43</v>
      </c>
      <c r="L1004" s="31" t="s">
        <v>1938</v>
      </c>
      <c r="M1004" s="32">
        <v>0.83</v>
      </c>
      <c r="N1004" s="27" t="s">
        <v>33</v>
      </c>
      <c r="O1004" s="27" t="s">
        <v>53</v>
      </c>
      <c r="P1004" s="27" t="s">
        <v>103</v>
      </c>
      <c r="Q1004" s="27" t="s">
        <v>878</v>
      </c>
      <c r="R1004" s="33">
        <v>62701</v>
      </c>
      <c r="S1004" s="34">
        <v>42094</v>
      </c>
      <c r="T1004" s="34">
        <v>42096</v>
      </c>
      <c r="U1004" s="29">
        <v>-232.99100000000001</v>
      </c>
      <c r="V1004" s="26">
        <v>1</v>
      </c>
      <c r="W1004" s="29">
        <v>54.08</v>
      </c>
      <c r="X1004" s="26">
        <v>88460</v>
      </c>
      <c r="Y1004" s="35">
        <v>20.9</v>
      </c>
      <c r="Z1004" s="1" t="s">
        <v>3012</v>
      </c>
      <c r="AA1004" s="36">
        <v>3.9193000000000007</v>
      </c>
      <c r="AB1004" s="54">
        <v>9.1936000000000018</v>
      </c>
      <c r="AC1004" s="54">
        <v>44.886399999999995</v>
      </c>
      <c r="AD1004" s="36">
        <v>278.15170000000001</v>
      </c>
    </row>
    <row r="1005" spans="1:30" s="37" customFormat="1" ht="15.75" customHeight="1" x14ac:dyDescent="0.2">
      <c r="A1005" s="26">
        <v>2066</v>
      </c>
      <c r="B1005" s="27" t="s">
        <v>1872</v>
      </c>
      <c r="C1005" s="27" t="s">
        <v>26</v>
      </c>
      <c r="D1005" s="28">
        <v>0.09</v>
      </c>
      <c r="E1005" s="29">
        <v>20.99</v>
      </c>
      <c r="F1005" s="29">
        <v>4.8099999999999996</v>
      </c>
      <c r="G1005" s="30" t="s">
        <v>87</v>
      </c>
      <c r="H1005" s="27" t="s">
        <v>71</v>
      </c>
      <c r="I1005" s="27" t="s">
        <v>41</v>
      </c>
      <c r="J1005" s="27" t="s">
        <v>135</v>
      </c>
      <c r="K1005" s="27" t="s">
        <v>144</v>
      </c>
      <c r="L1005" s="31" t="s">
        <v>1431</v>
      </c>
      <c r="M1005" s="32">
        <v>0.57999999999999996</v>
      </c>
      <c r="N1005" s="27" t="s">
        <v>33</v>
      </c>
      <c r="O1005" s="27" t="s">
        <v>34</v>
      </c>
      <c r="P1005" s="27" t="s">
        <v>97</v>
      </c>
      <c r="Q1005" s="27" t="s">
        <v>1874</v>
      </c>
      <c r="R1005" s="33">
        <v>28079</v>
      </c>
      <c r="S1005" s="34">
        <v>42094</v>
      </c>
      <c r="T1005" s="34">
        <v>42095</v>
      </c>
      <c r="U1005" s="29">
        <v>272.69400000000002</v>
      </c>
      <c r="V1005" s="26">
        <v>2</v>
      </c>
      <c r="W1005" s="29">
        <v>38.979999999999997</v>
      </c>
      <c r="X1005" s="26">
        <v>85834</v>
      </c>
      <c r="Y1005" s="35">
        <v>1.6199999999999999</v>
      </c>
      <c r="Z1005" s="1" t="s">
        <v>3011</v>
      </c>
      <c r="AA1005" s="36">
        <v>3.7781999999999996</v>
      </c>
      <c r="AB1005" s="54">
        <v>16.371600000000001</v>
      </c>
      <c r="AC1005" s="54">
        <v>11.304199999999998</v>
      </c>
      <c r="AD1005" s="36">
        <v>-242.30220000000006</v>
      </c>
    </row>
    <row r="1006" spans="1:30" s="37" customFormat="1" ht="15.75" customHeight="1" x14ac:dyDescent="0.2">
      <c r="A1006" s="26">
        <v>3177</v>
      </c>
      <c r="B1006" s="27" t="s">
        <v>1642</v>
      </c>
      <c r="C1006" s="27" t="s">
        <v>26</v>
      </c>
      <c r="D1006" s="28">
        <v>0.06</v>
      </c>
      <c r="E1006" s="29">
        <v>1.68</v>
      </c>
      <c r="F1006" s="29">
        <v>1</v>
      </c>
      <c r="G1006" s="30" t="s">
        <v>39</v>
      </c>
      <c r="H1006" s="27" t="s">
        <v>40</v>
      </c>
      <c r="I1006" s="27" t="s">
        <v>49</v>
      </c>
      <c r="J1006" s="27" t="s">
        <v>50</v>
      </c>
      <c r="K1006" s="27" t="s">
        <v>51</v>
      </c>
      <c r="L1006" s="31" t="s">
        <v>420</v>
      </c>
      <c r="M1006" s="32">
        <v>0.35</v>
      </c>
      <c r="N1006" s="27" t="s">
        <v>33</v>
      </c>
      <c r="O1006" s="27" t="s">
        <v>34</v>
      </c>
      <c r="P1006" s="27" t="s">
        <v>123</v>
      </c>
      <c r="Q1006" s="27" t="s">
        <v>1643</v>
      </c>
      <c r="R1006" s="33">
        <v>33458</v>
      </c>
      <c r="S1006" s="34">
        <v>42094</v>
      </c>
      <c r="T1006" s="34">
        <v>42096</v>
      </c>
      <c r="U1006" s="29">
        <v>-1319.5</v>
      </c>
      <c r="V1006" s="26">
        <v>5</v>
      </c>
      <c r="W1006" s="29">
        <v>8.65</v>
      </c>
      <c r="X1006" s="26">
        <v>90819</v>
      </c>
      <c r="Y1006" s="35">
        <v>55.92</v>
      </c>
      <c r="Z1006" s="1" t="s">
        <v>3011</v>
      </c>
      <c r="AA1006" s="36">
        <v>0.50399999999999989</v>
      </c>
      <c r="AB1006" s="54">
        <v>5.6225000000000005</v>
      </c>
      <c r="AC1006" s="54">
        <v>0.60549999999999993</v>
      </c>
      <c r="AD1006" s="36">
        <v>1326.6460000000002</v>
      </c>
    </row>
    <row r="1007" spans="1:30" s="37" customFormat="1" ht="15.75" customHeight="1" x14ac:dyDescent="0.2">
      <c r="A1007" s="26">
        <v>2859</v>
      </c>
      <c r="B1007" s="27" t="s">
        <v>1955</v>
      </c>
      <c r="C1007" s="27" t="s">
        <v>3094</v>
      </c>
      <c r="D1007" s="28">
        <v>0.03</v>
      </c>
      <c r="E1007" s="29">
        <v>142.86000000000001</v>
      </c>
      <c r="F1007" s="29">
        <v>19.989999999999998</v>
      </c>
      <c r="G1007" s="30" t="s">
        <v>39</v>
      </c>
      <c r="H1007" s="27" t="s">
        <v>94</v>
      </c>
      <c r="I1007" s="27" t="s">
        <v>49</v>
      </c>
      <c r="J1007" s="27" t="s">
        <v>78</v>
      </c>
      <c r="K1007" s="27" t="s">
        <v>73</v>
      </c>
      <c r="L1007" s="31" t="s">
        <v>1956</v>
      </c>
      <c r="M1007" s="32">
        <v>0.56000000000000005</v>
      </c>
      <c r="N1007" s="27" t="s">
        <v>33</v>
      </c>
      <c r="O1007" s="27" t="s">
        <v>34</v>
      </c>
      <c r="P1007" s="27" t="s">
        <v>123</v>
      </c>
      <c r="Q1007" s="27" t="s">
        <v>1957</v>
      </c>
      <c r="R1007" s="33">
        <v>32601</v>
      </c>
      <c r="S1007" s="34">
        <v>42095</v>
      </c>
      <c r="T1007" s="34">
        <v>42097</v>
      </c>
      <c r="U1007" s="29">
        <v>-8.3880999999999997</v>
      </c>
      <c r="V1007" s="26">
        <v>23</v>
      </c>
      <c r="W1007" s="29">
        <v>3292.02</v>
      </c>
      <c r="X1007" s="26">
        <v>88281</v>
      </c>
      <c r="Y1007" s="35">
        <v>60.919999999999995</v>
      </c>
      <c r="Z1007" s="1" t="s">
        <v>3011</v>
      </c>
      <c r="AA1007" s="36">
        <v>98.573400000000007</v>
      </c>
      <c r="AB1007" s="54">
        <v>1448.4887999999999</v>
      </c>
      <c r="AC1007" s="54">
        <v>80.15353043478261</v>
      </c>
      <c r="AD1007" s="36">
        <v>3181.8447000000001</v>
      </c>
    </row>
    <row r="1008" spans="1:30" s="37" customFormat="1" ht="15.75" customHeight="1" x14ac:dyDescent="0.2">
      <c r="A1008" s="26">
        <v>568</v>
      </c>
      <c r="B1008" s="27" t="s">
        <v>1482</v>
      </c>
      <c r="C1008" s="27" t="s">
        <v>116</v>
      </c>
      <c r="D1008" s="28">
        <v>0.08</v>
      </c>
      <c r="E1008" s="29">
        <v>67.28</v>
      </c>
      <c r="F1008" s="29">
        <v>19.989999999999998</v>
      </c>
      <c r="G1008" s="30" t="s">
        <v>87</v>
      </c>
      <c r="H1008" s="27" t="s">
        <v>40</v>
      </c>
      <c r="I1008" s="27" t="s">
        <v>49</v>
      </c>
      <c r="J1008" s="27" t="s">
        <v>72</v>
      </c>
      <c r="K1008" s="27" t="s">
        <v>73</v>
      </c>
      <c r="L1008" s="31" t="s">
        <v>1951</v>
      </c>
      <c r="M1008" s="32">
        <v>0.4</v>
      </c>
      <c r="N1008" s="27" t="s">
        <v>33</v>
      </c>
      <c r="O1008" s="27" t="s">
        <v>34</v>
      </c>
      <c r="P1008" s="27" t="s">
        <v>35</v>
      </c>
      <c r="Q1008" s="27" t="s">
        <v>1483</v>
      </c>
      <c r="R1008" s="33">
        <v>39701</v>
      </c>
      <c r="S1008" s="34">
        <v>42095</v>
      </c>
      <c r="T1008" s="34">
        <v>42097</v>
      </c>
      <c r="U1008" s="29">
        <v>224.85059999999999</v>
      </c>
      <c r="V1008" s="26">
        <v>16</v>
      </c>
      <c r="W1008" s="29">
        <v>1066.54</v>
      </c>
      <c r="X1008" s="26">
        <v>88882</v>
      </c>
      <c r="Y1008" s="35">
        <v>6.4300000000000006</v>
      </c>
      <c r="Z1008" s="1" t="s">
        <v>3011</v>
      </c>
      <c r="AA1008" s="36">
        <v>86.118400000000008</v>
      </c>
      <c r="AB1008" s="54">
        <v>639.92399999999998</v>
      </c>
      <c r="AC1008" s="54">
        <v>26.663499999999999</v>
      </c>
      <c r="AD1008" s="36">
        <v>735.5809999999999</v>
      </c>
    </row>
    <row r="1009" spans="1:30" s="37" customFormat="1" ht="15.75" customHeight="1" x14ac:dyDescent="0.2">
      <c r="A1009" s="26">
        <v>1849</v>
      </c>
      <c r="B1009" s="27" t="s">
        <v>1947</v>
      </c>
      <c r="C1009" s="27" t="s">
        <v>38</v>
      </c>
      <c r="D1009" s="28">
        <v>0.09</v>
      </c>
      <c r="E1009" s="29">
        <v>35.99</v>
      </c>
      <c r="F1009" s="29">
        <v>1.1000000000000001</v>
      </c>
      <c r="G1009" s="30" t="s">
        <v>39</v>
      </c>
      <c r="H1009" s="27" t="s">
        <v>40</v>
      </c>
      <c r="I1009" s="27" t="s">
        <v>41</v>
      </c>
      <c r="J1009" s="27" t="s">
        <v>135</v>
      </c>
      <c r="K1009" s="27" t="s">
        <v>73</v>
      </c>
      <c r="L1009" s="31" t="s">
        <v>274</v>
      </c>
      <c r="M1009" s="32">
        <v>0.55000000000000004</v>
      </c>
      <c r="N1009" s="27" t="s">
        <v>33</v>
      </c>
      <c r="O1009" s="27" t="s">
        <v>34</v>
      </c>
      <c r="P1009" s="27" t="s">
        <v>164</v>
      </c>
      <c r="Q1009" s="27" t="s">
        <v>1948</v>
      </c>
      <c r="R1009" s="33">
        <v>36330</v>
      </c>
      <c r="S1009" s="34">
        <v>42095</v>
      </c>
      <c r="T1009" s="34">
        <v>42097</v>
      </c>
      <c r="U1009" s="29">
        <v>19.350000000000001</v>
      </c>
      <c r="V1009" s="26">
        <v>8</v>
      </c>
      <c r="W1009" s="29">
        <v>222.71</v>
      </c>
      <c r="X1009" s="26">
        <v>89697</v>
      </c>
      <c r="Y1009" s="35">
        <v>55.940000000000005</v>
      </c>
      <c r="Z1009" s="1" t="s">
        <v>3011</v>
      </c>
      <c r="AA1009" s="36">
        <v>25.912800000000001</v>
      </c>
      <c r="AB1009" s="54">
        <v>100.2195</v>
      </c>
      <c r="AC1009" s="54">
        <v>15.311312500000001</v>
      </c>
      <c r="AD1009" s="36">
        <v>176.34719999999999</v>
      </c>
    </row>
    <row r="1010" spans="1:30" s="37" customFormat="1" ht="15.75" customHeight="1" x14ac:dyDescent="0.2">
      <c r="A1010" s="26">
        <v>1849</v>
      </c>
      <c r="B1010" s="27" t="s">
        <v>1947</v>
      </c>
      <c r="C1010" s="27" t="s">
        <v>38</v>
      </c>
      <c r="D1010" s="28">
        <v>0.01</v>
      </c>
      <c r="E1010" s="29">
        <v>125.99</v>
      </c>
      <c r="F1010" s="29">
        <v>2.5</v>
      </c>
      <c r="G1010" s="30" t="s">
        <v>39</v>
      </c>
      <c r="H1010" s="27" t="s">
        <v>40</v>
      </c>
      <c r="I1010" s="27" t="s">
        <v>41</v>
      </c>
      <c r="J1010" s="27" t="s">
        <v>135</v>
      </c>
      <c r="K1010" s="27" t="s">
        <v>73</v>
      </c>
      <c r="L1010" s="31" t="s">
        <v>948</v>
      </c>
      <c r="M1010" s="32">
        <v>0.6</v>
      </c>
      <c r="N1010" s="27" t="s">
        <v>33</v>
      </c>
      <c r="O1010" s="27" t="s">
        <v>34</v>
      </c>
      <c r="P1010" s="27" t="s">
        <v>164</v>
      </c>
      <c r="Q1010" s="27" t="s">
        <v>1948</v>
      </c>
      <c r="R1010" s="33">
        <v>36330</v>
      </c>
      <c r="S1010" s="34">
        <v>42095</v>
      </c>
      <c r="T1010" s="34">
        <v>42096</v>
      </c>
      <c r="U1010" s="29">
        <v>-967.83399999999995</v>
      </c>
      <c r="V1010" s="26">
        <v>2</v>
      </c>
      <c r="W1010" s="29">
        <v>220.52</v>
      </c>
      <c r="X1010" s="26">
        <v>89697</v>
      </c>
      <c r="Y1010" s="35">
        <v>35.9</v>
      </c>
      <c r="Z1010" s="1" t="s">
        <v>3011</v>
      </c>
      <c r="AA1010" s="36">
        <v>2.5198</v>
      </c>
      <c r="AB1010" s="54">
        <v>88.208000000000013</v>
      </c>
      <c r="AC1010" s="54">
        <v>66.156000000000006</v>
      </c>
      <c r="AD1010" s="36">
        <v>1183.3342</v>
      </c>
    </row>
    <row r="1011" spans="1:30" s="37" customFormat="1" ht="15.75" customHeight="1" x14ac:dyDescent="0.2">
      <c r="A1011" s="26">
        <v>623</v>
      </c>
      <c r="B1011" s="27" t="s">
        <v>1942</v>
      </c>
      <c r="C1011" s="27" t="s">
        <v>38</v>
      </c>
      <c r="D1011" s="28">
        <v>0.05</v>
      </c>
      <c r="E1011" s="29">
        <v>6.48</v>
      </c>
      <c r="F1011" s="29">
        <v>8.4</v>
      </c>
      <c r="G1011" s="30" t="s">
        <v>39</v>
      </c>
      <c r="H1011" s="27" t="s">
        <v>71</v>
      </c>
      <c r="I1011" s="27" t="s">
        <v>49</v>
      </c>
      <c r="J1011" s="27" t="s">
        <v>88</v>
      </c>
      <c r="K1011" s="27" t="s">
        <v>73</v>
      </c>
      <c r="L1011" s="31" t="s">
        <v>1943</v>
      </c>
      <c r="M1011" s="32">
        <v>0.37</v>
      </c>
      <c r="N1011" s="27" t="s">
        <v>33</v>
      </c>
      <c r="O1011" s="27" t="s">
        <v>111</v>
      </c>
      <c r="P1011" s="27" t="s">
        <v>1356</v>
      </c>
      <c r="Q1011" s="27" t="s">
        <v>1944</v>
      </c>
      <c r="R1011" s="33">
        <v>3101</v>
      </c>
      <c r="S1011" s="34">
        <v>42095</v>
      </c>
      <c r="T1011" s="34">
        <v>42097</v>
      </c>
      <c r="U1011" s="29">
        <v>-226.34639999999999</v>
      </c>
      <c r="V1011" s="26">
        <v>21</v>
      </c>
      <c r="W1011" s="29">
        <v>136.99</v>
      </c>
      <c r="X1011" s="26">
        <v>91433</v>
      </c>
      <c r="Y1011" s="35">
        <v>125.97999999999999</v>
      </c>
      <c r="Z1011" s="1" t="s">
        <v>3014</v>
      </c>
      <c r="AA1011" s="36">
        <v>6.8040000000000012</v>
      </c>
      <c r="AB1011" s="54">
        <v>86.303700000000006</v>
      </c>
      <c r="AC1011" s="54">
        <v>2.4136333333333333</v>
      </c>
      <c r="AD1011" s="36">
        <v>348.13239999999996</v>
      </c>
    </row>
    <row r="1012" spans="1:30" s="37" customFormat="1" ht="15.75" customHeight="1" x14ac:dyDescent="0.2">
      <c r="A1012" s="26">
        <v>3224</v>
      </c>
      <c r="B1012" s="27" t="s">
        <v>1939</v>
      </c>
      <c r="C1012" s="27" t="s">
        <v>26</v>
      </c>
      <c r="D1012" s="28">
        <v>0.06</v>
      </c>
      <c r="E1012" s="29">
        <v>60.98</v>
      </c>
      <c r="F1012" s="29">
        <v>30</v>
      </c>
      <c r="G1012" s="30" t="s">
        <v>27</v>
      </c>
      <c r="H1012" s="27" t="s">
        <v>3095</v>
      </c>
      <c r="I1012" s="27" t="s">
        <v>29</v>
      </c>
      <c r="J1012" s="27" t="s">
        <v>109</v>
      </c>
      <c r="K1012" s="27" t="s">
        <v>58</v>
      </c>
      <c r="L1012" s="31" t="s">
        <v>1940</v>
      </c>
      <c r="M1012" s="32">
        <v>0.7</v>
      </c>
      <c r="N1012" s="27" t="s">
        <v>33</v>
      </c>
      <c r="O1012" s="27" t="s">
        <v>34</v>
      </c>
      <c r="P1012" s="27" t="s">
        <v>400</v>
      </c>
      <c r="Q1012" s="27" t="s">
        <v>1941</v>
      </c>
      <c r="R1012" s="33">
        <v>37066</v>
      </c>
      <c r="S1012" s="34">
        <v>42095</v>
      </c>
      <c r="T1012" s="34">
        <v>42096</v>
      </c>
      <c r="U1012" s="29">
        <v>-74.087999999999994</v>
      </c>
      <c r="V1012" s="26">
        <v>2</v>
      </c>
      <c r="W1012" s="29">
        <v>125.9</v>
      </c>
      <c r="X1012" s="26">
        <v>86508</v>
      </c>
      <c r="Y1012" s="35">
        <v>5.12</v>
      </c>
      <c r="Z1012" s="1" t="s">
        <v>3011</v>
      </c>
      <c r="AA1012" s="36">
        <v>7.3175999999999997</v>
      </c>
      <c r="AB1012" s="54">
        <v>37.77000000000001</v>
      </c>
      <c r="AC1012" s="54">
        <v>44.064999999999998</v>
      </c>
      <c r="AD1012" s="36">
        <v>162.6704</v>
      </c>
    </row>
    <row r="1013" spans="1:30" s="37" customFormat="1" ht="15.75" customHeight="1" x14ac:dyDescent="0.2">
      <c r="A1013" s="26">
        <v>624</v>
      </c>
      <c r="B1013" s="27" t="s">
        <v>1945</v>
      </c>
      <c r="C1013" s="27" t="s">
        <v>38</v>
      </c>
      <c r="D1013" s="28">
        <v>0.05</v>
      </c>
      <c r="E1013" s="29">
        <v>55.99</v>
      </c>
      <c r="F1013" s="29">
        <v>5</v>
      </c>
      <c r="G1013" s="30" t="s">
        <v>39</v>
      </c>
      <c r="H1013" s="27" t="s">
        <v>71</v>
      </c>
      <c r="I1013" s="27" t="s">
        <v>41</v>
      </c>
      <c r="J1013" s="27" t="s">
        <v>135</v>
      </c>
      <c r="K1013" s="27" t="s">
        <v>43</v>
      </c>
      <c r="L1013" s="31" t="s">
        <v>1931</v>
      </c>
      <c r="M1013" s="32">
        <v>0.8</v>
      </c>
      <c r="N1013" s="27" t="s">
        <v>33</v>
      </c>
      <c r="O1013" s="27" t="s">
        <v>111</v>
      </c>
      <c r="P1013" s="27" t="s">
        <v>633</v>
      </c>
      <c r="Q1013" s="27" t="s">
        <v>1946</v>
      </c>
      <c r="R1013" s="33">
        <v>5701</v>
      </c>
      <c r="S1013" s="34">
        <v>42095</v>
      </c>
      <c r="T1013" s="34">
        <v>42095</v>
      </c>
      <c r="U1013" s="29">
        <v>-281.17583999999999</v>
      </c>
      <c r="V1013" s="26">
        <v>2</v>
      </c>
      <c r="W1013" s="29">
        <v>99.36</v>
      </c>
      <c r="X1013" s="26">
        <v>91433</v>
      </c>
      <c r="Y1013" s="35">
        <v>67.2</v>
      </c>
      <c r="Z1013" s="1" t="s">
        <v>3014</v>
      </c>
      <c r="AA1013" s="36">
        <v>5.5990000000000002</v>
      </c>
      <c r="AB1013" s="54">
        <v>19.871999999999996</v>
      </c>
      <c r="AC1013" s="54">
        <v>39.744</v>
      </c>
      <c r="AD1013" s="36">
        <v>369.93684000000002</v>
      </c>
    </row>
    <row r="1014" spans="1:30" s="37" customFormat="1" ht="15.75" customHeight="1" x14ac:dyDescent="0.2">
      <c r="A1014" s="26">
        <v>3246</v>
      </c>
      <c r="B1014" s="27" t="s">
        <v>1949</v>
      </c>
      <c r="C1014" s="27" t="s">
        <v>48</v>
      </c>
      <c r="D1014" s="28">
        <v>0.06</v>
      </c>
      <c r="E1014" s="29">
        <v>5.18</v>
      </c>
      <c r="F1014" s="29">
        <v>2.04</v>
      </c>
      <c r="G1014" s="30" t="s">
        <v>39</v>
      </c>
      <c r="H1014" s="27" t="s">
        <v>3095</v>
      </c>
      <c r="I1014" s="27" t="s">
        <v>49</v>
      </c>
      <c r="J1014" s="27" t="s">
        <v>88</v>
      </c>
      <c r="K1014" s="27" t="s">
        <v>51</v>
      </c>
      <c r="L1014" s="31" t="s">
        <v>833</v>
      </c>
      <c r="M1014" s="32">
        <v>0.36</v>
      </c>
      <c r="N1014" s="27" t="s">
        <v>33</v>
      </c>
      <c r="O1014" s="27" t="s">
        <v>111</v>
      </c>
      <c r="P1014" s="27" t="s">
        <v>1356</v>
      </c>
      <c r="Q1014" s="27" t="s">
        <v>1950</v>
      </c>
      <c r="R1014" s="33">
        <v>3051</v>
      </c>
      <c r="S1014" s="34">
        <v>42095</v>
      </c>
      <c r="T1014" s="34">
        <v>42095</v>
      </c>
      <c r="U1014" s="29">
        <v>1.9503999999999999</v>
      </c>
      <c r="V1014" s="26">
        <v>4</v>
      </c>
      <c r="W1014" s="29">
        <v>21.86</v>
      </c>
      <c r="X1014" s="26">
        <v>88330</v>
      </c>
      <c r="Y1014" s="35">
        <v>11.27</v>
      </c>
      <c r="Z1014" s="1" t="s">
        <v>3014</v>
      </c>
      <c r="AA1014" s="36">
        <v>1.2431999999999999</v>
      </c>
      <c r="AB1014" s="54">
        <v>13.990399999999999</v>
      </c>
      <c r="AC1014" s="54">
        <v>1.9673999999999998</v>
      </c>
      <c r="AD1014" s="36">
        <v>16.6264</v>
      </c>
    </row>
    <row r="1015" spans="1:30" s="37" customFormat="1" ht="15.75" customHeight="1" x14ac:dyDescent="0.2">
      <c r="A1015" s="26">
        <v>3306</v>
      </c>
      <c r="B1015" s="27" t="s">
        <v>1952</v>
      </c>
      <c r="C1015" s="27" t="s">
        <v>116</v>
      </c>
      <c r="D1015" s="28">
        <v>0.06</v>
      </c>
      <c r="E1015" s="29">
        <v>11.33</v>
      </c>
      <c r="F1015" s="29">
        <v>6.12</v>
      </c>
      <c r="G1015" s="30" t="s">
        <v>39</v>
      </c>
      <c r="H1015" s="27" t="s">
        <v>3095</v>
      </c>
      <c r="I1015" s="27" t="s">
        <v>49</v>
      </c>
      <c r="J1015" s="27" t="s">
        <v>95</v>
      </c>
      <c r="K1015" s="27" t="s">
        <v>144</v>
      </c>
      <c r="L1015" s="31" t="s">
        <v>1953</v>
      </c>
      <c r="M1015" s="32">
        <v>0.42</v>
      </c>
      <c r="N1015" s="27" t="s">
        <v>33</v>
      </c>
      <c r="O1015" s="27" t="s">
        <v>111</v>
      </c>
      <c r="P1015" s="27" t="s">
        <v>248</v>
      </c>
      <c r="Q1015" s="27" t="s">
        <v>1954</v>
      </c>
      <c r="R1015" s="33">
        <v>6320</v>
      </c>
      <c r="S1015" s="34">
        <v>42095</v>
      </c>
      <c r="T1015" s="34">
        <v>42097</v>
      </c>
      <c r="U1015" s="29">
        <v>-15.92</v>
      </c>
      <c r="V1015" s="26">
        <v>1</v>
      </c>
      <c r="W1015" s="29">
        <v>17.62</v>
      </c>
      <c r="X1015" s="26">
        <v>90461</v>
      </c>
      <c r="Y1015" s="35">
        <v>142.83000000000001</v>
      </c>
      <c r="Z1015" s="1" t="s">
        <v>3014</v>
      </c>
      <c r="AA1015" s="36">
        <v>0.67979999999999996</v>
      </c>
      <c r="AB1015" s="54">
        <v>10.219600000000002</v>
      </c>
      <c r="AC1015" s="54">
        <v>7.4004000000000003</v>
      </c>
      <c r="AD1015" s="36">
        <v>26.740200000000002</v>
      </c>
    </row>
    <row r="1016" spans="1:30" s="37" customFormat="1" ht="15.75" customHeight="1" x14ac:dyDescent="0.2">
      <c r="A1016" s="26">
        <v>198</v>
      </c>
      <c r="B1016" s="27" t="s">
        <v>1960</v>
      </c>
      <c r="C1016" s="27" t="s">
        <v>26</v>
      </c>
      <c r="D1016" s="28">
        <v>0</v>
      </c>
      <c r="E1016" s="29">
        <v>161.55000000000001</v>
      </c>
      <c r="F1016" s="29">
        <v>19.989999999999998</v>
      </c>
      <c r="G1016" s="30" t="s">
        <v>39</v>
      </c>
      <c r="H1016" s="27" t="s">
        <v>3095</v>
      </c>
      <c r="I1016" s="27" t="s">
        <v>49</v>
      </c>
      <c r="J1016" s="27" t="s">
        <v>78</v>
      </c>
      <c r="K1016" s="27" t="s">
        <v>73</v>
      </c>
      <c r="L1016" s="31" t="s">
        <v>79</v>
      </c>
      <c r="M1016" s="32">
        <v>0.66</v>
      </c>
      <c r="N1016" s="27" t="s">
        <v>33</v>
      </c>
      <c r="O1016" s="27" t="s">
        <v>53</v>
      </c>
      <c r="P1016" s="27" t="s">
        <v>289</v>
      </c>
      <c r="Q1016" s="27" t="s">
        <v>1163</v>
      </c>
      <c r="R1016" s="33">
        <v>48138</v>
      </c>
      <c r="S1016" s="34">
        <v>42096</v>
      </c>
      <c r="T1016" s="34">
        <v>42098</v>
      </c>
      <c r="U1016" s="29">
        <v>1014.92</v>
      </c>
      <c r="V1016" s="26">
        <v>77</v>
      </c>
      <c r="W1016" s="29">
        <v>12599.55</v>
      </c>
      <c r="X1016" s="26">
        <v>51072</v>
      </c>
      <c r="Y1016" s="35">
        <v>161.55000000000001</v>
      </c>
      <c r="Z1016" s="1" t="s">
        <v>3012</v>
      </c>
      <c r="AA1016" s="36">
        <v>0</v>
      </c>
      <c r="AB1016" s="54">
        <v>4283.8469999999998</v>
      </c>
      <c r="AC1016" s="54">
        <v>107.99614285714286</v>
      </c>
      <c r="AD1016" s="36">
        <v>11564.64</v>
      </c>
    </row>
    <row r="1017" spans="1:30" s="37" customFormat="1" ht="15.75" customHeight="1" x14ac:dyDescent="0.2">
      <c r="A1017" s="26">
        <v>1112</v>
      </c>
      <c r="B1017" s="27" t="s">
        <v>1969</v>
      </c>
      <c r="C1017" s="27" t="s">
        <v>3094</v>
      </c>
      <c r="D1017" s="28">
        <v>0.02</v>
      </c>
      <c r="E1017" s="29">
        <v>2550.14</v>
      </c>
      <c r="F1017" s="29">
        <v>29.7</v>
      </c>
      <c r="G1017" s="30" t="s">
        <v>27</v>
      </c>
      <c r="H1017" s="27" t="s">
        <v>94</v>
      </c>
      <c r="I1017" s="27" t="s">
        <v>41</v>
      </c>
      <c r="J1017" s="27" t="s">
        <v>57</v>
      </c>
      <c r="K1017" s="27" t="s">
        <v>58</v>
      </c>
      <c r="L1017" s="31" t="s">
        <v>1972</v>
      </c>
      <c r="M1017" s="32">
        <v>0.56999999999999995</v>
      </c>
      <c r="N1017" s="27" t="s">
        <v>33</v>
      </c>
      <c r="O1017" s="27" t="s">
        <v>60</v>
      </c>
      <c r="P1017" s="27" t="s">
        <v>90</v>
      </c>
      <c r="Q1017" s="27" t="s">
        <v>1971</v>
      </c>
      <c r="R1017" s="33">
        <v>92399</v>
      </c>
      <c r="S1017" s="34">
        <v>42096</v>
      </c>
      <c r="T1017" s="34">
        <v>42098</v>
      </c>
      <c r="U1017" s="29">
        <v>-5390.7388920000003</v>
      </c>
      <c r="V1017" s="26">
        <v>2</v>
      </c>
      <c r="W1017" s="29">
        <v>4698.21</v>
      </c>
      <c r="X1017" s="26">
        <v>90832</v>
      </c>
      <c r="Y1017" s="35">
        <v>161.55000000000001</v>
      </c>
      <c r="Z1017" s="1" t="s">
        <v>3013</v>
      </c>
      <c r="AA1017" s="36">
        <v>102.0056</v>
      </c>
      <c r="AB1017" s="54">
        <v>2020.2303000000002</v>
      </c>
      <c r="AC1017" s="54">
        <v>1338.9898499999999</v>
      </c>
      <c r="AD1017" s="36">
        <v>9957.2432919999992</v>
      </c>
    </row>
    <row r="1018" spans="1:30" s="37" customFormat="1" ht="15.75" customHeight="1" x14ac:dyDescent="0.2">
      <c r="A1018" s="26">
        <v>1112</v>
      </c>
      <c r="B1018" s="27" t="s">
        <v>1969</v>
      </c>
      <c r="C1018" s="27" t="s">
        <v>3094</v>
      </c>
      <c r="D1018" s="28">
        <v>0.03</v>
      </c>
      <c r="E1018" s="29">
        <v>300.98</v>
      </c>
      <c r="F1018" s="29">
        <v>54.92</v>
      </c>
      <c r="G1018" s="30" t="s">
        <v>27</v>
      </c>
      <c r="H1018" s="27" t="s">
        <v>94</v>
      </c>
      <c r="I1018" s="27" t="s">
        <v>29</v>
      </c>
      <c r="J1018" s="27" t="s">
        <v>117</v>
      </c>
      <c r="K1018" s="27" t="s">
        <v>31</v>
      </c>
      <c r="L1018" s="31" t="s">
        <v>1970</v>
      </c>
      <c r="M1018" s="32">
        <v>0.55000000000000004</v>
      </c>
      <c r="N1018" s="27" t="s">
        <v>33</v>
      </c>
      <c r="O1018" s="27" t="s">
        <v>60</v>
      </c>
      <c r="P1018" s="27" t="s">
        <v>90</v>
      </c>
      <c r="Q1018" s="27" t="s">
        <v>1971</v>
      </c>
      <c r="R1018" s="33">
        <v>92399</v>
      </c>
      <c r="S1018" s="34">
        <v>42096</v>
      </c>
      <c r="T1018" s="34">
        <v>42098</v>
      </c>
      <c r="U1018" s="29">
        <v>1272.5808</v>
      </c>
      <c r="V1018" s="26">
        <v>12</v>
      </c>
      <c r="W1018" s="29">
        <v>3527.82</v>
      </c>
      <c r="X1018" s="26">
        <v>90832</v>
      </c>
      <c r="Y1018" s="35">
        <v>90.199999999999989</v>
      </c>
      <c r="Z1018" s="1" t="s">
        <v>3013</v>
      </c>
      <c r="AA1018" s="36">
        <v>108.3528</v>
      </c>
      <c r="AB1018" s="54">
        <v>1587.519</v>
      </c>
      <c r="AC1018" s="54">
        <v>161.69175000000001</v>
      </c>
      <c r="AD1018" s="36">
        <v>2091.9664000000002</v>
      </c>
    </row>
    <row r="1019" spans="1:30" s="37" customFormat="1" ht="15.75" customHeight="1" x14ac:dyDescent="0.2">
      <c r="A1019" s="26">
        <v>197</v>
      </c>
      <c r="B1019" s="27" t="s">
        <v>1958</v>
      </c>
      <c r="C1019" s="27" t="s">
        <v>26</v>
      </c>
      <c r="D1019" s="28">
        <v>0</v>
      </c>
      <c r="E1019" s="29">
        <v>161.55000000000001</v>
      </c>
      <c r="F1019" s="29">
        <v>19.989999999999998</v>
      </c>
      <c r="G1019" s="30" t="s">
        <v>39</v>
      </c>
      <c r="H1019" s="27" t="s">
        <v>3095</v>
      </c>
      <c r="I1019" s="27" t="s">
        <v>49</v>
      </c>
      <c r="J1019" s="27" t="s">
        <v>78</v>
      </c>
      <c r="K1019" s="27" t="s">
        <v>73</v>
      </c>
      <c r="L1019" s="31" t="s">
        <v>79</v>
      </c>
      <c r="M1019" s="32">
        <v>0.66</v>
      </c>
      <c r="N1019" s="27" t="s">
        <v>33</v>
      </c>
      <c r="O1019" s="27" t="s">
        <v>53</v>
      </c>
      <c r="P1019" s="27" t="s">
        <v>537</v>
      </c>
      <c r="Q1019" s="27" t="s">
        <v>1959</v>
      </c>
      <c r="R1019" s="33">
        <v>66212</v>
      </c>
      <c r="S1019" s="34">
        <v>42096</v>
      </c>
      <c r="T1019" s="34">
        <v>42098</v>
      </c>
      <c r="U1019" s="29">
        <v>1167.1579999999999</v>
      </c>
      <c r="V1019" s="26">
        <v>19</v>
      </c>
      <c r="W1019" s="29">
        <v>3108.98</v>
      </c>
      <c r="X1019" s="26">
        <v>88921</v>
      </c>
      <c r="Y1019" s="35">
        <v>47.809999999999995</v>
      </c>
      <c r="Z1019" s="1" t="s">
        <v>3012</v>
      </c>
      <c r="AA1019" s="36">
        <v>0</v>
      </c>
      <c r="AB1019" s="54">
        <v>1057.0531999999998</v>
      </c>
      <c r="AC1019" s="54">
        <v>107.99614736842105</v>
      </c>
      <c r="AD1019" s="36">
        <v>1921.8320000000001</v>
      </c>
    </row>
    <row r="1020" spans="1:30" s="37" customFormat="1" ht="15.75" customHeight="1" x14ac:dyDescent="0.2">
      <c r="A1020" s="26">
        <v>228</v>
      </c>
      <c r="B1020" s="27" t="s">
        <v>1964</v>
      </c>
      <c r="C1020" s="27" t="s">
        <v>116</v>
      </c>
      <c r="D1020" s="28">
        <v>0.03</v>
      </c>
      <c r="E1020" s="29">
        <v>60.89</v>
      </c>
      <c r="F1020" s="29">
        <v>32.409999999999997</v>
      </c>
      <c r="G1020" s="30" t="s">
        <v>27</v>
      </c>
      <c r="H1020" s="27" t="s">
        <v>3095</v>
      </c>
      <c r="I1020" s="27" t="s">
        <v>29</v>
      </c>
      <c r="J1020" s="27" t="s">
        <v>109</v>
      </c>
      <c r="K1020" s="27" t="s">
        <v>58</v>
      </c>
      <c r="L1020" s="31" t="s">
        <v>1965</v>
      </c>
      <c r="M1020" s="32">
        <v>0.56000000000000005</v>
      </c>
      <c r="N1020" s="27" t="s">
        <v>33</v>
      </c>
      <c r="O1020" s="27" t="s">
        <v>34</v>
      </c>
      <c r="P1020" s="27" t="s">
        <v>97</v>
      </c>
      <c r="Q1020" s="27" t="s">
        <v>1966</v>
      </c>
      <c r="R1020" s="33">
        <v>28227</v>
      </c>
      <c r="S1020" s="34">
        <v>42096</v>
      </c>
      <c r="T1020" s="34">
        <v>42097</v>
      </c>
      <c r="U1020" s="29">
        <v>36.353999999999999</v>
      </c>
      <c r="V1020" s="26">
        <v>7</v>
      </c>
      <c r="W1020" s="29">
        <v>450.49</v>
      </c>
      <c r="X1020" s="26">
        <v>88527</v>
      </c>
      <c r="Y1020" s="35">
        <v>60.86</v>
      </c>
      <c r="Z1020" s="1" t="s">
        <v>3011</v>
      </c>
      <c r="AA1020" s="36">
        <v>12.786899999999999</v>
      </c>
      <c r="AB1020" s="54">
        <v>198.21559999999997</v>
      </c>
      <c r="AC1020" s="54">
        <v>36.039200000000001</v>
      </c>
      <c r="AD1020" s="36">
        <v>368.9391</v>
      </c>
    </row>
    <row r="1021" spans="1:30" s="37" customFormat="1" ht="15.75" customHeight="1" x14ac:dyDescent="0.2">
      <c r="A1021" s="26">
        <v>2667</v>
      </c>
      <c r="B1021" s="27" t="s">
        <v>1961</v>
      </c>
      <c r="C1021" s="27" t="s">
        <v>38</v>
      </c>
      <c r="D1021" s="28">
        <v>0.04</v>
      </c>
      <c r="E1021" s="29">
        <v>90.24</v>
      </c>
      <c r="F1021" s="29">
        <v>0.99</v>
      </c>
      <c r="G1021" s="30" t="s">
        <v>39</v>
      </c>
      <c r="H1021" s="27" t="s">
        <v>71</v>
      </c>
      <c r="I1021" s="27" t="s">
        <v>49</v>
      </c>
      <c r="J1021" s="27" t="s">
        <v>95</v>
      </c>
      <c r="K1021" s="27" t="s">
        <v>73</v>
      </c>
      <c r="L1021" s="31" t="s">
        <v>1962</v>
      </c>
      <c r="M1021" s="32">
        <v>0.56000000000000005</v>
      </c>
      <c r="N1021" s="27" t="s">
        <v>33</v>
      </c>
      <c r="O1021" s="27" t="s">
        <v>111</v>
      </c>
      <c r="P1021" s="27" t="s">
        <v>317</v>
      </c>
      <c r="Q1021" s="27" t="s">
        <v>1963</v>
      </c>
      <c r="R1021" s="33">
        <v>44107</v>
      </c>
      <c r="S1021" s="34">
        <v>42096</v>
      </c>
      <c r="T1021" s="34">
        <v>42098</v>
      </c>
      <c r="U1021" s="29">
        <v>246.2748</v>
      </c>
      <c r="V1021" s="26">
        <v>4</v>
      </c>
      <c r="W1021" s="29">
        <v>356.92</v>
      </c>
      <c r="X1021" s="26">
        <v>87831</v>
      </c>
      <c r="Y1021" s="35">
        <v>37.839999999999996</v>
      </c>
      <c r="Z1021" s="1" t="s">
        <v>3014</v>
      </c>
      <c r="AA1021" s="36">
        <v>14.4384</v>
      </c>
      <c r="AB1021" s="54">
        <v>157.04479999999998</v>
      </c>
      <c r="AC1021" s="54">
        <v>49.968800000000009</v>
      </c>
      <c r="AD1021" s="36">
        <v>95.216800000000035</v>
      </c>
    </row>
    <row r="1022" spans="1:30" s="37" customFormat="1" ht="15.75" customHeight="1" x14ac:dyDescent="0.2">
      <c r="A1022" s="26">
        <v>1777</v>
      </c>
      <c r="B1022" s="27" t="s">
        <v>172</v>
      </c>
      <c r="C1022" s="27" t="s">
        <v>3094</v>
      </c>
      <c r="D1022" s="28">
        <v>0.03</v>
      </c>
      <c r="E1022" s="29">
        <v>19.989999999999998</v>
      </c>
      <c r="F1022" s="29">
        <v>11.17</v>
      </c>
      <c r="G1022" s="30" t="s">
        <v>39</v>
      </c>
      <c r="H1022" s="27" t="s">
        <v>94</v>
      </c>
      <c r="I1022" s="27" t="s">
        <v>29</v>
      </c>
      <c r="J1022" s="27" t="s">
        <v>126</v>
      </c>
      <c r="K1022" s="27" t="s">
        <v>65</v>
      </c>
      <c r="L1022" s="31" t="s">
        <v>489</v>
      </c>
      <c r="M1022" s="32">
        <v>0.6</v>
      </c>
      <c r="N1022" s="27" t="s">
        <v>33</v>
      </c>
      <c r="O1022" s="27" t="s">
        <v>53</v>
      </c>
      <c r="P1022" s="27" t="s">
        <v>54</v>
      </c>
      <c r="Q1022" s="27" t="s">
        <v>174</v>
      </c>
      <c r="R1022" s="33">
        <v>46383</v>
      </c>
      <c r="S1022" s="34">
        <v>42096</v>
      </c>
      <c r="T1022" s="34">
        <v>42097</v>
      </c>
      <c r="U1022" s="29">
        <v>-20.8764</v>
      </c>
      <c r="V1022" s="26">
        <v>12</v>
      </c>
      <c r="W1022" s="29">
        <v>251.61</v>
      </c>
      <c r="X1022" s="26">
        <v>89942</v>
      </c>
      <c r="Y1022" s="35">
        <v>300.95000000000005</v>
      </c>
      <c r="Z1022" s="1" t="s">
        <v>3012</v>
      </c>
      <c r="AA1022" s="36">
        <v>7.1963999999999988</v>
      </c>
      <c r="AB1022" s="54">
        <v>100.64400000000001</v>
      </c>
      <c r="AC1022" s="54">
        <v>12.580500000000001</v>
      </c>
      <c r="AD1022" s="36">
        <v>254.12</v>
      </c>
    </row>
    <row r="1023" spans="1:30" s="37" customFormat="1" ht="15.75" customHeight="1" x14ac:dyDescent="0.2">
      <c r="A1023" s="26">
        <v>2957</v>
      </c>
      <c r="B1023" s="27" t="s">
        <v>1967</v>
      </c>
      <c r="C1023" s="27" t="s">
        <v>116</v>
      </c>
      <c r="D1023" s="28">
        <v>0.1</v>
      </c>
      <c r="E1023" s="29">
        <v>37.94</v>
      </c>
      <c r="F1023" s="29">
        <v>5.08</v>
      </c>
      <c r="G1023" s="30" t="s">
        <v>87</v>
      </c>
      <c r="H1023" s="27" t="s">
        <v>94</v>
      </c>
      <c r="I1023" s="27" t="s">
        <v>49</v>
      </c>
      <c r="J1023" s="27" t="s">
        <v>88</v>
      </c>
      <c r="K1023" s="27" t="s">
        <v>51</v>
      </c>
      <c r="L1023" s="31" t="s">
        <v>1113</v>
      </c>
      <c r="M1023" s="32">
        <v>0.38</v>
      </c>
      <c r="N1023" s="27" t="s">
        <v>33</v>
      </c>
      <c r="O1023" s="27" t="s">
        <v>53</v>
      </c>
      <c r="P1023" s="27" t="s">
        <v>357</v>
      </c>
      <c r="Q1023" s="27" t="s">
        <v>1968</v>
      </c>
      <c r="R1023" s="33">
        <v>53209</v>
      </c>
      <c r="S1023" s="34">
        <v>42096</v>
      </c>
      <c r="T1023" s="34">
        <v>42098</v>
      </c>
      <c r="U1023" s="29">
        <v>95.054400000000001</v>
      </c>
      <c r="V1023" s="26">
        <v>4</v>
      </c>
      <c r="W1023" s="29">
        <v>137.76</v>
      </c>
      <c r="X1023" s="26">
        <v>90264</v>
      </c>
      <c r="Y1023" s="35">
        <v>2550.12</v>
      </c>
      <c r="Z1023" s="1" t="s">
        <v>3012</v>
      </c>
      <c r="AA1023" s="36">
        <v>15.176</v>
      </c>
      <c r="AB1023" s="54">
        <v>85.411199999999994</v>
      </c>
      <c r="AC1023" s="54">
        <v>13.087199999999999</v>
      </c>
      <c r="AD1023" s="36">
        <v>22.44959999999999</v>
      </c>
    </row>
    <row r="1024" spans="1:30" s="37" customFormat="1" ht="15.75" customHeight="1" x14ac:dyDescent="0.2">
      <c r="A1024" s="26">
        <v>2667</v>
      </c>
      <c r="B1024" s="27" t="s">
        <v>1961</v>
      </c>
      <c r="C1024" s="27" t="s">
        <v>38</v>
      </c>
      <c r="D1024" s="28">
        <v>0.09</v>
      </c>
      <c r="E1024" s="29">
        <v>47.9</v>
      </c>
      <c r="F1024" s="29">
        <v>5.86</v>
      </c>
      <c r="G1024" s="30" t="s">
        <v>87</v>
      </c>
      <c r="H1024" s="27" t="s">
        <v>71</v>
      </c>
      <c r="I1024" s="27" t="s">
        <v>49</v>
      </c>
      <c r="J1024" s="27" t="s">
        <v>88</v>
      </c>
      <c r="K1024" s="27" t="s">
        <v>73</v>
      </c>
      <c r="L1024" s="31" t="s">
        <v>1309</v>
      </c>
      <c r="M1024" s="32">
        <v>0.37</v>
      </c>
      <c r="N1024" s="27" t="s">
        <v>33</v>
      </c>
      <c r="O1024" s="27" t="s">
        <v>111</v>
      </c>
      <c r="P1024" s="27" t="s">
        <v>317</v>
      </c>
      <c r="Q1024" s="27" t="s">
        <v>1963</v>
      </c>
      <c r="R1024" s="33">
        <v>44107</v>
      </c>
      <c r="S1024" s="34">
        <v>42096</v>
      </c>
      <c r="T1024" s="34">
        <v>42098</v>
      </c>
      <c r="U1024" s="29">
        <v>93.950400000000002</v>
      </c>
      <c r="V1024" s="26">
        <v>3</v>
      </c>
      <c r="W1024" s="29">
        <v>136.16</v>
      </c>
      <c r="X1024" s="26">
        <v>87831</v>
      </c>
      <c r="Y1024" s="35">
        <v>19.959999999999997</v>
      </c>
      <c r="Z1024" s="1" t="s">
        <v>3014</v>
      </c>
      <c r="AA1024" s="36">
        <v>12.933</v>
      </c>
      <c r="AB1024" s="54">
        <v>85.780799999999999</v>
      </c>
      <c r="AC1024" s="54">
        <v>16.793066666666665</v>
      </c>
      <c r="AD1024" s="36">
        <v>23.416599999999988</v>
      </c>
    </row>
    <row r="1025" spans="1:30" s="37" customFormat="1" ht="15.75" customHeight="1" x14ac:dyDescent="0.2">
      <c r="A1025" s="26">
        <v>1733</v>
      </c>
      <c r="B1025" s="27" t="s">
        <v>2001</v>
      </c>
      <c r="C1025" s="27" t="s">
        <v>3094</v>
      </c>
      <c r="D1025" s="28">
        <v>0.02</v>
      </c>
      <c r="E1025" s="29">
        <v>1270.99</v>
      </c>
      <c r="F1025" s="29">
        <v>19.989999999999998</v>
      </c>
      <c r="G1025" s="30" t="s">
        <v>39</v>
      </c>
      <c r="H1025" s="27" t="s">
        <v>3095</v>
      </c>
      <c r="I1025" s="27" t="s">
        <v>49</v>
      </c>
      <c r="J1025" s="27" t="s">
        <v>72</v>
      </c>
      <c r="K1025" s="27" t="s">
        <v>73</v>
      </c>
      <c r="L1025" s="31" t="s">
        <v>652</v>
      </c>
      <c r="M1025" s="32">
        <v>0.35</v>
      </c>
      <c r="N1025" s="27" t="s">
        <v>33</v>
      </c>
      <c r="O1025" s="27" t="s">
        <v>111</v>
      </c>
      <c r="P1025" s="27" t="s">
        <v>374</v>
      </c>
      <c r="Q1025" s="27" t="s">
        <v>67</v>
      </c>
      <c r="R1025" s="33">
        <v>20012</v>
      </c>
      <c r="S1025" s="34">
        <v>42098</v>
      </c>
      <c r="T1025" s="34">
        <v>42100</v>
      </c>
      <c r="U1025" s="29">
        <v>9228.2255999999998</v>
      </c>
      <c r="V1025" s="26">
        <v>36</v>
      </c>
      <c r="W1025" s="29">
        <v>45737.33</v>
      </c>
      <c r="X1025" s="26">
        <v>3841</v>
      </c>
      <c r="Y1025" s="35">
        <v>6.4200000000000008</v>
      </c>
      <c r="Z1025" s="1" t="s">
        <v>3014</v>
      </c>
      <c r="AA1025" s="36">
        <v>915.11280000000011</v>
      </c>
      <c r="AB1025" s="54">
        <v>29729.264500000001</v>
      </c>
      <c r="AC1025" s="54">
        <v>444.66848611111106</v>
      </c>
      <c r="AD1025" s="36">
        <v>35574.001600000003</v>
      </c>
    </row>
    <row r="1026" spans="1:30" s="37" customFormat="1" ht="15.75" customHeight="1" x14ac:dyDescent="0.2">
      <c r="A1026" s="26">
        <v>1734</v>
      </c>
      <c r="B1026" s="27" t="s">
        <v>2002</v>
      </c>
      <c r="C1026" s="27" t="s">
        <v>3094</v>
      </c>
      <c r="D1026" s="28">
        <v>0.02</v>
      </c>
      <c r="E1026" s="29">
        <v>1270.99</v>
      </c>
      <c r="F1026" s="29">
        <v>19.989999999999998</v>
      </c>
      <c r="G1026" s="30" t="s">
        <v>39</v>
      </c>
      <c r="H1026" s="27" t="s">
        <v>3095</v>
      </c>
      <c r="I1026" s="27" t="s">
        <v>49</v>
      </c>
      <c r="J1026" s="27" t="s">
        <v>72</v>
      </c>
      <c r="K1026" s="27" t="s">
        <v>73</v>
      </c>
      <c r="L1026" s="31" t="s">
        <v>652</v>
      </c>
      <c r="M1026" s="32">
        <v>0.35</v>
      </c>
      <c r="N1026" s="27" t="s">
        <v>33</v>
      </c>
      <c r="O1026" s="27" t="s">
        <v>111</v>
      </c>
      <c r="P1026" s="27" t="s">
        <v>112</v>
      </c>
      <c r="Q1026" s="27" t="s">
        <v>2003</v>
      </c>
      <c r="R1026" s="33">
        <v>10528</v>
      </c>
      <c r="S1026" s="34">
        <v>42098</v>
      </c>
      <c r="T1026" s="34">
        <v>42100</v>
      </c>
      <c r="U1026" s="29">
        <v>7889.6877000000004</v>
      </c>
      <c r="V1026" s="26">
        <v>9</v>
      </c>
      <c r="W1026" s="29">
        <v>11434.33</v>
      </c>
      <c r="X1026" s="26">
        <v>88443</v>
      </c>
      <c r="Y1026" s="35">
        <v>59.75</v>
      </c>
      <c r="Z1026" s="1" t="s">
        <v>3014</v>
      </c>
      <c r="AA1026" s="36">
        <v>228.77820000000003</v>
      </c>
      <c r="AB1026" s="54">
        <v>7432.3145000000004</v>
      </c>
      <c r="AC1026" s="54">
        <v>444.6683888888889</v>
      </c>
      <c r="AD1026" s="36">
        <v>3295.8741</v>
      </c>
    </row>
    <row r="1027" spans="1:30" s="37" customFormat="1" ht="15.75" customHeight="1" x14ac:dyDescent="0.2">
      <c r="A1027" s="26">
        <v>1734</v>
      </c>
      <c r="B1027" s="27" t="s">
        <v>2002</v>
      </c>
      <c r="C1027" s="27" t="s">
        <v>3094</v>
      </c>
      <c r="D1027" s="28">
        <v>0.05</v>
      </c>
      <c r="E1027" s="29">
        <v>205.99</v>
      </c>
      <c r="F1027" s="29">
        <v>8.99</v>
      </c>
      <c r="G1027" s="30" t="s">
        <v>87</v>
      </c>
      <c r="H1027" s="27" t="s">
        <v>3095</v>
      </c>
      <c r="I1027" s="27" t="s">
        <v>41</v>
      </c>
      <c r="J1027" s="27" t="s">
        <v>135</v>
      </c>
      <c r="K1027" s="27" t="s">
        <v>73</v>
      </c>
      <c r="L1027" s="31" t="s">
        <v>1032</v>
      </c>
      <c r="M1027" s="32">
        <v>0.6</v>
      </c>
      <c r="N1027" s="27" t="s">
        <v>33</v>
      </c>
      <c r="O1027" s="27" t="s">
        <v>111</v>
      </c>
      <c r="P1027" s="27" t="s">
        <v>112</v>
      </c>
      <c r="Q1027" s="27" t="s">
        <v>2003</v>
      </c>
      <c r="R1027" s="33">
        <v>10528</v>
      </c>
      <c r="S1027" s="34">
        <v>42098</v>
      </c>
      <c r="T1027" s="34">
        <v>42100</v>
      </c>
      <c r="U1027" s="29">
        <v>1545.8097600000001</v>
      </c>
      <c r="V1027" s="26">
        <v>19</v>
      </c>
      <c r="W1027" s="29">
        <v>3229.24</v>
      </c>
      <c r="X1027" s="26">
        <v>88443</v>
      </c>
      <c r="Y1027" s="35">
        <v>7.38</v>
      </c>
      <c r="Z1027" s="1" t="s">
        <v>3014</v>
      </c>
      <c r="AA1027" s="36">
        <v>195.69050000000004</v>
      </c>
      <c r="AB1027" s="54">
        <v>1291.6959999999999</v>
      </c>
      <c r="AC1027" s="54">
        <v>101.97599999999998</v>
      </c>
      <c r="AD1027" s="36">
        <v>1478.7497399999997</v>
      </c>
    </row>
    <row r="1028" spans="1:30" s="37" customFormat="1" ht="15.75" customHeight="1" x14ac:dyDescent="0.2">
      <c r="A1028" s="26">
        <v>1733</v>
      </c>
      <c r="B1028" s="27" t="s">
        <v>2001</v>
      </c>
      <c r="C1028" s="27" t="s">
        <v>3094</v>
      </c>
      <c r="D1028" s="28">
        <v>0.02</v>
      </c>
      <c r="E1028" s="29">
        <v>60.98</v>
      </c>
      <c r="F1028" s="29">
        <v>49</v>
      </c>
      <c r="G1028" s="30" t="s">
        <v>39</v>
      </c>
      <c r="H1028" s="27" t="s">
        <v>3095</v>
      </c>
      <c r="I1028" s="27" t="s">
        <v>49</v>
      </c>
      <c r="J1028" s="27" t="s">
        <v>95</v>
      </c>
      <c r="K1028" s="27" t="s">
        <v>65</v>
      </c>
      <c r="L1028" s="31" t="s">
        <v>1530</v>
      </c>
      <c r="M1028" s="32">
        <v>0.59</v>
      </c>
      <c r="N1028" s="27" t="s">
        <v>33</v>
      </c>
      <c r="O1028" s="27" t="s">
        <v>111</v>
      </c>
      <c r="P1028" s="27" t="s">
        <v>374</v>
      </c>
      <c r="Q1028" s="27" t="s">
        <v>67</v>
      </c>
      <c r="R1028" s="33">
        <v>20012</v>
      </c>
      <c r="S1028" s="34">
        <v>42098</v>
      </c>
      <c r="T1028" s="34">
        <v>42100</v>
      </c>
      <c r="U1028" s="29">
        <v>-662.52</v>
      </c>
      <c r="V1028" s="26">
        <v>34</v>
      </c>
      <c r="W1028" s="29">
        <v>2119.54</v>
      </c>
      <c r="X1028" s="26">
        <v>3841</v>
      </c>
      <c r="Y1028" s="35">
        <v>8.2900000000000009</v>
      </c>
      <c r="Z1028" s="1" t="s">
        <v>3014</v>
      </c>
      <c r="AA1028" s="36">
        <v>41.4664</v>
      </c>
      <c r="AB1028" s="54">
        <v>869.01140000000009</v>
      </c>
      <c r="AC1028" s="54">
        <v>36.780252941176464</v>
      </c>
      <c r="AD1028" s="36">
        <v>2691.5936000000002</v>
      </c>
    </row>
    <row r="1029" spans="1:30" s="37" customFormat="1" ht="15.75" customHeight="1" x14ac:dyDescent="0.2">
      <c r="A1029" s="26">
        <v>2548</v>
      </c>
      <c r="B1029" s="27" t="s">
        <v>1984</v>
      </c>
      <c r="C1029" s="27" t="s">
        <v>48</v>
      </c>
      <c r="D1029" s="28">
        <v>0</v>
      </c>
      <c r="E1029" s="29">
        <v>35.99</v>
      </c>
      <c r="F1029" s="29">
        <v>0.99</v>
      </c>
      <c r="G1029" s="30" t="s">
        <v>39</v>
      </c>
      <c r="H1029" s="27" t="s">
        <v>3095</v>
      </c>
      <c r="I1029" s="27" t="s">
        <v>41</v>
      </c>
      <c r="J1029" s="27" t="s">
        <v>135</v>
      </c>
      <c r="K1029" s="27" t="s">
        <v>43</v>
      </c>
      <c r="L1029" s="31" t="s">
        <v>1985</v>
      </c>
      <c r="M1029" s="32">
        <v>0.35</v>
      </c>
      <c r="N1029" s="27" t="s">
        <v>33</v>
      </c>
      <c r="O1029" s="27" t="s">
        <v>60</v>
      </c>
      <c r="P1029" s="27" t="s">
        <v>90</v>
      </c>
      <c r="Q1029" s="27" t="s">
        <v>100</v>
      </c>
      <c r="R1029" s="33">
        <v>90068</v>
      </c>
      <c r="S1029" s="34">
        <v>42098</v>
      </c>
      <c r="T1029" s="34">
        <v>42105</v>
      </c>
      <c r="U1029" s="29">
        <v>840.05100000000004</v>
      </c>
      <c r="V1029" s="26">
        <v>46</v>
      </c>
      <c r="W1029" s="29">
        <v>1477.57</v>
      </c>
      <c r="X1029" s="26">
        <v>46436</v>
      </c>
      <c r="Y1029" s="35">
        <v>2.12</v>
      </c>
      <c r="Z1029" s="1" t="s">
        <v>3013</v>
      </c>
      <c r="AA1029" s="36">
        <v>0</v>
      </c>
      <c r="AB1029" s="54">
        <v>960.42049999999995</v>
      </c>
      <c r="AC1029" s="54">
        <v>11.242380434782607</v>
      </c>
      <c r="AD1029" s="36">
        <v>636.52899999999988</v>
      </c>
    </row>
    <row r="1030" spans="1:30" s="37" customFormat="1" ht="15.75" customHeight="1" x14ac:dyDescent="0.2">
      <c r="A1030" s="26">
        <v>2441</v>
      </c>
      <c r="B1030" s="27" t="s">
        <v>1993</v>
      </c>
      <c r="C1030" s="27" t="s">
        <v>116</v>
      </c>
      <c r="D1030" s="28">
        <v>0.02</v>
      </c>
      <c r="E1030" s="29">
        <v>63.94</v>
      </c>
      <c r="F1030" s="29">
        <v>14.48</v>
      </c>
      <c r="G1030" s="30" t="s">
        <v>39</v>
      </c>
      <c r="H1030" s="27" t="s">
        <v>40</v>
      </c>
      <c r="I1030" s="27" t="s">
        <v>29</v>
      </c>
      <c r="J1030" s="27" t="s">
        <v>126</v>
      </c>
      <c r="K1030" s="27" t="s">
        <v>73</v>
      </c>
      <c r="L1030" s="31" t="s">
        <v>1994</v>
      </c>
      <c r="M1030" s="32">
        <v>0.46</v>
      </c>
      <c r="N1030" s="27" t="s">
        <v>33</v>
      </c>
      <c r="O1030" s="27" t="s">
        <v>34</v>
      </c>
      <c r="P1030" s="27" t="s">
        <v>123</v>
      </c>
      <c r="Q1030" s="27" t="s">
        <v>1995</v>
      </c>
      <c r="R1030" s="33">
        <v>32935</v>
      </c>
      <c r="S1030" s="34">
        <v>42098</v>
      </c>
      <c r="T1030" s="34">
        <v>42098</v>
      </c>
      <c r="U1030" s="29">
        <v>-100.17</v>
      </c>
      <c r="V1030" s="26">
        <v>11</v>
      </c>
      <c r="W1030" s="29">
        <v>709.7</v>
      </c>
      <c r="X1030" s="26">
        <v>89300</v>
      </c>
      <c r="Y1030" s="35">
        <v>10.34</v>
      </c>
      <c r="Z1030" s="1" t="s">
        <v>3011</v>
      </c>
      <c r="AA1030" s="36">
        <v>14.066799999999999</v>
      </c>
      <c r="AB1030" s="54">
        <v>383.23800000000006</v>
      </c>
      <c r="AC1030" s="54">
        <v>29.678363636363638</v>
      </c>
      <c r="AD1030" s="36">
        <v>781.32320000000004</v>
      </c>
    </row>
    <row r="1031" spans="1:30" s="37" customFormat="1" ht="15.75" customHeight="1" x14ac:dyDescent="0.2">
      <c r="A1031" s="26">
        <v>1734</v>
      </c>
      <c r="B1031" s="27" t="s">
        <v>2002</v>
      </c>
      <c r="C1031" s="27" t="s">
        <v>3094</v>
      </c>
      <c r="D1031" s="28">
        <v>0.02</v>
      </c>
      <c r="E1031" s="29">
        <v>60.98</v>
      </c>
      <c r="F1031" s="29">
        <v>49</v>
      </c>
      <c r="G1031" s="30" t="s">
        <v>39</v>
      </c>
      <c r="H1031" s="27" t="s">
        <v>3095</v>
      </c>
      <c r="I1031" s="27" t="s">
        <v>49</v>
      </c>
      <c r="J1031" s="27" t="s">
        <v>95</v>
      </c>
      <c r="K1031" s="27" t="s">
        <v>65</v>
      </c>
      <c r="L1031" s="31" t="s">
        <v>1530</v>
      </c>
      <c r="M1031" s="32">
        <v>0.59</v>
      </c>
      <c r="N1031" s="27" t="s">
        <v>33</v>
      </c>
      <c r="O1031" s="27" t="s">
        <v>111</v>
      </c>
      <c r="P1031" s="27" t="s">
        <v>112</v>
      </c>
      <c r="Q1031" s="27" t="s">
        <v>2003</v>
      </c>
      <c r="R1031" s="33">
        <v>10528</v>
      </c>
      <c r="S1031" s="34">
        <v>42098</v>
      </c>
      <c r="T1031" s="34">
        <v>42100</v>
      </c>
      <c r="U1031" s="29">
        <v>-596.26800000000003</v>
      </c>
      <c r="V1031" s="26">
        <v>9</v>
      </c>
      <c r="W1031" s="29">
        <v>561.05999999999995</v>
      </c>
      <c r="X1031" s="26">
        <v>88443</v>
      </c>
      <c r="Y1031" s="35">
        <v>35.99</v>
      </c>
      <c r="Z1031" s="1" t="s">
        <v>3014</v>
      </c>
      <c r="AA1031" s="36">
        <v>10.9764</v>
      </c>
      <c r="AB1031" s="54">
        <v>230.03459999999998</v>
      </c>
      <c r="AC1031" s="54">
        <v>36.780599999999993</v>
      </c>
      <c r="AD1031" s="36">
        <v>1097.3516</v>
      </c>
    </row>
    <row r="1032" spans="1:30" s="37" customFormat="1" ht="15.75" customHeight="1" x14ac:dyDescent="0.2">
      <c r="A1032" s="26">
        <v>911</v>
      </c>
      <c r="B1032" s="27" t="s">
        <v>902</v>
      </c>
      <c r="C1032" s="27" t="s">
        <v>38</v>
      </c>
      <c r="D1032" s="28">
        <v>0.01</v>
      </c>
      <c r="E1032" s="29">
        <v>59.76</v>
      </c>
      <c r="F1032" s="29">
        <v>9.7100000000000009</v>
      </c>
      <c r="G1032" s="30" t="s">
        <v>39</v>
      </c>
      <c r="H1032" s="27" t="s">
        <v>94</v>
      </c>
      <c r="I1032" s="27" t="s">
        <v>49</v>
      </c>
      <c r="J1032" s="27" t="s">
        <v>78</v>
      </c>
      <c r="K1032" s="27" t="s">
        <v>73</v>
      </c>
      <c r="L1032" s="31" t="s">
        <v>1973</v>
      </c>
      <c r="M1032" s="32">
        <v>0.56999999999999995</v>
      </c>
      <c r="N1032" s="27" t="s">
        <v>33</v>
      </c>
      <c r="O1032" s="27" t="s">
        <v>111</v>
      </c>
      <c r="P1032" s="27" t="s">
        <v>903</v>
      </c>
      <c r="Q1032" s="27" t="s">
        <v>904</v>
      </c>
      <c r="R1032" s="33">
        <v>26003</v>
      </c>
      <c r="S1032" s="34">
        <v>42098</v>
      </c>
      <c r="T1032" s="34">
        <v>42100</v>
      </c>
      <c r="U1032" s="29">
        <v>354.3288</v>
      </c>
      <c r="V1032" s="26">
        <v>8</v>
      </c>
      <c r="W1032" s="29">
        <v>513.52</v>
      </c>
      <c r="X1032" s="26">
        <v>90186</v>
      </c>
      <c r="Y1032" s="35">
        <v>35.99</v>
      </c>
      <c r="Z1032" s="1" t="s">
        <v>3014</v>
      </c>
      <c r="AA1032" s="36">
        <v>4.7808000000000002</v>
      </c>
      <c r="AB1032" s="54">
        <v>220.81360000000001</v>
      </c>
      <c r="AC1032" s="54">
        <v>36.588299999999997</v>
      </c>
      <c r="AD1032" s="36">
        <v>144.7004</v>
      </c>
    </row>
    <row r="1033" spans="1:30" s="37" customFormat="1" ht="15.75" customHeight="1" x14ac:dyDescent="0.2">
      <c r="A1033" s="26">
        <v>2551</v>
      </c>
      <c r="B1033" s="27" t="s">
        <v>1986</v>
      </c>
      <c r="C1033" s="27" t="s">
        <v>48</v>
      </c>
      <c r="D1033" s="28">
        <v>0</v>
      </c>
      <c r="E1033" s="29">
        <v>35.99</v>
      </c>
      <c r="F1033" s="29">
        <v>0.99</v>
      </c>
      <c r="G1033" s="30" t="s">
        <v>39</v>
      </c>
      <c r="H1033" s="27" t="s">
        <v>3095</v>
      </c>
      <c r="I1033" s="27" t="s">
        <v>41</v>
      </c>
      <c r="J1033" s="27" t="s">
        <v>135</v>
      </c>
      <c r="K1033" s="27" t="s">
        <v>43</v>
      </c>
      <c r="L1033" s="31" t="s">
        <v>1985</v>
      </c>
      <c r="M1033" s="32">
        <v>0.35</v>
      </c>
      <c r="N1033" s="27" t="s">
        <v>33</v>
      </c>
      <c r="O1033" s="27" t="s">
        <v>111</v>
      </c>
      <c r="P1033" s="27" t="s">
        <v>320</v>
      </c>
      <c r="Q1033" s="27" t="s">
        <v>1987</v>
      </c>
      <c r="R1033" s="33">
        <v>17403</v>
      </c>
      <c r="S1033" s="34">
        <v>42098</v>
      </c>
      <c r="T1033" s="34">
        <v>42105</v>
      </c>
      <c r="U1033" s="29">
        <v>265.96050000000002</v>
      </c>
      <c r="V1033" s="26">
        <v>12</v>
      </c>
      <c r="W1033" s="29">
        <v>385.45</v>
      </c>
      <c r="X1033" s="26">
        <v>88656</v>
      </c>
      <c r="Y1033" s="35">
        <v>4.9000000000000004</v>
      </c>
      <c r="Z1033" s="1" t="s">
        <v>3014</v>
      </c>
      <c r="AA1033" s="36">
        <v>0</v>
      </c>
      <c r="AB1033" s="54">
        <v>250.54249999999999</v>
      </c>
      <c r="AC1033" s="54">
        <v>11.242291666666665</v>
      </c>
      <c r="AD1033" s="36">
        <v>118.49949999999995</v>
      </c>
    </row>
    <row r="1034" spans="1:30" s="37" customFormat="1" ht="15.75" customHeight="1" x14ac:dyDescent="0.2">
      <c r="A1034" s="26">
        <v>117</v>
      </c>
      <c r="B1034" s="27" t="s">
        <v>141</v>
      </c>
      <c r="C1034" s="27" t="s">
        <v>116</v>
      </c>
      <c r="D1034" s="28">
        <v>0.01</v>
      </c>
      <c r="E1034" s="29">
        <v>4.91</v>
      </c>
      <c r="F1034" s="29">
        <v>0.5</v>
      </c>
      <c r="G1034" s="30" t="s">
        <v>39</v>
      </c>
      <c r="H1034" s="27" t="s">
        <v>71</v>
      </c>
      <c r="I1034" s="27" t="s">
        <v>49</v>
      </c>
      <c r="J1034" s="27" t="s">
        <v>152</v>
      </c>
      <c r="K1034" s="27" t="s">
        <v>73</v>
      </c>
      <c r="L1034" s="31" t="s">
        <v>973</v>
      </c>
      <c r="M1034" s="32">
        <v>0.36</v>
      </c>
      <c r="N1034" s="27" t="s">
        <v>33</v>
      </c>
      <c r="O1034" s="27" t="s">
        <v>60</v>
      </c>
      <c r="P1034" s="27" t="s">
        <v>67</v>
      </c>
      <c r="Q1034" s="27" t="s">
        <v>142</v>
      </c>
      <c r="R1034" s="33">
        <v>98103</v>
      </c>
      <c r="S1034" s="34">
        <v>42098</v>
      </c>
      <c r="T1034" s="34">
        <v>42100</v>
      </c>
      <c r="U1034" s="29">
        <v>112.06</v>
      </c>
      <c r="V1034" s="26">
        <v>47</v>
      </c>
      <c r="W1034" s="29">
        <v>228.46</v>
      </c>
      <c r="X1034" s="26">
        <v>13959</v>
      </c>
      <c r="Y1034" s="35">
        <v>3.91</v>
      </c>
      <c r="Z1034" s="1" t="s">
        <v>3013</v>
      </c>
      <c r="AA1034" s="36">
        <v>2.3077000000000001</v>
      </c>
      <c r="AB1034" s="54">
        <v>146.21440000000001</v>
      </c>
      <c r="AC1034" s="54">
        <v>1.7499063829787234</v>
      </c>
      <c r="AD1034" s="36">
        <v>113.59230000000001</v>
      </c>
    </row>
    <row r="1035" spans="1:30" s="37" customFormat="1" ht="15.75" customHeight="1" x14ac:dyDescent="0.2">
      <c r="A1035" s="26">
        <v>1918</v>
      </c>
      <c r="B1035" s="27" t="s">
        <v>1981</v>
      </c>
      <c r="C1035" s="27" t="s">
        <v>48</v>
      </c>
      <c r="D1035" s="28">
        <v>0.1</v>
      </c>
      <c r="E1035" s="29">
        <v>10.44</v>
      </c>
      <c r="F1035" s="29">
        <v>5.75</v>
      </c>
      <c r="G1035" s="30" t="s">
        <v>87</v>
      </c>
      <c r="H1035" s="27" t="s">
        <v>71</v>
      </c>
      <c r="I1035" s="27" t="s">
        <v>49</v>
      </c>
      <c r="J1035" s="27" t="s">
        <v>72</v>
      </c>
      <c r="K1035" s="27" t="s">
        <v>73</v>
      </c>
      <c r="L1035" s="31" t="s">
        <v>1982</v>
      </c>
      <c r="M1035" s="32">
        <v>0.39</v>
      </c>
      <c r="N1035" s="27" t="s">
        <v>33</v>
      </c>
      <c r="O1035" s="27" t="s">
        <v>34</v>
      </c>
      <c r="P1035" s="27" t="s">
        <v>45</v>
      </c>
      <c r="Q1035" s="27" t="s">
        <v>1983</v>
      </c>
      <c r="R1035" s="33">
        <v>72450</v>
      </c>
      <c r="S1035" s="34">
        <v>42098</v>
      </c>
      <c r="T1035" s="34">
        <v>42105</v>
      </c>
      <c r="U1035" s="29">
        <v>125.724</v>
      </c>
      <c r="V1035" s="26">
        <v>17</v>
      </c>
      <c r="W1035" s="29">
        <v>168.04</v>
      </c>
      <c r="X1035" s="26">
        <v>85898</v>
      </c>
      <c r="Y1035" s="35">
        <v>4.9000000000000004</v>
      </c>
      <c r="Z1035" s="1" t="s">
        <v>3011</v>
      </c>
      <c r="AA1035" s="36">
        <v>17.748000000000001</v>
      </c>
      <c r="AB1035" s="54">
        <v>102.50439999999999</v>
      </c>
      <c r="AC1035" s="54">
        <v>3.8550352941176471</v>
      </c>
      <c r="AD1035" s="36">
        <v>18.818000000000012</v>
      </c>
    </row>
    <row r="1036" spans="1:30" s="37" customFormat="1" ht="15.75" customHeight="1" x14ac:dyDescent="0.2">
      <c r="A1036" s="26">
        <v>1590</v>
      </c>
      <c r="B1036" s="27" t="s">
        <v>1988</v>
      </c>
      <c r="C1036" s="27" t="s">
        <v>116</v>
      </c>
      <c r="D1036" s="28">
        <v>0.03</v>
      </c>
      <c r="E1036" s="29">
        <v>19.04</v>
      </c>
      <c r="F1036" s="29">
        <v>6.38</v>
      </c>
      <c r="G1036" s="30" t="s">
        <v>87</v>
      </c>
      <c r="H1036" s="27" t="s">
        <v>94</v>
      </c>
      <c r="I1036" s="27" t="s">
        <v>29</v>
      </c>
      <c r="J1036" s="27" t="s">
        <v>126</v>
      </c>
      <c r="K1036" s="27" t="s">
        <v>73</v>
      </c>
      <c r="L1036" s="31" t="s">
        <v>1989</v>
      </c>
      <c r="M1036" s="32">
        <v>0.56000000000000005</v>
      </c>
      <c r="N1036" s="27" t="s">
        <v>33</v>
      </c>
      <c r="O1036" s="27" t="s">
        <v>111</v>
      </c>
      <c r="P1036" s="27" t="s">
        <v>317</v>
      </c>
      <c r="Q1036" s="27" t="s">
        <v>1990</v>
      </c>
      <c r="R1036" s="33">
        <v>44094</v>
      </c>
      <c r="S1036" s="34">
        <v>42098</v>
      </c>
      <c r="T1036" s="34">
        <v>42098</v>
      </c>
      <c r="U1036" s="29">
        <v>83.793599999999998</v>
      </c>
      <c r="V1036" s="26">
        <v>7</v>
      </c>
      <c r="W1036" s="29">
        <v>144.03</v>
      </c>
      <c r="X1036" s="26">
        <v>86668</v>
      </c>
      <c r="Y1036" s="35">
        <v>3.91</v>
      </c>
      <c r="Z1036" s="1" t="s">
        <v>3014</v>
      </c>
      <c r="AA1036" s="36">
        <v>3.9983999999999993</v>
      </c>
      <c r="AB1036" s="54">
        <v>63.37319999999999</v>
      </c>
      <c r="AC1036" s="54">
        <v>11.522400000000003</v>
      </c>
      <c r="AD1036" s="36">
        <v>49.858000000000004</v>
      </c>
    </row>
    <row r="1037" spans="1:30" s="37" customFormat="1" ht="15.75" customHeight="1" x14ac:dyDescent="0.2">
      <c r="A1037" s="26">
        <v>3400</v>
      </c>
      <c r="B1037" s="27" t="s">
        <v>1998</v>
      </c>
      <c r="C1037" s="27" t="s">
        <v>116</v>
      </c>
      <c r="D1037" s="28">
        <v>0.1</v>
      </c>
      <c r="E1037" s="29">
        <v>9.3800000000000008</v>
      </c>
      <c r="F1037" s="29">
        <v>4.93</v>
      </c>
      <c r="G1037" s="30" t="s">
        <v>87</v>
      </c>
      <c r="H1037" s="27" t="s">
        <v>3095</v>
      </c>
      <c r="I1037" s="27" t="s">
        <v>29</v>
      </c>
      <c r="J1037" s="27" t="s">
        <v>126</v>
      </c>
      <c r="K1037" s="27" t="s">
        <v>73</v>
      </c>
      <c r="L1037" s="31" t="s">
        <v>1999</v>
      </c>
      <c r="M1037" s="32">
        <v>0.56999999999999995</v>
      </c>
      <c r="N1037" s="27" t="s">
        <v>33</v>
      </c>
      <c r="O1037" s="27" t="s">
        <v>111</v>
      </c>
      <c r="P1037" s="27" t="s">
        <v>903</v>
      </c>
      <c r="Q1037" s="27" t="s">
        <v>2000</v>
      </c>
      <c r="R1037" s="33">
        <v>26554</v>
      </c>
      <c r="S1037" s="34">
        <v>42098</v>
      </c>
      <c r="T1037" s="34">
        <v>42098</v>
      </c>
      <c r="U1037" s="29">
        <v>-24.7104</v>
      </c>
      <c r="V1037" s="26">
        <v>15</v>
      </c>
      <c r="W1037" s="29">
        <v>135.78</v>
      </c>
      <c r="X1037" s="26">
        <v>87537</v>
      </c>
      <c r="Y1037" s="35">
        <v>19.009999999999998</v>
      </c>
      <c r="Z1037" s="1" t="s">
        <v>3014</v>
      </c>
      <c r="AA1037" s="36">
        <v>14.070000000000002</v>
      </c>
      <c r="AB1037" s="54">
        <v>58.385400000000004</v>
      </c>
      <c r="AC1037" s="54">
        <v>5.1596399999999996</v>
      </c>
      <c r="AD1037" s="36">
        <v>141.49039999999999</v>
      </c>
    </row>
    <row r="1038" spans="1:30" s="37" customFormat="1" ht="15.75" customHeight="1" x14ac:dyDescent="0.2">
      <c r="A1038" s="26">
        <v>321</v>
      </c>
      <c r="B1038" s="27" t="s">
        <v>1977</v>
      </c>
      <c r="C1038" s="27" t="s">
        <v>48</v>
      </c>
      <c r="D1038" s="28">
        <v>0.04</v>
      </c>
      <c r="E1038" s="29">
        <v>8.33</v>
      </c>
      <c r="F1038" s="29">
        <v>1.99</v>
      </c>
      <c r="G1038" s="30" t="s">
        <v>39</v>
      </c>
      <c r="H1038" s="27" t="s">
        <v>40</v>
      </c>
      <c r="I1038" s="27" t="s">
        <v>41</v>
      </c>
      <c r="J1038" s="27" t="s">
        <v>42</v>
      </c>
      <c r="K1038" s="27" t="s">
        <v>43</v>
      </c>
      <c r="L1038" s="31" t="s">
        <v>1174</v>
      </c>
      <c r="M1038" s="32">
        <v>0.52</v>
      </c>
      <c r="N1038" s="27" t="s">
        <v>33</v>
      </c>
      <c r="O1038" s="27" t="s">
        <v>111</v>
      </c>
      <c r="P1038" s="27" t="s">
        <v>418</v>
      </c>
      <c r="Q1038" s="27" t="s">
        <v>1978</v>
      </c>
      <c r="R1038" s="33">
        <v>20854</v>
      </c>
      <c r="S1038" s="34">
        <v>42098</v>
      </c>
      <c r="T1038" s="34">
        <v>42103</v>
      </c>
      <c r="U1038" s="29">
        <v>9.9268000000000001</v>
      </c>
      <c r="V1038" s="26">
        <v>11</v>
      </c>
      <c r="W1038" s="29">
        <v>89.76</v>
      </c>
      <c r="X1038" s="26">
        <v>91057</v>
      </c>
      <c r="Y1038" s="35">
        <v>5.5100000000000007</v>
      </c>
      <c r="Z1038" s="1" t="s">
        <v>3014</v>
      </c>
      <c r="AA1038" s="36">
        <v>3.6652</v>
      </c>
      <c r="AB1038" s="54">
        <v>43.084800000000001</v>
      </c>
      <c r="AC1038" s="54">
        <v>4.2431999999999999</v>
      </c>
      <c r="AD1038" s="36">
        <v>74.177999999999997</v>
      </c>
    </row>
    <row r="1039" spans="1:30" s="37" customFormat="1" ht="15.75" customHeight="1" x14ac:dyDescent="0.2">
      <c r="A1039" s="26">
        <v>117</v>
      </c>
      <c r="B1039" s="27" t="s">
        <v>141</v>
      </c>
      <c r="C1039" s="27" t="s">
        <v>116</v>
      </c>
      <c r="D1039" s="28">
        <v>0.09</v>
      </c>
      <c r="E1039" s="29">
        <v>4</v>
      </c>
      <c r="F1039" s="29">
        <v>1.3</v>
      </c>
      <c r="G1039" s="30" t="s">
        <v>87</v>
      </c>
      <c r="H1039" s="27" t="s">
        <v>71</v>
      </c>
      <c r="I1039" s="27" t="s">
        <v>49</v>
      </c>
      <c r="J1039" s="27" t="s">
        <v>88</v>
      </c>
      <c r="K1039" s="27" t="s">
        <v>51</v>
      </c>
      <c r="L1039" s="31" t="s">
        <v>371</v>
      </c>
      <c r="M1039" s="32">
        <v>0.37</v>
      </c>
      <c r="N1039" s="27" t="s">
        <v>33</v>
      </c>
      <c r="O1039" s="27" t="s">
        <v>60</v>
      </c>
      <c r="P1039" s="27" t="s">
        <v>67</v>
      </c>
      <c r="Q1039" s="27" t="s">
        <v>142</v>
      </c>
      <c r="R1039" s="33">
        <v>98103</v>
      </c>
      <c r="S1039" s="34">
        <v>42098</v>
      </c>
      <c r="T1039" s="34">
        <v>42100</v>
      </c>
      <c r="U1039" s="29">
        <v>16.79</v>
      </c>
      <c r="V1039" s="26">
        <v>19</v>
      </c>
      <c r="W1039" s="29">
        <v>77.61</v>
      </c>
      <c r="X1039" s="26">
        <v>13959</v>
      </c>
      <c r="Y1039" s="35">
        <v>63.919999999999995</v>
      </c>
      <c r="Z1039" s="1" t="s">
        <v>3013</v>
      </c>
      <c r="AA1039" s="36">
        <v>6.84</v>
      </c>
      <c r="AB1039" s="54">
        <v>48.894300000000001</v>
      </c>
      <c r="AC1039" s="54">
        <v>1.5113526315789474</v>
      </c>
      <c r="AD1039" s="36">
        <v>52.68</v>
      </c>
    </row>
    <row r="1040" spans="1:30" s="37" customFormat="1" ht="15.75" customHeight="1" x14ac:dyDescent="0.2">
      <c r="A1040" s="26">
        <v>2014</v>
      </c>
      <c r="B1040" s="27" t="s">
        <v>1788</v>
      </c>
      <c r="C1040" s="27" t="s">
        <v>26</v>
      </c>
      <c r="D1040" s="28">
        <v>0.06</v>
      </c>
      <c r="E1040" s="29">
        <v>6.48</v>
      </c>
      <c r="F1040" s="29">
        <v>7.49</v>
      </c>
      <c r="G1040" s="30" t="s">
        <v>39</v>
      </c>
      <c r="H1040" s="27" t="s">
        <v>71</v>
      </c>
      <c r="I1040" s="27" t="s">
        <v>49</v>
      </c>
      <c r="J1040" s="27" t="s">
        <v>88</v>
      </c>
      <c r="K1040" s="27" t="s">
        <v>73</v>
      </c>
      <c r="L1040" s="31" t="s">
        <v>1921</v>
      </c>
      <c r="M1040" s="32">
        <v>0.37</v>
      </c>
      <c r="N1040" s="27" t="s">
        <v>33</v>
      </c>
      <c r="O1040" s="27" t="s">
        <v>53</v>
      </c>
      <c r="P1040" s="27" t="s">
        <v>213</v>
      </c>
      <c r="Q1040" s="27" t="s">
        <v>1789</v>
      </c>
      <c r="R1040" s="33">
        <v>51503</v>
      </c>
      <c r="S1040" s="34">
        <v>42098</v>
      </c>
      <c r="T1040" s="34">
        <v>42098</v>
      </c>
      <c r="U1040" s="29">
        <v>-191.49</v>
      </c>
      <c r="V1040" s="26">
        <v>12</v>
      </c>
      <c r="W1040" s="29">
        <v>74.930000000000007</v>
      </c>
      <c r="X1040" s="26">
        <v>88368</v>
      </c>
      <c r="Y1040" s="35">
        <v>5.01</v>
      </c>
      <c r="Z1040" s="1" t="s">
        <v>3012</v>
      </c>
      <c r="AA1040" s="36">
        <v>4.6656000000000004</v>
      </c>
      <c r="AB1040" s="54">
        <v>47.205900000000007</v>
      </c>
      <c r="AC1040" s="54">
        <v>2.310341666666667</v>
      </c>
      <c r="AD1040" s="36">
        <v>254.26439999999999</v>
      </c>
    </row>
    <row r="1041" spans="1:30" s="37" customFormat="1" ht="15.75" customHeight="1" x14ac:dyDescent="0.2">
      <c r="A1041" s="26">
        <v>114</v>
      </c>
      <c r="B1041" s="27" t="s">
        <v>137</v>
      </c>
      <c r="C1041" s="27" t="s">
        <v>116</v>
      </c>
      <c r="D1041" s="28">
        <v>0.01</v>
      </c>
      <c r="E1041" s="29">
        <v>4.91</v>
      </c>
      <c r="F1041" s="29">
        <v>0.5</v>
      </c>
      <c r="G1041" s="30" t="s">
        <v>39</v>
      </c>
      <c r="H1041" s="27" t="s">
        <v>71</v>
      </c>
      <c r="I1041" s="27" t="s">
        <v>49</v>
      </c>
      <c r="J1041" s="27" t="s">
        <v>152</v>
      </c>
      <c r="K1041" s="27" t="s">
        <v>73</v>
      </c>
      <c r="L1041" s="31" t="s">
        <v>973</v>
      </c>
      <c r="M1041" s="32">
        <v>0.36</v>
      </c>
      <c r="N1041" s="27" t="s">
        <v>33</v>
      </c>
      <c r="O1041" s="27" t="s">
        <v>60</v>
      </c>
      <c r="P1041" s="27" t="s">
        <v>139</v>
      </c>
      <c r="Q1041" s="27" t="s">
        <v>140</v>
      </c>
      <c r="R1041" s="33">
        <v>97035</v>
      </c>
      <c r="S1041" s="34">
        <v>42098</v>
      </c>
      <c r="T1041" s="34">
        <v>42100</v>
      </c>
      <c r="U1041" s="29">
        <v>40.247700000000002</v>
      </c>
      <c r="V1041" s="26">
        <v>12</v>
      </c>
      <c r="W1041" s="29">
        <v>58.33</v>
      </c>
      <c r="X1041" s="26">
        <v>89584</v>
      </c>
      <c r="Y1041" s="35">
        <v>9.2800000000000011</v>
      </c>
      <c r="Z1041" s="1" t="s">
        <v>3013</v>
      </c>
      <c r="AA1041" s="36">
        <v>0.58920000000000006</v>
      </c>
      <c r="AB1041" s="54">
        <v>37.331200000000003</v>
      </c>
      <c r="AC1041" s="54">
        <v>1.7498999999999998</v>
      </c>
      <c r="AD1041" s="36">
        <v>16.993099999999998</v>
      </c>
    </row>
    <row r="1042" spans="1:30" s="37" customFormat="1" ht="15.75" customHeight="1" x14ac:dyDescent="0.2">
      <c r="A1042" s="26">
        <v>1593</v>
      </c>
      <c r="B1042" s="27" t="s">
        <v>1991</v>
      </c>
      <c r="C1042" s="27" t="s">
        <v>116</v>
      </c>
      <c r="D1042" s="28">
        <v>0.02</v>
      </c>
      <c r="E1042" s="29">
        <v>5.53</v>
      </c>
      <c r="F1042" s="29">
        <v>6.98</v>
      </c>
      <c r="G1042" s="30" t="s">
        <v>39</v>
      </c>
      <c r="H1042" s="27" t="s">
        <v>94</v>
      </c>
      <c r="I1042" s="27" t="s">
        <v>49</v>
      </c>
      <c r="J1042" s="27" t="s">
        <v>72</v>
      </c>
      <c r="K1042" s="27" t="s">
        <v>73</v>
      </c>
      <c r="L1042" s="31" t="s">
        <v>1992</v>
      </c>
      <c r="M1042" s="32">
        <v>0.39</v>
      </c>
      <c r="N1042" s="27" t="s">
        <v>33</v>
      </c>
      <c r="O1042" s="27" t="s">
        <v>53</v>
      </c>
      <c r="P1042" s="27" t="s">
        <v>207</v>
      </c>
      <c r="Q1042" s="27" t="s">
        <v>550</v>
      </c>
      <c r="R1042" s="33">
        <v>74006</v>
      </c>
      <c r="S1042" s="34">
        <v>42098</v>
      </c>
      <c r="T1042" s="34">
        <v>42100</v>
      </c>
      <c r="U1042" s="29">
        <v>-77.823719999999994</v>
      </c>
      <c r="V1042" s="26">
        <v>8</v>
      </c>
      <c r="W1042" s="29">
        <v>48.81</v>
      </c>
      <c r="X1042" s="26">
        <v>86668</v>
      </c>
      <c r="Y1042" s="35">
        <v>60.959999999999994</v>
      </c>
      <c r="Z1042" s="1" t="s">
        <v>3012</v>
      </c>
      <c r="AA1042" s="36">
        <v>0.88480000000000003</v>
      </c>
      <c r="AB1042" s="54">
        <v>29.774100000000001</v>
      </c>
      <c r="AC1042" s="54">
        <v>2.3794875000000002</v>
      </c>
      <c r="AD1042" s="36">
        <v>118.76891999999999</v>
      </c>
    </row>
    <row r="1043" spans="1:30" s="37" customFormat="1" ht="15.75" customHeight="1" x14ac:dyDescent="0.2">
      <c r="A1043" s="26">
        <v>2442</v>
      </c>
      <c r="B1043" s="27" t="s">
        <v>1996</v>
      </c>
      <c r="C1043" s="27" t="s">
        <v>116</v>
      </c>
      <c r="D1043" s="28">
        <v>0.01</v>
      </c>
      <c r="E1043" s="29">
        <v>5.0199999999999996</v>
      </c>
      <c r="F1043" s="29">
        <v>5.14</v>
      </c>
      <c r="G1043" s="30" t="s">
        <v>39</v>
      </c>
      <c r="H1043" s="27" t="s">
        <v>40</v>
      </c>
      <c r="I1043" s="27" t="s">
        <v>41</v>
      </c>
      <c r="J1043" s="27" t="s">
        <v>42</v>
      </c>
      <c r="K1043" s="27" t="s">
        <v>43</v>
      </c>
      <c r="L1043" s="31" t="s">
        <v>391</v>
      </c>
      <c r="M1043" s="32">
        <v>0.79</v>
      </c>
      <c r="N1043" s="27" t="s">
        <v>33</v>
      </c>
      <c r="O1043" s="27" t="s">
        <v>34</v>
      </c>
      <c r="P1043" s="27" t="s">
        <v>123</v>
      </c>
      <c r="Q1043" s="27" t="s">
        <v>1997</v>
      </c>
      <c r="R1043" s="33">
        <v>32953</v>
      </c>
      <c r="S1043" s="34">
        <v>42098</v>
      </c>
      <c r="T1043" s="34">
        <v>42100</v>
      </c>
      <c r="U1043" s="29">
        <v>-3.948</v>
      </c>
      <c r="V1043" s="26">
        <v>5</v>
      </c>
      <c r="W1043" s="29">
        <v>27.42</v>
      </c>
      <c r="X1043" s="26">
        <v>89300</v>
      </c>
      <c r="Y1043" s="35">
        <v>1270.97</v>
      </c>
      <c r="Z1043" s="1" t="s">
        <v>3011</v>
      </c>
      <c r="AA1043" s="36">
        <v>0.251</v>
      </c>
      <c r="AB1043" s="54">
        <v>5.7581999999999995</v>
      </c>
      <c r="AC1043" s="54">
        <v>4.3323600000000004</v>
      </c>
      <c r="AD1043" s="36">
        <v>25.977000000000004</v>
      </c>
    </row>
    <row r="1044" spans="1:30" s="37" customFormat="1" ht="15.75" customHeight="1" x14ac:dyDescent="0.2">
      <c r="A1044" s="26">
        <v>114</v>
      </c>
      <c r="B1044" s="27" t="s">
        <v>137</v>
      </c>
      <c r="C1044" s="27" t="s">
        <v>116</v>
      </c>
      <c r="D1044" s="28">
        <v>0.09</v>
      </c>
      <c r="E1044" s="29">
        <v>4</v>
      </c>
      <c r="F1044" s="29">
        <v>1.3</v>
      </c>
      <c r="G1044" s="30" t="s">
        <v>87</v>
      </c>
      <c r="H1044" s="27" t="s">
        <v>71</v>
      </c>
      <c r="I1044" s="27" t="s">
        <v>49</v>
      </c>
      <c r="J1044" s="27" t="s">
        <v>88</v>
      </c>
      <c r="K1044" s="27" t="s">
        <v>51</v>
      </c>
      <c r="L1044" s="31" t="s">
        <v>371</v>
      </c>
      <c r="M1044" s="32">
        <v>0.37</v>
      </c>
      <c r="N1044" s="27" t="s">
        <v>33</v>
      </c>
      <c r="O1044" s="27" t="s">
        <v>60</v>
      </c>
      <c r="P1044" s="27" t="s">
        <v>139</v>
      </c>
      <c r="Q1044" s="27" t="s">
        <v>140</v>
      </c>
      <c r="R1044" s="33">
        <v>97035</v>
      </c>
      <c r="S1044" s="34">
        <v>42098</v>
      </c>
      <c r="T1044" s="34">
        <v>42100</v>
      </c>
      <c r="U1044" s="29">
        <v>14.0898</v>
      </c>
      <c r="V1044" s="26">
        <v>5</v>
      </c>
      <c r="W1044" s="29">
        <v>20.420000000000002</v>
      </c>
      <c r="X1044" s="26">
        <v>89584</v>
      </c>
      <c r="Y1044" s="35">
        <v>60.959999999999994</v>
      </c>
      <c r="Z1044" s="1" t="s">
        <v>3013</v>
      </c>
      <c r="AA1044" s="36">
        <v>1.7999999999999998</v>
      </c>
      <c r="AB1044" s="54">
        <v>12.864600000000001</v>
      </c>
      <c r="AC1044" s="54">
        <v>1.5110800000000002</v>
      </c>
      <c r="AD1044" s="36">
        <v>3.2302</v>
      </c>
    </row>
    <row r="1045" spans="1:30" s="37" customFormat="1" ht="15.75" customHeight="1" x14ac:dyDescent="0.2">
      <c r="A1045" s="26">
        <v>2685</v>
      </c>
      <c r="B1045" s="27" t="s">
        <v>1974</v>
      </c>
      <c r="C1045" s="27" t="s">
        <v>38</v>
      </c>
      <c r="D1045" s="28">
        <v>0</v>
      </c>
      <c r="E1045" s="29">
        <v>7.38</v>
      </c>
      <c r="F1045" s="29">
        <v>11.51</v>
      </c>
      <c r="G1045" s="30" t="s">
        <v>39</v>
      </c>
      <c r="H1045" s="27" t="s">
        <v>3095</v>
      </c>
      <c r="I1045" s="27" t="s">
        <v>49</v>
      </c>
      <c r="J1045" s="27" t="s">
        <v>72</v>
      </c>
      <c r="K1045" s="27" t="s">
        <v>73</v>
      </c>
      <c r="L1045" s="31" t="s">
        <v>1975</v>
      </c>
      <c r="M1045" s="32">
        <v>0.36</v>
      </c>
      <c r="N1045" s="27" t="s">
        <v>33</v>
      </c>
      <c r="O1045" s="27" t="s">
        <v>111</v>
      </c>
      <c r="P1045" s="27" t="s">
        <v>112</v>
      </c>
      <c r="Q1045" s="27" t="s">
        <v>1976</v>
      </c>
      <c r="R1045" s="33">
        <v>11803</v>
      </c>
      <c r="S1045" s="34">
        <v>42098</v>
      </c>
      <c r="T1045" s="34">
        <v>42099</v>
      </c>
      <c r="U1045" s="29">
        <v>-66.171000000000006</v>
      </c>
      <c r="V1045" s="26">
        <v>2</v>
      </c>
      <c r="W1045" s="29">
        <v>17.64</v>
      </c>
      <c r="X1045" s="26">
        <v>89147</v>
      </c>
      <c r="Y1045" s="35">
        <v>1270.97</v>
      </c>
      <c r="Z1045" s="1" t="s">
        <v>3014</v>
      </c>
      <c r="AA1045" s="36">
        <v>0</v>
      </c>
      <c r="AB1045" s="54">
        <v>11.2896</v>
      </c>
      <c r="AC1045" s="54">
        <v>3.1751999999999998</v>
      </c>
      <c r="AD1045" s="36">
        <v>72.301000000000016</v>
      </c>
    </row>
    <row r="1046" spans="1:30" s="37" customFormat="1" ht="15.75" customHeight="1" x14ac:dyDescent="0.2">
      <c r="A1046" s="26">
        <v>975</v>
      </c>
      <c r="B1046" s="27" t="s">
        <v>1979</v>
      </c>
      <c r="C1046" s="27" t="s">
        <v>48</v>
      </c>
      <c r="D1046" s="28">
        <v>0.1</v>
      </c>
      <c r="E1046" s="29">
        <v>2.2200000000000002</v>
      </c>
      <c r="F1046" s="29">
        <v>5</v>
      </c>
      <c r="G1046" s="30" t="s">
        <v>39</v>
      </c>
      <c r="H1046" s="27" t="s">
        <v>94</v>
      </c>
      <c r="I1046" s="27" t="s">
        <v>49</v>
      </c>
      <c r="J1046" s="27" t="s">
        <v>95</v>
      </c>
      <c r="K1046" s="27" t="s">
        <v>73</v>
      </c>
      <c r="L1046" s="31" t="s">
        <v>1980</v>
      </c>
      <c r="M1046" s="32">
        <v>0.55000000000000004</v>
      </c>
      <c r="N1046" s="27" t="s">
        <v>33</v>
      </c>
      <c r="O1046" s="27" t="s">
        <v>111</v>
      </c>
      <c r="P1046" s="27" t="s">
        <v>403</v>
      </c>
      <c r="Q1046" s="27" t="s">
        <v>788</v>
      </c>
      <c r="R1046" s="33">
        <v>2108</v>
      </c>
      <c r="S1046" s="34">
        <v>42098</v>
      </c>
      <c r="T1046" s="34">
        <v>42103</v>
      </c>
      <c r="U1046" s="29">
        <v>-21.319199999999999</v>
      </c>
      <c r="V1046" s="26">
        <v>3</v>
      </c>
      <c r="W1046" s="29">
        <v>8.8000000000000007</v>
      </c>
      <c r="X1046" s="26">
        <v>87260</v>
      </c>
      <c r="Y1046" s="35">
        <v>205.94</v>
      </c>
      <c r="Z1046" s="1" t="s">
        <v>3014</v>
      </c>
      <c r="AA1046" s="36">
        <v>0.66600000000000015</v>
      </c>
      <c r="AB1046" s="54">
        <v>3.96</v>
      </c>
      <c r="AC1046" s="54">
        <v>1.6133333333333335</v>
      </c>
      <c r="AD1046" s="36">
        <v>24.453199999999999</v>
      </c>
    </row>
    <row r="1047" spans="1:30" s="37" customFormat="1" ht="15.75" customHeight="1" x14ac:dyDescent="0.2">
      <c r="A1047" s="26">
        <v>2603</v>
      </c>
      <c r="B1047" s="27" t="s">
        <v>2004</v>
      </c>
      <c r="C1047" s="27" t="s">
        <v>26</v>
      </c>
      <c r="D1047" s="28">
        <v>7.0000000000000007E-2</v>
      </c>
      <c r="E1047" s="29">
        <v>200.99</v>
      </c>
      <c r="F1047" s="29">
        <v>4.2</v>
      </c>
      <c r="G1047" s="30" t="s">
        <v>39</v>
      </c>
      <c r="H1047" s="27" t="s">
        <v>94</v>
      </c>
      <c r="I1047" s="27" t="s">
        <v>41</v>
      </c>
      <c r="J1047" s="27" t="s">
        <v>135</v>
      </c>
      <c r="K1047" s="27" t="s">
        <v>73</v>
      </c>
      <c r="L1047" s="31" t="s">
        <v>794</v>
      </c>
      <c r="M1047" s="32">
        <v>0.59</v>
      </c>
      <c r="N1047" s="27" t="s">
        <v>33</v>
      </c>
      <c r="O1047" s="27" t="s">
        <v>111</v>
      </c>
      <c r="P1047" s="27" t="s">
        <v>397</v>
      </c>
      <c r="Q1047" s="27" t="s">
        <v>2005</v>
      </c>
      <c r="R1047" s="33">
        <v>7601</v>
      </c>
      <c r="S1047" s="34">
        <v>42099</v>
      </c>
      <c r="T1047" s="34">
        <v>42100</v>
      </c>
      <c r="U1047" s="29">
        <v>2225.0761200000002</v>
      </c>
      <c r="V1047" s="26">
        <v>22</v>
      </c>
      <c r="W1047" s="29">
        <v>3705.14</v>
      </c>
      <c r="X1047" s="26">
        <v>87383</v>
      </c>
      <c r="Y1047" s="35">
        <v>200.92000000000002</v>
      </c>
      <c r="Z1047" s="1" t="s">
        <v>3014</v>
      </c>
      <c r="AA1047" s="36">
        <v>309.52460000000002</v>
      </c>
      <c r="AB1047" s="54">
        <v>1519.1074000000001</v>
      </c>
      <c r="AC1047" s="54">
        <v>99.365118181818175</v>
      </c>
      <c r="AD1047" s="36">
        <v>1166.3392799999997</v>
      </c>
    </row>
    <row r="1048" spans="1:30" s="37" customFormat="1" ht="15.75" customHeight="1" x14ac:dyDescent="0.2">
      <c r="A1048" s="26">
        <v>635</v>
      </c>
      <c r="B1048" s="27" t="s">
        <v>2008</v>
      </c>
      <c r="C1048" s="27" t="s">
        <v>38</v>
      </c>
      <c r="D1048" s="28">
        <v>0.03</v>
      </c>
      <c r="E1048" s="29">
        <v>370.98</v>
      </c>
      <c r="F1048" s="29">
        <v>99</v>
      </c>
      <c r="G1048" s="30" t="s">
        <v>27</v>
      </c>
      <c r="H1048" s="27" t="s">
        <v>94</v>
      </c>
      <c r="I1048" s="27" t="s">
        <v>49</v>
      </c>
      <c r="J1048" s="27" t="s">
        <v>78</v>
      </c>
      <c r="K1048" s="27" t="s">
        <v>58</v>
      </c>
      <c r="L1048" s="31" t="s">
        <v>2010</v>
      </c>
      <c r="M1048" s="32">
        <v>0.65</v>
      </c>
      <c r="N1048" s="27" t="s">
        <v>33</v>
      </c>
      <c r="O1048" s="27" t="s">
        <v>53</v>
      </c>
      <c r="P1048" s="27" t="s">
        <v>84</v>
      </c>
      <c r="Q1048" s="27" t="s">
        <v>2009</v>
      </c>
      <c r="R1048" s="33">
        <v>55106</v>
      </c>
      <c r="S1048" s="34">
        <v>42099</v>
      </c>
      <c r="T1048" s="34">
        <v>42100</v>
      </c>
      <c r="U1048" s="29">
        <v>-124.2864</v>
      </c>
      <c r="V1048" s="26">
        <v>6</v>
      </c>
      <c r="W1048" s="29">
        <v>2309.4899999999998</v>
      </c>
      <c r="X1048" s="26">
        <v>89284</v>
      </c>
      <c r="Y1048" s="35">
        <v>297.47000000000003</v>
      </c>
      <c r="Z1048" s="1" t="s">
        <v>3012</v>
      </c>
      <c r="AA1048" s="36">
        <v>66.776399999999995</v>
      </c>
      <c r="AB1048" s="54">
        <v>808.3214999999999</v>
      </c>
      <c r="AC1048" s="54">
        <v>250.19475</v>
      </c>
      <c r="AD1048" s="36">
        <v>2268</v>
      </c>
    </row>
    <row r="1049" spans="1:30" s="37" customFormat="1" ht="15.75" customHeight="1" x14ac:dyDescent="0.2">
      <c r="A1049" s="26">
        <v>1891</v>
      </c>
      <c r="B1049" s="27" t="s">
        <v>2017</v>
      </c>
      <c r="C1049" s="27" t="s">
        <v>3094</v>
      </c>
      <c r="D1049" s="28">
        <v>0.03</v>
      </c>
      <c r="E1049" s="29">
        <v>320.64</v>
      </c>
      <c r="F1049" s="29">
        <v>29.2</v>
      </c>
      <c r="G1049" s="30" t="s">
        <v>27</v>
      </c>
      <c r="H1049" s="27" t="s">
        <v>71</v>
      </c>
      <c r="I1049" s="27" t="s">
        <v>29</v>
      </c>
      <c r="J1049" s="27" t="s">
        <v>30</v>
      </c>
      <c r="K1049" s="27" t="s">
        <v>31</v>
      </c>
      <c r="L1049" s="31" t="s">
        <v>2018</v>
      </c>
      <c r="M1049" s="32">
        <v>0.66</v>
      </c>
      <c r="N1049" s="27" t="s">
        <v>33</v>
      </c>
      <c r="O1049" s="27" t="s">
        <v>111</v>
      </c>
      <c r="P1049" s="27" t="s">
        <v>317</v>
      </c>
      <c r="Q1049" s="27" t="s">
        <v>2019</v>
      </c>
      <c r="R1049" s="33">
        <v>45801</v>
      </c>
      <c r="S1049" s="34">
        <v>42099</v>
      </c>
      <c r="T1049" s="34">
        <v>42101</v>
      </c>
      <c r="U1049" s="29">
        <v>429.75435599999997</v>
      </c>
      <c r="V1049" s="26">
        <v>7</v>
      </c>
      <c r="W1049" s="29">
        <v>2233.46</v>
      </c>
      <c r="X1049" s="26">
        <v>90630</v>
      </c>
      <c r="Y1049" s="35">
        <v>2.0700000000000003</v>
      </c>
      <c r="Z1049" s="1" t="s">
        <v>3014</v>
      </c>
      <c r="AA1049" s="36">
        <v>67.334399999999988</v>
      </c>
      <c r="AB1049" s="54">
        <v>759.37639999999999</v>
      </c>
      <c r="AC1049" s="54">
        <v>210.58337142857144</v>
      </c>
      <c r="AD1049" s="36">
        <v>1707.1712440000001</v>
      </c>
    </row>
    <row r="1050" spans="1:30" s="37" customFormat="1" ht="15.75" customHeight="1" x14ac:dyDescent="0.2">
      <c r="A1050" s="26">
        <v>2604</v>
      </c>
      <c r="B1050" s="27" t="s">
        <v>2006</v>
      </c>
      <c r="C1050" s="27" t="s">
        <v>26</v>
      </c>
      <c r="D1050" s="28">
        <v>0.01</v>
      </c>
      <c r="E1050" s="29">
        <v>297.48</v>
      </c>
      <c r="F1050" s="29">
        <v>18.059999999999999</v>
      </c>
      <c r="G1050" s="30" t="s">
        <v>27</v>
      </c>
      <c r="H1050" s="27" t="s">
        <v>94</v>
      </c>
      <c r="I1050" s="27" t="s">
        <v>41</v>
      </c>
      <c r="J1050" s="27" t="s">
        <v>57</v>
      </c>
      <c r="K1050" s="27" t="s">
        <v>58</v>
      </c>
      <c r="L1050" s="31" t="s">
        <v>387</v>
      </c>
      <c r="M1050" s="32">
        <v>0.6</v>
      </c>
      <c r="N1050" s="27" t="s">
        <v>33</v>
      </c>
      <c r="O1050" s="27" t="s">
        <v>111</v>
      </c>
      <c r="P1050" s="27" t="s">
        <v>397</v>
      </c>
      <c r="Q1050" s="27" t="s">
        <v>2007</v>
      </c>
      <c r="R1050" s="33">
        <v>8830</v>
      </c>
      <c r="S1050" s="34">
        <v>42099</v>
      </c>
      <c r="T1050" s="34">
        <v>42100</v>
      </c>
      <c r="U1050" s="29">
        <v>-338.18083200000001</v>
      </c>
      <c r="V1050" s="26">
        <v>3</v>
      </c>
      <c r="W1050" s="29">
        <v>945.36</v>
      </c>
      <c r="X1050" s="26">
        <v>87383</v>
      </c>
      <c r="Y1050" s="35">
        <v>370.95000000000005</v>
      </c>
      <c r="Z1050" s="1" t="s">
        <v>3014</v>
      </c>
      <c r="AA1050" s="36">
        <v>8.9244000000000003</v>
      </c>
      <c r="AB1050" s="54">
        <v>378.14400000000001</v>
      </c>
      <c r="AC1050" s="54">
        <v>189.072</v>
      </c>
      <c r="AD1050" s="36">
        <v>1256.5564320000001</v>
      </c>
    </row>
    <row r="1051" spans="1:30" s="37" customFormat="1" ht="15.75" customHeight="1" x14ac:dyDescent="0.2">
      <c r="A1051" s="26">
        <v>1246</v>
      </c>
      <c r="B1051" s="27" t="s">
        <v>2011</v>
      </c>
      <c r="C1051" s="27" t="s">
        <v>38</v>
      </c>
      <c r="D1051" s="28">
        <v>0.1</v>
      </c>
      <c r="E1051" s="29">
        <v>22.38</v>
      </c>
      <c r="F1051" s="29">
        <v>15.1</v>
      </c>
      <c r="G1051" s="30" t="s">
        <v>39</v>
      </c>
      <c r="H1051" s="27" t="s">
        <v>71</v>
      </c>
      <c r="I1051" s="27" t="s">
        <v>49</v>
      </c>
      <c r="J1051" s="27" t="s">
        <v>72</v>
      </c>
      <c r="K1051" s="27" t="s">
        <v>73</v>
      </c>
      <c r="L1051" s="31" t="s">
        <v>1085</v>
      </c>
      <c r="M1051" s="32">
        <v>0.38</v>
      </c>
      <c r="N1051" s="27" t="s">
        <v>33</v>
      </c>
      <c r="O1051" s="27" t="s">
        <v>111</v>
      </c>
      <c r="P1051" s="27" t="s">
        <v>112</v>
      </c>
      <c r="Q1051" s="27" t="s">
        <v>113</v>
      </c>
      <c r="R1051" s="33">
        <v>10009</v>
      </c>
      <c r="S1051" s="34">
        <v>42099</v>
      </c>
      <c r="T1051" s="34">
        <v>42100</v>
      </c>
      <c r="U1051" s="29">
        <v>-107.51349999999999</v>
      </c>
      <c r="V1051" s="26">
        <v>26</v>
      </c>
      <c r="W1051" s="29">
        <v>564.98</v>
      </c>
      <c r="X1051" s="26">
        <v>36452</v>
      </c>
      <c r="Y1051" s="35">
        <v>22.279999999999998</v>
      </c>
      <c r="Z1051" s="1" t="s">
        <v>3014</v>
      </c>
      <c r="AA1051" s="36">
        <v>58.188000000000002</v>
      </c>
      <c r="AB1051" s="54">
        <v>350.2876</v>
      </c>
      <c r="AC1051" s="54">
        <v>8.2574000000000005</v>
      </c>
      <c r="AD1051" s="36">
        <v>599.20550000000003</v>
      </c>
    </row>
    <row r="1052" spans="1:30" s="37" customFormat="1" ht="15.75" customHeight="1" x14ac:dyDescent="0.2">
      <c r="A1052" s="26">
        <v>2960</v>
      </c>
      <c r="B1052" s="27" t="s">
        <v>2020</v>
      </c>
      <c r="C1052" s="27" t="s">
        <v>3094</v>
      </c>
      <c r="D1052" s="28">
        <v>0.1</v>
      </c>
      <c r="E1052" s="29">
        <v>36.549999999999997</v>
      </c>
      <c r="F1052" s="29">
        <v>13.89</v>
      </c>
      <c r="G1052" s="30" t="s">
        <v>39</v>
      </c>
      <c r="H1052" s="27" t="s">
        <v>94</v>
      </c>
      <c r="I1052" s="27" t="s">
        <v>49</v>
      </c>
      <c r="J1052" s="27" t="s">
        <v>50</v>
      </c>
      <c r="K1052" s="27" t="s">
        <v>51</v>
      </c>
      <c r="L1052" s="31" t="s">
        <v>1353</v>
      </c>
      <c r="M1052" s="32">
        <v>0.41</v>
      </c>
      <c r="N1052" s="27" t="s">
        <v>33</v>
      </c>
      <c r="O1052" s="27" t="s">
        <v>34</v>
      </c>
      <c r="P1052" s="27" t="s">
        <v>45</v>
      </c>
      <c r="Q1052" s="27" t="s">
        <v>2021</v>
      </c>
      <c r="R1052" s="33">
        <v>72956</v>
      </c>
      <c r="S1052" s="34">
        <v>42099</v>
      </c>
      <c r="T1052" s="34">
        <v>42101</v>
      </c>
      <c r="U1052" s="29">
        <v>-89.572000000000003</v>
      </c>
      <c r="V1052" s="26">
        <v>11</v>
      </c>
      <c r="W1052" s="29">
        <v>379.72</v>
      </c>
      <c r="X1052" s="26">
        <v>90646</v>
      </c>
      <c r="Y1052" s="35">
        <v>6.94</v>
      </c>
      <c r="Z1052" s="1" t="s">
        <v>3011</v>
      </c>
      <c r="AA1052" s="36">
        <v>40.204999999999998</v>
      </c>
      <c r="AB1052" s="54">
        <v>224.03480000000005</v>
      </c>
      <c r="AC1052" s="54">
        <v>14.1532</v>
      </c>
      <c r="AD1052" s="36">
        <v>415.197</v>
      </c>
    </row>
    <row r="1053" spans="1:30" s="37" customFormat="1" ht="15.75" customHeight="1" x14ac:dyDescent="0.2">
      <c r="A1053" s="26">
        <v>1459</v>
      </c>
      <c r="B1053" s="27" t="s">
        <v>2015</v>
      </c>
      <c r="C1053" s="27" t="s">
        <v>38</v>
      </c>
      <c r="D1053" s="28">
        <v>0.05</v>
      </c>
      <c r="E1053" s="29">
        <v>85.99</v>
      </c>
      <c r="F1053" s="29">
        <v>0.99</v>
      </c>
      <c r="G1053" s="30" t="s">
        <v>39</v>
      </c>
      <c r="H1053" s="27" t="s">
        <v>40</v>
      </c>
      <c r="I1053" s="27" t="s">
        <v>41</v>
      </c>
      <c r="J1053" s="27" t="s">
        <v>135</v>
      </c>
      <c r="K1053" s="27" t="s">
        <v>51</v>
      </c>
      <c r="L1053" s="31" t="s">
        <v>1176</v>
      </c>
      <c r="M1053" s="32">
        <v>0.55000000000000004</v>
      </c>
      <c r="N1053" s="27" t="s">
        <v>33</v>
      </c>
      <c r="O1053" s="27" t="s">
        <v>34</v>
      </c>
      <c r="P1053" s="27" t="s">
        <v>271</v>
      </c>
      <c r="Q1053" s="27" t="s">
        <v>2016</v>
      </c>
      <c r="R1053" s="33">
        <v>29687</v>
      </c>
      <c r="S1053" s="34">
        <v>42099</v>
      </c>
      <c r="T1053" s="34">
        <v>42101</v>
      </c>
      <c r="U1053" s="29">
        <v>36.216000000000001</v>
      </c>
      <c r="V1053" s="26">
        <v>4</v>
      </c>
      <c r="W1053" s="29">
        <v>291.64</v>
      </c>
      <c r="X1053" s="26">
        <v>86734</v>
      </c>
      <c r="Y1053" s="35">
        <v>22.279999999999998</v>
      </c>
      <c r="Z1053" s="1" t="s">
        <v>3011</v>
      </c>
      <c r="AA1053" s="36">
        <v>17.198</v>
      </c>
      <c r="AB1053" s="54">
        <v>131.23799999999997</v>
      </c>
      <c r="AC1053" s="54">
        <v>40.100500000000004</v>
      </c>
      <c r="AD1053" s="36">
        <v>237.23599999999999</v>
      </c>
    </row>
    <row r="1054" spans="1:30" s="37" customFormat="1" ht="15.75" customHeight="1" x14ac:dyDescent="0.2">
      <c r="A1054" s="26">
        <v>1247</v>
      </c>
      <c r="B1054" s="27" t="s">
        <v>2013</v>
      </c>
      <c r="C1054" s="27" t="s">
        <v>38</v>
      </c>
      <c r="D1054" s="28">
        <v>0.1</v>
      </c>
      <c r="E1054" s="29">
        <v>22.38</v>
      </c>
      <c r="F1054" s="29">
        <v>15.1</v>
      </c>
      <c r="G1054" s="30" t="s">
        <v>39</v>
      </c>
      <c r="H1054" s="27" t="s">
        <v>71</v>
      </c>
      <c r="I1054" s="27" t="s">
        <v>49</v>
      </c>
      <c r="J1054" s="27" t="s">
        <v>72</v>
      </c>
      <c r="K1054" s="27" t="s">
        <v>73</v>
      </c>
      <c r="L1054" s="31" t="s">
        <v>1085</v>
      </c>
      <c r="M1054" s="32">
        <v>0.38</v>
      </c>
      <c r="N1054" s="27" t="s">
        <v>33</v>
      </c>
      <c r="O1054" s="27" t="s">
        <v>53</v>
      </c>
      <c r="P1054" s="27" t="s">
        <v>187</v>
      </c>
      <c r="Q1054" s="27" t="s">
        <v>2014</v>
      </c>
      <c r="R1054" s="33">
        <v>78641</v>
      </c>
      <c r="S1054" s="34">
        <v>42099</v>
      </c>
      <c r="T1054" s="34">
        <v>42100</v>
      </c>
      <c r="U1054" s="29">
        <v>-107.51349999999999</v>
      </c>
      <c r="V1054" s="26">
        <v>7</v>
      </c>
      <c r="W1054" s="29">
        <v>152.11000000000001</v>
      </c>
      <c r="X1054" s="26">
        <v>91555</v>
      </c>
      <c r="Y1054" s="35">
        <v>6.94</v>
      </c>
      <c r="Z1054" s="1" t="s">
        <v>3012</v>
      </c>
      <c r="AA1054" s="36">
        <v>15.666</v>
      </c>
      <c r="AB1054" s="54">
        <v>94.308200000000014</v>
      </c>
      <c r="AC1054" s="54">
        <v>8.2574000000000005</v>
      </c>
      <c r="AD1054" s="36">
        <v>228.85750000000002</v>
      </c>
    </row>
    <row r="1055" spans="1:30" s="37" customFormat="1" ht="15.75" customHeight="1" x14ac:dyDescent="0.2">
      <c r="A1055" s="26">
        <v>1246</v>
      </c>
      <c r="B1055" s="27" t="s">
        <v>2011</v>
      </c>
      <c r="C1055" s="27" t="s">
        <v>38</v>
      </c>
      <c r="D1055" s="28">
        <v>0.04</v>
      </c>
      <c r="E1055" s="29">
        <v>6.98</v>
      </c>
      <c r="F1055" s="29">
        <v>2.83</v>
      </c>
      <c r="G1055" s="30" t="s">
        <v>39</v>
      </c>
      <c r="H1055" s="27" t="s">
        <v>71</v>
      </c>
      <c r="I1055" s="27" t="s">
        <v>29</v>
      </c>
      <c r="J1055" s="27" t="s">
        <v>126</v>
      </c>
      <c r="K1055" s="27" t="s">
        <v>43</v>
      </c>
      <c r="L1055" s="31" t="s">
        <v>2012</v>
      </c>
      <c r="M1055" s="32">
        <v>0.37</v>
      </c>
      <c r="N1055" s="27" t="s">
        <v>33</v>
      </c>
      <c r="O1055" s="27" t="s">
        <v>111</v>
      </c>
      <c r="P1055" s="27" t="s">
        <v>112</v>
      </c>
      <c r="Q1055" s="27" t="s">
        <v>113</v>
      </c>
      <c r="R1055" s="33">
        <v>10009</v>
      </c>
      <c r="S1055" s="34">
        <v>42099</v>
      </c>
      <c r="T1055" s="34">
        <v>42101</v>
      </c>
      <c r="U1055" s="29">
        <v>46.01</v>
      </c>
      <c r="V1055" s="26">
        <v>18</v>
      </c>
      <c r="W1055" s="29">
        <v>129.47999999999999</v>
      </c>
      <c r="X1055" s="26">
        <v>36452</v>
      </c>
      <c r="Y1055" s="35">
        <v>85.94</v>
      </c>
      <c r="Z1055" s="1" t="s">
        <v>3014</v>
      </c>
      <c r="AA1055" s="36">
        <v>5.0255999999999998</v>
      </c>
      <c r="AB1055" s="54">
        <v>81.572399999999988</v>
      </c>
      <c r="AC1055" s="54">
        <v>2.6615333333333329</v>
      </c>
      <c r="AD1055" s="36">
        <v>75.614399999999989</v>
      </c>
    </row>
    <row r="1056" spans="1:30" s="37" customFormat="1" ht="15.75" customHeight="1" x14ac:dyDescent="0.2">
      <c r="A1056" s="26">
        <v>1247</v>
      </c>
      <c r="B1056" s="27" t="s">
        <v>2013</v>
      </c>
      <c r="C1056" s="27" t="s">
        <v>38</v>
      </c>
      <c r="D1056" s="28">
        <v>0.04</v>
      </c>
      <c r="E1056" s="29">
        <v>6.98</v>
      </c>
      <c r="F1056" s="29">
        <v>2.83</v>
      </c>
      <c r="G1056" s="30" t="s">
        <v>39</v>
      </c>
      <c r="H1056" s="27" t="s">
        <v>71</v>
      </c>
      <c r="I1056" s="27" t="s">
        <v>29</v>
      </c>
      <c r="J1056" s="27" t="s">
        <v>126</v>
      </c>
      <c r="K1056" s="27" t="s">
        <v>43</v>
      </c>
      <c r="L1056" s="31" t="s">
        <v>2012</v>
      </c>
      <c r="M1056" s="32">
        <v>0.37</v>
      </c>
      <c r="N1056" s="27" t="s">
        <v>33</v>
      </c>
      <c r="O1056" s="27" t="s">
        <v>53</v>
      </c>
      <c r="P1056" s="27" t="s">
        <v>187</v>
      </c>
      <c r="Q1056" s="27" t="s">
        <v>2014</v>
      </c>
      <c r="R1056" s="33">
        <v>78641</v>
      </c>
      <c r="S1056" s="34">
        <v>42099</v>
      </c>
      <c r="T1056" s="34">
        <v>42101</v>
      </c>
      <c r="U1056" s="29">
        <v>24.819299999999998</v>
      </c>
      <c r="V1056" s="26">
        <v>5</v>
      </c>
      <c r="W1056" s="29">
        <v>35.97</v>
      </c>
      <c r="X1056" s="26">
        <v>91555</v>
      </c>
      <c r="Y1056" s="35">
        <v>320.61</v>
      </c>
      <c r="Z1056" s="1" t="s">
        <v>3012</v>
      </c>
      <c r="AA1056" s="36">
        <v>1.3959999999999999</v>
      </c>
      <c r="AB1056" s="54">
        <v>22.661100000000001</v>
      </c>
      <c r="AC1056" s="54">
        <v>2.6617799999999998</v>
      </c>
      <c r="AD1056" s="36">
        <v>6.9247000000000014</v>
      </c>
    </row>
    <row r="1057" spans="1:30" s="37" customFormat="1" ht="15.75" customHeight="1" x14ac:dyDescent="0.2">
      <c r="A1057" s="26">
        <v>635</v>
      </c>
      <c r="B1057" s="27" t="s">
        <v>2008</v>
      </c>
      <c r="C1057" s="27" t="s">
        <v>38</v>
      </c>
      <c r="D1057" s="28">
        <v>0.01</v>
      </c>
      <c r="E1057" s="29">
        <v>2.08</v>
      </c>
      <c r="F1057" s="29">
        <v>5.33</v>
      </c>
      <c r="G1057" s="30" t="s">
        <v>39</v>
      </c>
      <c r="H1057" s="27" t="s">
        <v>94</v>
      </c>
      <c r="I1057" s="27" t="s">
        <v>29</v>
      </c>
      <c r="J1057" s="27" t="s">
        <v>126</v>
      </c>
      <c r="K1057" s="27" t="s">
        <v>73</v>
      </c>
      <c r="L1057" s="31" t="s">
        <v>459</v>
      </c>
      <c r="M1057" s="32">
        <v>0.43</v>
      </c>
      <c r="N1057" s="27" t="s">
        <v>33</v>
      </c>
      <c r="O1057" s="27" t="s">
        <v>53</v>
      </c>
      <c r="P1057" s="27" t="s">
        <v>84</v>
      </c>
      <c r="Q1057" s="27" t="s">
        <v>2009</v>
      </c>
      <c r="R1057" s="33">
        <v>55106</v>
      </c>
      <c r="S1057" s="34">
        <v>42099</v>
      </c>
      <c r="T1057" s="34">
        <v>42099</v>
      </c>
      <c r="U1057" s="29">
        <v>-103.7124</v>
      </c>
      <c r="V1057" s="26">
        <v>12</v>
      </c>
      <c r="W1057" s="29">
        <v>28.32</v>
      </c>
      <c r="X1057" s="26">
        <v>89284</v>
      </c>
      <c r="Y1057" s="35">
        <v>36.449999999999996</v>
      </c>
      <c r="Z1057" s="1" t="s">
        <v>3012</v>
      </c>
      <c r="AA1057" s="36">
        <v>0.24960000000000004</v>
      </c>
      <c r="AB1057" s="54">
        <v>16.142400000000002</v>
      </c>
      <c r="AC1057" s="54">
        <v>1.0147999999999999</v>
      </c>
      <c r="AD1057" s="36">
        <v>126.4528</v>
      </c>
    </row>
    <row r="1058" spans="1:30" s="37" customFormat="1" ht="15.75" customHeight="1" x14ac:dyDescent="0.2">
      <c r="A1058" s="26">
        <v>102</v>
      </c>
      <c r="B1058" s="27" t="s">
        <v>2042</v>
      </c>
      <c r="C1058" s="27" t="s">
        <v>116</v>
      </c>
      <c r="D1058" s="28">
        <v>0.04</v>
      </c>
      <c r="E1058" s="29">
        <v>300.98</v>
      </c>
      <c r="F1058" s="29">
        <v>54.92</v>
      </c>
      <c r="G1058" s="30" t="s">
        <v>27</v>
      </c>
      <c r="H1058" s="27" t="s">
        <v>40</v>
      </c>
      <c r="I1058" s="27" t="s">
        <v>29</v>
      </c>
      <c r="J1058" s="27" t="s">
        <v>117</v>
      </c>
      <c r="K1058" s="27" t="s">
        <v>31</v>
      </c>
      <c r="L1058" s="31" t="s">
        <v>1970</v>
      </c>
      <c r="M1058" s="32">
        <v>0.55000000000000004</v>
      </c>
      <c r="N1058" s="27" t="s">
        <v>33</v>
      </c>
      <c r="O1058" s="27" t="s">
        <v>111</v>
      </c>
      <c r="P1058" s="27" t="s">
        <v>403</v>
      </c>
      <c r="Q1058" s="27" t="s">
        <v>788</v>
      </c>
      <c r="R1058" s="33">
        <v>2129</v>
      </c>
      <c r="S1058" s="34">
        <v>42100</v>
      </c>
      <c r="T1058" s="34">
        <v>42101</v>
      </c>
      <c r="U1058" s="29">
        <v>2023.75</v>
      </c>
      <c r="V1058" s="26">
        <v>31</v>
      </c>
      <c r="W1058" s="29">
        <v>9459.94</v>
      </c>
      <c r="X1058" s="26">
        <v>42599</v>
      </c>
      <c r="Y1058" s="35">
        <v>2.1500000000000004</v>
      </c>
      <c r="Z1058" s="1" t="s">
        <v>3014</v>
      </c>
      <c r="AA1058" s="36">
        <v>373.21520000000004</v>
      </c>
      <c r="AB1058" s="54">
        <v>4256.973</v>
      </c>
      <c r="AC1058" s="54">
        <v>167.83764516129034</v>
      </c>
      <c r="AD1058" s="36">
        <v>7008.0547999999999</v>
      </c>
    </row>
    <row r="1059" spans="1:30" s="37" customFormat="1" ht="15.75" customHeight="1" x14ac:dyDescent="0.2">
      <c r="A1059" s="26">
        <v>107</v>
      </c>
      <c r="B1059" s="27" t="s">
        <v>2043</v>
      </c>
      <c r="C1059" s="27" t="s">
        <v>116</v>
      </c>
      <c r="D1059" s="28">
        <v>0.04</v>
      </c>
      <c r="E1059" s="29">
        <v>300.98</v>
      </c>
      <c r="F1059" s="29">
        <v>54.92</v>
      </c>
      <c r="G1059" s="30" t="s">
        <v>27</v>
      </c>
      <c r="H1059" s="27" t="s">
        <v>40</v>
      </c>
      <c r="I1059" s="27" t="s">
        <v>29</v>
      </c>
      <c r="J1059" s="27" t="s">
        <v>117</v>
      </c>
      <c r="K1059" s="27" t="s">
        <v>31</v>
      </c>
      <c r="L1059" s="31" t="s">
        <v>1970</v>
      </c>
      <c r="M1059" s="32">
        <v>0.55000000000000004</v>
      </c>
      <c r="N1059" s="27" t="s">
        <v>33</v>
      </c>
      <c r="O1059" s="27" t="s">
        <v>111</v>
      </c>
      <c r="P1059" s="27" t="s">
        <v>1356</v>
      </c>
      <c r="Q1059" s="27" t="s">
        <v>2044</v>
      </c>
      <c r="R1059" s="33">
        <v>3820</v>
      </c>
      <c r="S1059" s="34">
        <v>42100</v>
      </c>
      <c r="T1059" s="34">
        <v>42101</v>
      </c>
      <c r="U1059" s="29">
        <v>1684.4763</v>
      </c>
      <c r="V1059" s="26">
        <v>8</v>
      </c>
      <c r="W1059" s="29">
        <v>2441.27</v>
      </c>
      <c r="X1059" s="26">
        <v>88204</v>
      </c>
      <c r="Y1059" s="35">
        <v>170.97</v>
      </c>
      <c r="Z1059" s="1" t="s">
        <v>3014</v>
      </c>
      <c r="AA1059" s="36">
        <v>96.313600000000008</v>
      </c>
      <c r="AB1059" s="54">
        <v>1098.5714999999998</v>
      </c>
      <c r="AC1059" s="54">
        <v>167.83731250000002</v>
      </c>
      <c r="AD1059" s="36">
        <v>605.56009999999992</v>
      </c>
    </row>
    <row r="1060" spans="1:30" s="37" customFormat="1" ht="15.75" customHeight="1" x14ac:dyDescent="0.2">
      <c r="A1060" s="26">
        <v>929</v>
      </c>
      <c r="B1060" s="27" t="s">
        <v>2024</v>
      </c>
      <c r="C1060" s="27" t="s">
        <v>26</v>
      </c>
      <c r="D1060" s="28">
        <v>0.01</v>
      </c>
      <c r="E1060" s="29">
        <v>170.98</v>
      </c>
      <c r="F1060" s="29">
        <v>35.89</v>
      </c>
      <c r="G1060" s="30" t="s">
        <v>27</v>
      </c>
      <c r="H1060" s="27" t="s">
        <v>3095</v>
      </c>
      <c r="I1060" s="27" t="s">
        <v>29</v>
      </c>
      <c r="J1060" s="27" t="s">
        <v>117</v>
      </c>
      <c r="K1060" s="27" t="s">
        <v>31</v>
      </c>
      <c r="L1060" s="31" t="s">
        <v>1469</v>
      </c>
      <c r="M1060" s="32">
        <v>0.66</v>
      </c>
      <c r="N1060" s="27" t="s">
        <v>33</v>
      </c>
      <c r="O1060" s="27" t="s">
        <v>111</v>
      </c>
      <c r="P1060" s="27" t="s">
        <v>397</v>
      </c>
      <c r="Q1060" s="27" t="s">
        <v>2025</v>
      </c>
      <c r="R1060" s="33">
        <v>8857</v>
      </c>
      <c r="S1060" s="34">
        <v>42100</v>
      </c>
      <c r="T1060" s="34">
        <v>42102</v>
      </c>
      <c r="U1060" s="29">
        <v>538.52</v>
      </c>
      <c r="V1060" s="26">
        <v>10</v>
      </c>
      <c r="W1060" s="29">
        <v>1719.07</v>
      </c>
      <c r="X1060" s="26">
        <v>87134</v>
      </c>
      <c r="Y1060" s="35">
        <v>2.8800000000000003</v>
      </c>
      <c r="Z1060" s="1" t="s">
        <v>3014</v>
      </c>
      <c r="AA1060" s="36">
        <v>17.097999999999999</v>
      </c>
      <c r="AB1060" s="54">
        <v>584.48379999999997</v>
      </c>
      <c r="AC1060" s="54">
        <v>113.45862</v>
      </c>
      <c r="AD1060" s="36">
        <v>1127.5619999999999</v>
      </c>
    </row>
    <row r="1061" spans="1:30" s="37" customFormat="1" ht="15.75" customHeight="1" x14ac:dyDescent="0.2">
      <c r="A1061" s="26">
        <v>3279</v>
      </c>
      <c r="B1061" s="27" t="s">
        <v>1636</v>
      </c>
      <c r="C1061" s="27" t="s">
        <v>38</v>
      </c>
      <c r="D1061" s="28">
        <v>0.01</v>
      </c>
      <c r="E1061" s="29">
        <v>125.99</v>
      </c>
      <c r="F1061" s="29">
        <v>7.69</v>
      </c>
      <c r="G1061" s="30" t="s">
        <v>39</v>
      </c>
      <c r="H1061" s="27" t="s">
        <v>71</v>
      </c>
      <c r="I1061" s="27" t="s">
        <v>41</v>
      </c>
      <c r="J1061" s="27" t="s">
        <v>135</v>
      </c>
      <c r="K1061" s="27" t="s">
        <v>73</v>
      </c>
      <c r="L1061" s="31" t="s">
        <v>1049</v>
      </c>
      <c r="M1061" s="32">
        <v>0.57999999999999996</v>
      </c>
      <c r="N1061" s="27" t="s">
        <v>33</v>
      </c>
      <c r="O1061" s="27" t="s">
        <v>34</v>
      </c>
      <c r="P1061" s="27" t="s">
        <v>271</v>
      </c>
      <c r="Q1061" s="27" t="s">
        <v>1637</v>
      </c>
      <c r="R1061" s="33">
        <v>29203</v>
      </c>
      <c r="S1061" s="34">
        <v>42100</v>
      </c>
      <c r="T1061" s="34">
        <v>42100</v>
      </c>
      <c r="U1061" s="29">
        <v>8.3219999999999992</v>
      </c>
      <c r="V1061" s="26">
        <v>11</v>
      </c>
      <c r="W1061" s="29">
        <v>1212.8800000000001</v>
      </c>
      <c r="X1061" s="26">
        <v>90766</v>
      </c>
      <c r="Y1061" s="35">
        <v>55.99</v>
      </c>
      <c r="Z1061" s="1" t="s">
        <v>3011</v>
      </c>
      <c r="AA1061" s="36">
        <v>13.8589</v>
      </c>
      <c r="AB1061" s="54">
        <v>509.40960000000007</v>
      </c>
      <c r="AC1061" s="54">
        <v>63.951854545454545</v>
      </c>
      <c r="AD1061" s="36">
        <v>1183.0091000000002</v>
      </c>
    </row>
    <row r="1062" spans="1:30" s="37" customFormat="1" ht="15.75" customHeight="1" x14ac:dyDescent="0.2">
      <c r="A1062" s="26">
        <v>2334</v>
      </c>
      <c r="B1062" s="27" t="s">
        <v>2038</v>
      </c>
      <c r="C1062" s="27" t="s">
        <v>48</v>
      </c>
      <c r="D1062" s="28">
        <v>0.06</v>
      </c>
      <c r="E1062" s="29">
        <v>60.65</v>
      </c>
      <c r="F1062" s="29">
        <v>12.23</v>
      </c>
      <c r="G1062" s="30" t="s">
        <v>39</v>
      </c>
      <c r="H1062" s="27" t="s">
        <v>40</v>
      </c>
      <c r="I1062" s="27" t="s">
        <v>29</v>
      </c>
      <c r="J1062" s="27" t="s">
        <v>126</v>
      </c>
      <c r="K1062" s="27" t="s">
        <v>144</v>
      </c>
      <c r="L1062" s="31" t="s">
        <v>1181</v>
      </c>
      <c r="M1062" s="32">
        <v>0.64</v>
      </c>
      <c r="N1062" s="27" t="s">
        <v>33</v>
      </c>
      <c r="O1062" s="27" t="s">
        <v>53</v>
      </c>
      <c r="P1062" s="27" t="s">
        <v>357</v>
      </c>
      <c r="Q1062" s="27" t="s">
        <v>2039</v>
      </c>
      <c r="R1062" s="33">
        <v>53220</v>
      </c>
      <c r="S1062" s="34">
        <v>42100</v>
      </c>
      <c r="T1062" s="34">
        <v>42102</v>
      </c>
      <c r="U1062" s="29">
        <v>427.00650000000002</v>
      </c>
      <c r="V1062" s="26">
        <v>10</v>
      </c>
      <c r="W1062" s="29">
        <v>618.85</v>
      </c>
      <c r="X1062" s="26">
        <v>89608</v>
      </c>
      <c r="Y1062" s="35">
        <v>5.1099999999999994</v>
      </c>
      <c r="Z1062" s="1" t="s">
        <v>3012</v>
      </c>
      <c r="AA1062" s="36">
        <v>36.39</v>
      </c>
      <c r="AB1062" s="54">
        <v>222.786</v>
      </c>
      <c r="AC1062" s="54">
        <v>39.606400000000001</v>
      </c>
      <c r="AD1062" s="36">
        <v>143.2235</v>
      </c>
    </row>
    <row r="1063" spans="1:30" s="37" customFormat="1" ht="15.75" customHeight="1" x14ac:dyDescent="0.2">
      <c r="A1063" s="26">
        <v>3279</v>
      </c>
      <c r="B1063" s="27" t="s">
        <v>1636</v>
      </c>
      <c r="C1063" s="27" t="s">
        <v>38</v>
      </c>
      <c r="D1063" s="28">
        <v>0.06</v>
      </c>
      <c r="E1063" s="29">
        <v>89.83</v>
      </c>
      <c r="F1063" s="29">
        <v>35</v>
      </c>
      <c r="G1063" s="30" t="s">
        <v>39</v>
      </c>
      <c r="H1063" s="27" t="s">
        <v>71</v>
      </c>
      <c r="I1063" s="27" t="s">
        <v>49</v>
      </c>
      <c r="J1063" s="27" t="s">
        <v>78</v>
      </c>
      <c r="K1063" s="27" t="s">
        <v>65</v>
      </c>
      <c r="L1063" s="31" t="s">
        <v>2035</v>
      </c>
      <c r="M1063" s="32">
        <v>0.83</v>
      </c>
      <c r="N1063" s="27" t="s">
        <v>33</v>
      </c>
      <c r="O1063" s="27" t="s">
        <v>34</v>
      </c>
      <c r="P1063" s="27" t="s">
        <v>271</v>
      </c>
      <c r="Q1063" s="27" t="s">
        <v>1637</v>
      </c>
      <c r="R1063" s="33">
        <v>29203</v>
      </c>
      <c r="S1063" s="34">
        <v>42100</v>
      </c>
      <c r="T1063" s="34">
        <v>42102</v>
      </c>
      <c r="U1063" s="29">
        <v>31.11</v>
      </c>
      <c r="V1063" s="26">
        <v>4</v>
      </c>
      <c r="W1063" s="29">
        <v>366.26</v>
      </c>
      <c r="X1063" s="26">
        <v>90766</v>
      </c>
      <c r="Y1063" s="35">
        <v>12.790000000000001</v>
      </c>
      <c r="Z1063" s="1" t="s">
        <v>3011</v>
      </c>
      <c r="AA1063" s="36">
        <v>21.559199999999997</v>
      </c>
      <c r="AB1063" s="54">
        <v>62.264200000000017</v>
      </c>
      <c r="AC1063" s="54">
        <v>75.998949999999994</v>
      </c>
      <c r="AD1063" s="36">
        <v>278.5908</v>
      </c>
    </row>
    <row r="1064" spans="1:30" s="37" customFormat="1" ht="15.75" customHeight="1" x14ac:dyDescent="0.2">
      <c r="A1064" s="26">
        <v>1113</v>
      </c>
      <c r="B1064" s="27" t="s">
        <v>2026</v>
      </c>
      <c r="C1064" s="27" t="s">
        <v>26</v>
      </c>
      <c r="D1064" s="28">
        <v>0</v>
      </c>
      <c r="E1064" s="29">
        <v>55.99</v>
      </c>
      <c r="F1064" s="29">
        <v>5</v>
      </c>
      <c r="G1064" s="30" t="s">
        <v>39</v>
      </c>
      <c r="H1064" s="27" t="s">
        <v>94</v>
      </c>
      <c r="I1064" s="27" t="s">
        <v>41</v>
      </c>
      <c r="J1064" s="27" t="s">
        <v>135</v>
      </c>
      <c r="K1064" s="27" t="s">
        <v>43</v>
      </c>
      <c r="L1064" s="31" t="s">
        <v>1931</v>
      </c>
      <c r="M1064" s="32">
        <v>0.8</v>
      </c>
      <c r="N1064" s="27" t="s">
        <v>33</v>
      </c>
      <c r="O1064" s="27" t="s">
        <v>60</v>
      </c>
      <c r="P1064" s="27" t="s">
        <v>61</v>
      </c>
      <c r="Q1064" s="27" t="s">
        <v>2027</v>
      </c>
      <c r="R1064" s="33">
        <v>80004</v>
      </c>
      <c r="S1064" s="34">
        <v>42100</v>
      </c>
      <c r="T1064" s="34">
        <v>42102</v>
      </c>
      <c r="U1064" s="29">
        <v>-187.11</v>
      </c>
      <c r="V1064" s="26">
        <v>5</v>
      </c>
      <c r="W1064" s="29">
        <v>258.93</v>
      </c>
      <c r="X1064" s="26">
        <v>90833</v>
      </c>
      <c r="Y1064" s="35">
        <v>45.97</v>
      </c>
      <c r="Z1064" s="1" t="s">
        <v>3013</v>
      </c>
      <c r="AA1064" s="36">
        <v>0</v>
      </c>
      <c r="AB1064" s="54">
        <v>51.785999999999987</v>
      </c>
      <c r="AC1064" s="54">
        <v>41.428800000000003</v>
      </c>
      <c r="AD1064" s="36">
        <v>441.04</v>
      </c>
    </row>
    <row r="1065" spans="1:30" s="37" customFormat="1" ht="15.75" customHeight="1" x14ac:dyDescent="0.2">
      <c r="A1065" s="26">
        <v>1620</v>
      </c>
      <c r="B1065" s="27" t="s">
        <v>2032</v>
      </c>
      <c r="C1065" s="27" t="s">
        <v>38</v>
      </c>
      <c r="D1065" s="28">
        <v>0.02</v>
      </c>
      <c r="E1065" s="29">
        <v>45.99</v>
      </c>
      <c r="F1065" s="29">
        <v>4.99</v>
      </c>
      <c r="G1065" s="30" t="s">
        <v>87</v>
      </c>
      <c r="H1065" s="27" t="s">
        <v>40</v>
      </c>
      <c r="I1065" s="27" t="s">
        <v>41</v>
      </c>
      <c r="J1065" s="27" t="s">
        <v>135</v>
      </c>
      <c r="K1065" s="27" t="s">
        <v>73</v>
      </c>
      <c r="L1065" s="31" t="s">
        <v>2033</v>
      </c>
      <c r="M1065" s="32">
        <v>0.56999999999999995</v>
      </c>
      <c r="N1065" s="27" t="s">
        <v>33</v>
      </c>
      <c r="O1065" s="27" t="s">
        <v>111</v>
      </c>
      <c r="P1065" s="27" t="s">
        <v>320</v>
      </c>
      <c r="Q1065" s="27" t="s">
        <v>2034</v>
      </c>
      <c r="R1065" s="33">
        <v>17602</v>
      </c>
      <c r="S1065" s="34">
        <v>42100</v>
      </c>
      <c r="T1065" s="34">
        <v>42101</v>
      </c>
      <c r="U1065" s="29">
        <v>3.96</v>
      </c>
      <c r="V1065" s="26">
        <v>4</v>
      </c>
      <c r="W1065" s="29">
        <v>163.01</v>
      </c>
      <c r="X1065" s="26">
        <v>90248</v>
      </c>
      <c r="Y1065" s="35">
        <v>89.77</v>
      </c>
      <c r="Z1065" s="1" t="s">
        <v>3014</v>
      </c>
      <c r="AA1065" s="36">
        <v>3.6792000000000002</v>
      </c>
      <c r="AB1065" s="54">
        <v>70.094300000000004</v>
      </c>
      <c r="AC1065" s="54">
        <v>23.228924999999997</v>
      </c>
      <c r="AD1065" s="36">
        <v>150.38079999999999</v>
      </c>
    </row>
    <row r="1066" spans="1:30" s="37" customFormat="1" ht="15.75" customHeight="1" x14ac:dyDescent="0.2">
      <c r="A1066" s="26">
        <v>1618</v>
      </c>
      <c r="B1066" s="27" t="s">
        <v>2030</v>
      </c>
      <c r="C1066" s="27" t="s">
        <v>38</v>
      </c>
      <c r="D1066" s="28">
        <v>0.09</v>
      </c>
      <c r="E1066" s="29">
        <v>12.88</v>
      </c>
      <c r="F1066" s="29">
        <v>4.59</v>
      </c>
      <c r="G1066" s="30" t="s">
        <v>39</v>
      </c>
      <c r="H1066" s="27" t="s">
        <v>40</v>
      </c>
      <c r="I1066" s="27" t="s">
        <v>49</v>
      </c>
      <c r="J1066" s="27" t="s">
        <v>568</v>
      </c>
      <c r="K1066" s="27" t="s">
        <v>51</v>
      </c>
      <c r="L1066" s="31" t="s">
        <v>2031</v>
      </c>
      <c r="M1066" s="32">
        <v>0.82</v>
      </c>
      <c r="N1066" s="27" t="s">
        <v>33</v>
      </c>
      <c r="O1066" s="27" t="s">
        <v>53</v>
      </c>
      <c r="P1066" s="27" t="s">
        <v>54</v>
      </c>
      <c r="Q1066" s="27" t="s">
        <v>1822</v>
      </c>
      <c r="R1066" s="33">
        <v>46322</v>
      </c>
      <c r="S1066" s="34">
        <v>42100</v>
      </c>
      <c r="T1066" s="34">
        <v>42100</v>
      </c>
      <c r="U1066" s="29">
        <v>-175.13</v>
      </c>
      <c r="V1066" s="26">
        <v>13</v>
      </c>
      <c r="W1066" s="29">
        <v>158.13</v>
      </c>
      <c r="X1066" s="26">
        <v>90248</v>
      </c>
      <c r="Y1066" s="35">
        <v>13.33</v>
      </c>
      <c r="Z1066" s="1" t="s">
        <v>3012</v>
      </c>
      <c r="AA1066" s="36">
        <v>15.069599999999999</v>
      </c>
      <c r="AB1066" s="54">
        <v>28.463400000000007</v>
      </c>
      <c r="AC1066" s="54">
        <v>9.9743538461538446</v>
      </c>
      <c r="AD1066" s="36">
        <v>313.60039999999998</v>
      </c>
    </row>
    <row r="1067" spans="1:30" s="37" customFormat="1" ht="15.75" customHeight="1" x14ac:dyDescent="0.2">
      <c r="A1067" s="26">
        <v>3279</v>
      </c>
      <c r="B1067" s="27" t="s">
        <v>1636</v>
      </c>
      <c r="C1067" s="27" t="s">
        <v>38</v>
      </c>
      <c r="D1067" s="28">
        <v>0.1</v>
      </c>
      <c r="E1067" s="29">
        <v>13.43</v>
      </c>
      <c r="F1067" s="29">
        <v>5.5</v>
      </c>
      <c r="G1067" s="30" t="s">
        <v>39</v>
      </c>
      <c r="H1067" s="27" t="s">
        <v>71</v>
      </c>
      <c r="I1067" s="27" t="s">
        <v>49</v>
      </c>
      <c r="J1067" s="27" t="s">
        <v>78</v>
      </c>
      <c r="K1067" s="27" t="s">
        <v>73</v>
      </c>
      <c r="L1067" s="31" t="s">
        <v>559</v>
      </c>
      <c r="M1067" s="32">
        <v>0.56999999999999995</v>
      </c>
      <c r="N1067" s="27" t="s">
        <v>33</v>
      </c>
      <c r="O1067" s="27" t="s">
        <v>34</v>
      </c>
      <c r="P1067" s="27" t="s">
        <v>271</v>
      </c>
      <c r="Q1067" s="27" t="s">
        <v>1637</v>
      </c>
      <c r="R1067" s="33">
        <v>29203</v>
      </c>
      <c r="S1067" s="34">
        <v>42100</v>
      </c>
      <c r="T1067" s="34">
        <v>42102</v>
      </c>
      <c r="U1067" s="29">
        <v>358.29539999999997</v>
      </c>
      <c r="V1067" s="26">
        <v>12</v>
      </c>
      <c r="W1067" s="29">
        <v>157.99</v>
      </c>
      <c r="X1067" s="26">
        <v>90766</v>
      </c>
      <c r="Y1067" s="35">
        <v>125.97999999999999</v>
      </c>
      <c r="Z1067" s="1" t="s">
        <v>3011</v>
      </c>
      <c r="AA1067" s="36">
        <v>16.116</v>
      </c>
      <c r="AB1067" s="54">
        <v>67.935700000000011</v>
      </c>
      <c r="AC1067" s="54">
        <v>7.5045249999999992</v>
      </c>
      <c r="AD1067" s="36">
        <v>-221.92139999999995</v>
      </c>
    </row>
    <row r="1068" spans="1:30" s="37" customFormat="1" ht="15.75" customHeight="1" x14ac:dyDescent="0.2">
      <c r="A1068" s="26">
        <v>2240</v>
      </c>
      <c r="B1068" s="27" t="s">
        <v>2036</v>
      </c>
      <c r="C1068" s="27" t="s">
        <v>48</v>
      </c>
      <c r="D1068" s="28">
        <v>0.01</v>
      </c>
      <c r="E1068" s="29">
        <v>13.43</v>
      </c>
      <c r="F1068" s="29">
        <v>5.5</v>
      </c>
      <c r="G1068" s="30" t="s">
        <v>87</v>
      </c>
      <c r="H1068" s="27" t="s">
        <v>94</v>
      </c>
      <c r="I1068" s="27" t="s">
        <v>49</v>
      </c>
      <c r="J1068" s="27" t="s">
        <v>78</v>
      </c>
      <c r="K1068" s="27" t="s">
        <v>73</v>
      </c>
      <c r="L1068" s="31" t="s">
        <v>559</v>
      </c>
      <c r="M1068" s="32">
        <v>0.56999999999999995</v>
      </c>
      <c r="N1068" s="27" t="s">
        <v>33</v>
      </c>
      <c r="O1068" s="27" t="s">
        <v>34</v>
      </c>
      <c r="P1068" s="27" t="s">
        <v>123</v>
      </c>
      <c r="Q1068" s="27" t="s">
        <v>2037</v>
      </c>
      <c r="R1068" s="33">
        <v>33801</v>
      </c>
      <c r="S1068" s="34">
        <v>42100</v>
      </c>
      <c r="T1068" s="34">
        <v>42107</v>
      </c>
      <c r="U1068" s="29">
        <v>-313.02179999999998</v>
      </c>
      <c r="V1068" s="26">
        <v>7</v>
      </c>
      <c r="W1068" s="29">
        <v>99.75</v>
      </c>
      <c r="X1068" s="26">
        <v>89102</v>
      </c>
      <c r="Y1068" s="35">
        <v>13.42</v>
      </c>
      <c r="Z1068" s="1" t="s">
        <v>3011</v>
      </c>
      <c r="AA1068" s="36">
        <v>0.94010000000000005</v>
      </c>
      <c r="AB1068" s="54">
        <v>42.892500000000005</v>
      </c>
      <c r="AC1068" s="54">
        <v>8.1224999999999987</v>
      </c>
      <c r="AD1068" s="36">
        <v>406.33170000000001</v>
      </c>
    </row>
    <row r="1069" spans="1:30" s="37" customFormat="1" ht="15.75" customHeight="1" x14ac:dyDescent="0.2">
      <c r="A1069" s="26">
        <v>2481</v>
      </c>
      <c r="B1069" s="27" t="s">
        <v>2028</v>
      </c>
      <c r="C1069" s="27" t="s">
        <v>26</v>
      </c>
      <c r="D1069" s="28">
        <v>7.0000000000000007E-2</v>
      </c>
      <c r="E1069" s="29">
        <v>5.18</v>
      </c>
      <c r="F1069" s="29">
        <v>5.74</v>
      </c>
      <c r="G1069" s="30" t="s">
        <v>87</v>
      </c>
      <c r="H1069" s="27" t="s">
        <v>94</v>
      </c>
      <c r="I1069" s="27" t="s">
        <v>49</v>
      </c>
      <c r="J1069" s="27" t="s">
        <v>72</v>
      </c>
      <c r="K1069" s="27" t="s">
        <v>73</v>
      </c>
      <c r="L1069" s="31" t="s">
        <v>850</v>
      </c>
      <c r="M1069" s="32">
        <v>0.36</v>
      </c>
      <c r="N1069" s="27" t="s">
        <v>33</v>
      </c>
      <c r="O1069" s="27" t="s">
        <v>34</v>
      </c>
      <c r="P1069" s="27" t="s">
        <v>168</v>
      </c>
      <c r="Q1069" s="27" t="s">
        <v>2029</v>
      </c>
      <c r="R1069" s="33">
        <v>70506</v>
      </c>
      <c r="S1069" s="34">
        <v>42100</v>
      </c>
      <c r="T1069" s="34">
        <v>42102</v>
      </c>
      <c r="U1069" s="29">
        <v>-188.03399999999999</v>
      </c>
      <c r="V1069" s="26">
        <v>14</v>
      </c>
      <c r="W1069" s="29">
        <v>79.61</v>
      </c>
      <c r="X1069" s="26">
        <v>91000</v>
      </c>
      <c r="Y1069" s="35">
        <v>60.589999999999996</v>
      </c>
      <c r="Z1069" s="1" t="s">
        <v>3011</v>
      </c>
      <c r="AA1069" s="36">
        <v>5.0764000000000005</v>
      </c>
      <c r="AB1069" s="54">
        <v>50.950400000000002</v>
      </c>
      <c r="AC1069" s="54">
        <v>2.0471142857142857</v>
      </c>
      <c r="AD1069" s="36">
        <v>256.82759999999996</v>
      </c>
    </row>
    <row r="1070" spans="1:30" s="37" customFormat="1" ht="15.75" customHeight="1" x14ac:dyDescent="0.2">
      <c r="A1070" s="26">
        <v>786</v>
      </c>
      <c r="B1070" s="27" t="s">
        <v>2045</v>
      </c>
      <c r="C1070" s="27" t="s">
        <v>116</v>
      </c>
      <c r="D1070" s="28">
        <v>0</v>
      </c>
      <c r="E1070" s="29">
        <v>8.34</v>
      </c>
      <c r="F1070" s="29">
        <v>4.82</v>
      </c>
      <c r="G1070" s="30" t="s">
        <v>39</v>
      </c>
      <c r="H1070" s="27" t="s">
        <v>71</v>
      </c>
      <c r="I1070" s="27" t="s">
        <v>49</v>
      </c>
      <c r="J1070" s="27" t="s">
        <v>88</v>
      </c>
      <c r="K1070" s="27" t="s">
        <v>73</v>
      </c>
      <c r="L1070" s="31" t="s">
        <v>961</v>
      </c>
      <c r="M1070" s="32">
        <v>0.4</v>
      </c>
      <c r="N1070" s="27" t="s">
        <v>33</v>
      </c>
      <c r="O1070" s="27" t="s">
        <v>60</v>
      </c>
      <c r="P1070" s="27" t="s">
        <v>90</v>
      </c>
      <c r="Q1070" s="27" t="s">
        <v>2046</v>
      </c>
      <c r="R1070" s="33">
        <v>92691</v>
      </c>
      <c r="S1070" s="34">
        <v>42100</v>
      </c>
      <c r="T1070" s="34">
        <v>42101</v>
      </c>
      <c r="U1070" s="29">
        <v>-5.05</v>
      </c>
      <c r="V1070" s="26">
        <v>9</v>
      </c>
      <c r="W1070" s="29">
        <v>76.23</v>
      </c>
      <c r="X1070" s="26">
        <v>91513</v>
      </c>
      <c r="Y1070" s="35">
        <v>4.79</v>
      </c>
      <c r="Z1070" s="1" t="s">
        <v>3013</v>
      </c>
      <c r="AA1070" s="36">
        <v>0</v>
      </c>
      <c r="AB1070" s="54">
        <v>45.738</v>
      </c>
      <c r="AC1070" s="54">
        <v>3.3880000000000003</v>
      </c>
      <c r="AD1070" s="36">
        <v>76.460000000000008</v>
      </c>
    </row>
    <row r="1071" spans="1:30" s="37" customFormat="1" ht="15.75" customHeight="1" x14ac:dyDescent="0.2">
      <c r="A1071" s="26">
        <v>1113</v>
      </c>
      <c r="B1071" s="27" t="s">
        <v>2026</v>
      </c>
      <c r="C1071" s="27" t="s">
        <v>26</v>
      </c>
      <c r="D1071" s="28">
        <v>0.01</v>
      </c>
      <c r="E1071" s="29">
        <v>2.89</v>
      </c>
      <c r="F1071" s="29">
        <v>0.5</v>
      </c>
      <c r="G1071" s="30" t="s">
        <v>39</v>
      </c>
      <c r="H1071" s="27" t="s">
        <v>94</v>
      </c>
      <c r="I1071" s="27" t="s">
        <v>49</v>
      </c>
      <c r="J1071" s="27" t="s">
        <v>152</v>
      </c>
      <c r="K1071" s="27" t="s">
        <v>73</v>
      </c>
      <c r="L1071" s="31" t="s">
        <v>729</v>
      </c>
      <c r="M1071" s="32">
        <v>0.38</v>
      </c>
      <c r="N1071" s="27" t="s">
        <v>33</v>
      </c>
      <c r="O1071" s="27" t="s">
        <v>60</v>
      </c>
      <c r="P1071" s="27" t="s">
        <v>61</v>
      </c>
      <c r="Q1071" s="27" t="s">
        <v>2027</v>
      </c>
      <c r="R1071" s="33">
        <v>80004</v>
      </c>
      <c r="S1071" s="34">
        <v>42100</v>
      </c>
      <c r="T1071" s="34">
        <v>42101</v>
      </c>
      <c r="U1071" s="29">
        <v>29.725200000000001</v>
      </c>
      <c r="V1071" s="26">
        <v>14</v>
      </c>
      <c r="W1071" s="29">
        <v>43.08</v>
      </c>
      <c r="X1071" s="26">
        <v>90833</v>
      </c>
      <c r="Y1071" s="35">
        <v>300.94</v>
      </c>
      <c r="Z1071" s="1" t="s">
        <v>3013</v>
      </c>
      <c r="AA1071" s="36">
        <v>0.40460000000000002</v>
      </c>
      <c r="AB1071" s="54">
        <v>26.709599999999998</v>
      </c>
      <c r="AC1071" s="54">
        <v>1.1693142857142858</v>
      </c>
      <c r="AD1071" s="36">
        <v>12.450199999999999</v>
      </c>
    </row>
    <row r="1072" spans="1:30" s="37" customFormat="1" ht="15.75" customHeight="1" x14ac:dyDescent="0.2">
      <c r="A1072" s="26">
        <v>2874</v>
      </c>
      <c r="B1072" s="27" t="s">
        <v>2040</v>
      </c>
      <c r="C1072" s="27" t="s">
        <v>48</v>
      </c>
      <c r="D1072" s="28">
        <v>0.05</v>
      </c>
      <c r="E1072" s="29">
        <v>4.84</v>
      </c>
      <c r="F1072" s="29">
        <v>0.71</v>
      </c>
      <c r="G1072" s="30" t="s">
        <v>39</v>
      </c>
      <c r="H1072" s="27" t="s">
        <v>71</v>
      </c>
      <c r="I1072" s="27" t="s">
        <v>49</v>
      </c>
      <c r="J1072" s="27" t="s">
        <v>50</v>
      </c>
      <c r="K1072" s="27" t="s">
        <v>51</v>
      </c>
      <c r="L1072" s="31" t="s">
        <v>52</v>
      </c>
      <c r="M1072" s="32">
        <v>0.52</v>
      </c>
      <c r="N1072" s="27" t="s">
        <v>33</v>
      </c>
      <c r="O1072" s="27" t="s">
        <v>53</v>
      </c>
      <c r="P1072" s="27" t="s">
        <v>133</v>
      </c>
      <c r="Q1072" s="27" t="s">
        <v>2041</v>
      </c>
      <c r="R1072" s="33">
        <v>68128</v>
      </c>
      <c r="S1072" s="34">
        <v>42100</v>
      </c>
      <c r="T1072" s="34">
        <v>42109</v>
      </c>
      <c r="U1072" s="29">
        <v>13.4481</v>
      </c>
      <c r="V1072" s="26">
        <v>4</v>
      </c>
      <c r="W1072" s="29">
        <v>19.489999999999998</v>
      </c>
      <c r="X1072" s="26">
        <v>89873</v>
      </c>
      <c r="Y1072" s="35">
        <v>300.94</v>
      </c>
      <c r="Z1072" s="1" t="s">
        <v>3012</v>
      </c>
      <c r="AA1072" s="36">
        <v>0.96799999999999997</v>
      </c>
      <c r="AB1072" s="54">
        <v>9.3551999999999982</v>
      </c>
      <c r="AC1072" s="54">
        <v>2.5337000000000001</v>
      </c>
      <c r="AD1072" s="36">
        <v>4.3638999999999974</v>
      </c>
    </row>
    <row r="1073" spans="1:30" s="37" customFormat="1" ht="15.75" customHeight="1" x14ac:dyDescent="0.2">
      <c r="A1073" s="26">
        <v>925</v>
      </c>
      <c r="B1073" s="27" t="s">
        <v>2022</v>
      </c>
      <c r="C1073" s="27" t="s">
        <v>26</v>
      </c>
      <c r="D1073" s="28">
        <v>0.03</v>
      </c>
      <c r="E1073" s="29">
        <v>2.1800000000000002</v>
      </c>
      <c r="F1073" s="29">
        <v>1.38</v>
      </c>
      <c r="G1073" s="30" t="s">
        <v>39</v>
      </c>
      <c r="H1073" s="27" t="s">
        <v>3095</v>
      </c>
      <c r="I1073" s="27" t="s">
        <v>49</v>
      </c>
      <c r="J1073" s="27" t="s">
        <v>176</v>
      </c>
      <c r="K1073" s="27" t="s">
        <v>51</v>
      </c>
      <c r="L1073" s="31" t="s">
        <v>2023</v>
      </c>
      <c r="M1073" s="32">
        <v>0.44</v>
      </c>
      <c r="N1073" s="27" t="s">
        <v>33</v>
      </c>
      <c r="O1073" s="27" t="s">
        <v>111</v>
      </c>
      <c r="P1073" s="27" t="s">
        <v>331</v>
      </c>
      <c r="Q1073" s="27" t="s">
        <v>370</v>
      </c>
      <c r="R1073" s="33">
        <v>4330</v>
      </c>
      <c r="S1073" s="34">
        <v>42100</v>
      </c>
      <c r="T1073" s="34">
        <v>42100</v>
      </c>
      <c r="U1073" s="29">
        <v>-7.04</v>
      </c>
      <c r="V1073" s="26">
        <v>7</v>
      </c>
      <c r="W1073" s="29">
        <v>15.73</v>
      </c>
      <c r="X1073" s="26">
        <v>87134</v>
      </c>
      <c r="Y1073" s="35">
        <v>8.34</v>
      </c>
      <c r="Z1073" s="1" t="s">
        <v>3014</v>
      </c>
      <c r="AA1073" s="36">
        <v>0.45779999999999998</v>
      </c>
      <c r="AB1073" s="54">
        <v>8.8088000000000015</v>
      </c>
      <c r="AC1073" s="54">
        <v>0.98874285714285726</v>
      </c>
      <c r="AD1073" s="36">
        <v>20.932200000000002</v>
      </c>
    </row>
    <row r="1074" spans="1:30" s="37" customFormat="1" ht="15.75" customHeight="1" x14ac:dyDescent="0.2">
      <c r="A1074" s="26">
        <v>2196</v>
      </c>
      <c r="B1074" s="27" t="s">
        <v>2060</v>
      </c>
      <c r="C1074" s="27" t="s">
        <v>116</v>
      </c>
      <c r="D1074" s="28">
        <v>0.1</v>
      </c>
      <c r="E1074" s="29">
        <v>140.85</v>
      </c>
      <c r="F1074" s="29">
        <v>19.989999999999998</v>
      </c>
      <c r="G1074" s="30" t="s">
        <v>39</v>
      </c>
      <c r="H1074" s="27" t="s">
        <v>3095</v>
      </c>
      <c r="I1074" s="27" t="s">
        <v>49</v>
      </c>
      <c r="J1074" s="27" t="s">
        <v>78</v>
      </c>
      <c r="K1074" s="27" t="s">
        <v>73</v>
      </c>
      <c r="L1074" s="31" t="s">
        <v>2063</v>
      </c>
      <c r="M1074" s="32">
        <v>0.73</v>
      </c>
      <c r="N1074" s="27" t="s">
        <v>33</v>
      </c>
      <c r="O1074" s="27" t="s">
        <v>111</v>
      </c>
      <c r="P1074" s="27" t="s">
        <v>112</v>
      </c>
      <c r="Q1074" s="27" t="s">
        <v>2062</v>
      </c>
      <c r="R1074" s="33">
        <v>14701</v>
      </c>
      <c r="S1074" s="34">
        <v>42101</v>
      </c>
      <c r="T1074" s="34">
        <v>42103</v>
      </c>
      <c r="U1074" s="29">
        <v>9.9911999999999992</v>
      </c>
      <c r="V1074" s="26">
        <v>19</v>
      </c>
      <c r="W1074" s="29">
        <v>2465.75</v>
      </c>
      <c r="X1074" s="26">
        <v>89175</v>
      </c>
      <c r="Y1074" s="35">
        <v>65.89</v>
      </c>
      <c r="Z1074" s="1" t="s">
        <v>3014</v>
      </c>
      <c r="AA1074" s="36">
        <v>267.61500000000001</v>
      </c>
      <c r="AB1074" s="54">
        <v>665.75250000000005</v>
      </c>
      <c r="AC1074" s="54">
        <v>94.736710526315775</v>
      </c>
      <c r="AD1074" s="36">
        <v>2168.1538</v>
      </c>
    </row>
    <row r="1075" spans="1:30" s="37" customFormat="1" ht="15.75" customHeight="1" x14ac:dyDescent="0.2">
      <c r="A1075" s="26">
        <v>2196</v>
      </c>
      <c r="B1075" s="27" t="s">
        <v>2060</v>
      </c>
      <c r="C1075" s="27" t="s">
        <v>116</v>
      </c>
      <c r="D1075" s="28">
        <v>0.1</v>
      </c>
      <c r="E1075" s="29">
        <v>179.99</v>
      </c>
      <c r="F1075" s="29">
        <v>19.989999999999998</v>
      </c>
      <c r="G1075" s="30" t="s">
        <v>39</v>
      </c>
      <c r="H1075" s="27" t="s">
        <v>3095</v>
      </c>
      <c r="I1075" s="27" t="s">
        <v>41</v>
      </c>
      <c r="J1075" s="27" t="s">
        <v>42</v>
      </c>
      <c r="K1075" s="27" t="s">
        <v>73</v>
      </c>
      <c r="L1075" s="31" t="s">
        <v>715</v>
      </c>
      <c r="M1075" s="32">
        <v>0.48</v>
      </c>
      <c r="N1075" s="27" t="s">
        <v>33</v>
      </c>
      <c r="O1075" s="27" t="s">
        <v>111</v>
      </c>
      <c r="P1075" s="27" t="s">
        <v>112</v>
      </c>
      <c r="Q1075" s="27" t="s">
        <v>2062</v>
      </c>
      <c r="R1075" s="33">
        <v>14701</v>
      </c>
      <c r="S1075" s="34">
        <v>42101</v>
      </c>
      <c r="T1075" s="34">
        <v>42102</v>
      </c>
      <c r="U1075" s="29">
        <v>1208.9903999999999</v>
      </c>
      <c r="V1075" s="26">
        <v>14</v>
      </c>
      <c r="W1075" s="29">
        <v>2458.0500000000002</v>
      </c>
      <c r="X1075" s="26">
        <v>89175</v>
      </c>
      <c r="Y1075" s="35">
        <v>77.42</v>
      </c>
      <c r="Z1075" s="1" t="s">
        <v>3014</v>
      </c>
      <c r="AA1075" s="36">
        <v>251.98600000000005</v>
      </c>
      <c r="AB1075" s="54">
        <v>1278.1860000000001</v>
      </c>
      <c r="AC1075" s="54">
        <v>84.27600000000001</v>
      </c>
      <c r="AD1075" s="36">
        <v>977.08360000000016</v>
      </c>
    </row>
    <row r="1076" spans="1:30" s="37" customFormat="1" ht="15.75" customHeight="1" x14ac:dyDescent="0.2">
      <c r="A1076" s="26">
        <v>1413</v>
      </c>
      <c r="B1076" s="27" t="s">
        <v>938</v>
      </c>
      <c r="C1076" s="27" t="s">
        <v>116</v>
      </c>
      <c r="D1076" s="28">
        <v>0</v>
      </c>
      <c r="E1076" s="29">
        <v>65.989999999999995</v>
      </c>
      <c r="F1076" s="29">
        <v>5.26</v>
      </c>
      <c r="G1076" s="30" t="s">
        <v>39</v>
      </c>
      <c r="H1076" s="27" t="s">
        <v>94</v>
      </c>
      <c r="I1076" s="27" t="s">
        <v>41</v>
      </c>
      <c r="J1076" s="27" t="s">
        <v>135</v>
      </c>
      <c r="K1076" s="27" t="s">
        <v>73</v>
      </c>
      <c r="L1076" s="31" t="s">
        <v>2058</v>
      </c>
      <c r="M1076" s="32">
        <v>0.59</v>
      </c>
      <c r="N1076" s="27" t="s">
        <v>33</v>
      </c>
      <c r="O1076" s="27" t="s">
        <v>111</v>
      </c>
      <c r="P1076" s="27" t="s">
        <v>403</v>
      </c>
      <c r="Q1076" s="27" t="s">
        <v>788</v>
      </c>
      <c r="R1076" s="33">
        <v>2113</v>
      </c>
      <c r="S1076" s="34">
        <v>42101</v>
      </c>
      <c r="T1076" s="34">
        <v>42102</v>
      </c>
      <c r="U1076" s="29">
        <v>542.25</v>
      </c>
      <c r="V1076" s="26">
        <v>36</v>
      </c>
      <c r="W1076" s="29">
        <v>2144.92</v>
      </c>
      <c r="X1076" s="26">
        <v>10277</v>
      </c>
      <c r="Y1076" s="35">
        <v>5.5600000000000005</v>
      </c>
      <c r="Z1076" s="1" t="s">
        <v>3014</v>
      </c>
      <c r="AA1076" s="36">
        <v>0</v>
      </c>
      <c r="AB1076" s="54">
        <v>879.41720000000009</v>
      </c>
      <c r="AC1076" s="54">
        <v>35.152855555555554</v>
      </c>
      <c r="AD1076" s="36">
        <v>1597.41</v>
      </c>
    </row>
    <row r="1077" spans="1:30" s="37" customFormat="1" ht="15.75" customHeight="1" x14ac:dyDescent="0.2">
      <c r="A1077" s="26">
        <v>2073</v>
      </c>
      <c r="B1077" s="27" t="s">
        <v>2064</v>
      </c>
      <c r="C1077" s="27" t="s">
        <v>3094</v>
      </c>
      <c r="D1077" s="28">
        <v>0.05</v>
      </c>
      <c r="E1077" s="29">
        <v>291.73</v>
      </c>
      <c r="F1077" s="29">
        <v>48.8</v>
      </c>
      <c r="G1077" s="30" t="s">
        <v>27</v>
      </c>
      <c r="H1077" s="27" t="s">
        <v>40</v>
      </c>
      <c r="I1077" s="27" t="s">
        <v>29</v>
      </c>
      <c r="J1077" s="27" t="s">
        <v>109</v>
      </c>
      <c r="K1077" s="27" t="s">
        <v>58</v>
      </c>
      <c r="L1077" s="31" t="s">
        <v>110</v>
      </c>
      <c r="M1077" s="32">
        <v>0.56000000000000005</v>
      </c>
      <c r="N1077" s="27" t="s">
        <v>33</v>
      </c>
      <c r="O1077" s="27" t="s">
        <v>53</v>
      </c>
      <c r="P1077" s="27" t="s">
        <v>289</v>
      </c>
      <c r="Q1077" s="27" t="s">
        <v>2065</v>
      </c>
      <c r="R1077" s="33">
        <v>48135</v>
      </c>
      <c r="S1077" s="34">
        <v>42101</v>
      </c>
      <c r="T1077" s="34">
        <v>42103</v>
      </c>
      <c r="U1077" s="29">
        <v>550.38080000000002</v>
      </c>
      <c r="V1077" s="26">
        <v>6</v>
      </c>
      <c r="W1077" s="29">
        <v>1818.41</v>
      </c>
      <c r="X1077" s="26">
        <v>88557</v>
      </c>
      <c r="Y1077" s="35">
        <v>40.86</v>
      </c>
      <c r="Z1077" s="1" t="s">
        <v>3012</v>
      </c>
      <c r="AA1077" s="36">
        <v>87.519000000000005</v>
      </c>
      <c r="AB1077" s="54">
        <v>800.10039999999992</v>
      </c>
      <c r="AC1077" s="54">
        <v>169.71826666666669</v>
      </c>
      <c r="AD1077" s="36">
        <v>1131.7102</v>
      </c>
    </row>
    <row r="1078" spans="1:30" s="37" customFormat="1" ht="15.75" customHeight="1" x14ac:dyDescent="0.2">
      <c r="A1078" s="26">
        <v>698</v>
      </c>
      <c r="B1078" s="27" t="s">
        <v>1043</v>
      </c>
      <c r="C1078" s="27" t="s">
        <v>48</v>
      </c>
      <c r="D1078" s="28">
        <v>0.1</v>
      </c>
      <c r="E1078" s="29">
        <v>40.479999999999997</v>
      </c>
      <c r="F1078" s="29">
        <v>19.989999999999998</v>
      </c>
      <c r="G1078" s="30" t="s">
        <v>39</v>
      </c>
      <c r="H1078" s="27" t="s">
        <v>94</v>
      </c>
      <c r="I1078" s="27" t="s">
        <v>41</v>
      </c>
      <c r="J1078" s="27" t="s">
        <v>42</v>
      </c>
      <c r="K1078" s="27" t="s">
        <v>73</v>
      </c>
      <c r="L1078" s="31" t="s">
        <v>2054</v>
      </c>
      <c r="M1078" s="32">
        <v>0.77</v>
      </c>
      <c r="N1078" s="27" t="s">
        <v>33</v>
      </c>
      <c r="O1078" s="27" t="s">
        <v>60</v>
      </c>
      <c r="P1078" s="27" t="s">
        <v>67</v>
      </c>
      <c r="Q1078" s="27" t="s">
        <v>142</v>
      </c>
      <c r="R1078" s="33">
        <v>98105</v>
      </c>
      <c r="S1078" s="34">
        <v>42101</v>
      </c>
      <c r="T1078" s="34">
        <v>42103</v>
      </c>
      <c r="U1078" s="29">
        <v>-580.32000000000005</v>
      </c>
      <c r="V1078" s="26">
        <v>36</v>
      </c>
      <c r="W1078" s="29">
        <v>1423.35</v>
      </c>
      <c r="X1078" s="26">
        <v>8994</v>
      </c>
      <c r="Y1078" s="35">
        <v>5.5600000000000005</v>
      </c>
      <c r="Z1078" s="1" t="s">
        <v>3013</v>
      </c>
      <c r="AA1078" s="36">
        <v>145.72800000000001</v>
      </c>
      <c r="AB1078" s="54">
        <v>327.37049999999994</v>
      </c>
      <c r="AC1078" s="54">
        <v>30.443874999999995</v>
      </c>
      <c r="AD1078" s="36">
        <v>1837.952</v>
      </c>
    </row>
    <row r="1079" spans="1:30" s="37" customFormat="1" ht="15.75" customHeight="1" x14ac:dyDescent="0.2">
      <c r="A1079" s="26">
        <v>272</v>
      </c>
      <c r="B1079" s="27" t="s">
        <v>2053</v>
      </c>
      <c r="C1079" s="27" t="s">
        <v>48</v>
      </c>
      <c r="D1079" s="28">
        <v>0.03</v>
      </c>
      <c r="E1079" s="29">
        <v>40.89</v>
      </c>
      <c r="F1079" s="29">
        <v>18.98</v>
      </c>
      <c r="G1079" s="30" t="s">
        <v>39</v>
      </c>
      <c r="H1079" s="27" t="s">
        <v>71</v>
      </c>
      <c r="I1079" s="27" t="s">
        <v>29</v>
      </c>
      <c r="J1079" s="27" t="s">
        <v>126</v>
      </c>
      <c r="K1079" s="27" t="s">
        <v>73</v>
      </c>
      <c r="L1079" s="31" t="s">
        <v>2052</v>
      </c>
      <c r="M1079" s="32">
        <v>0.56999999999999995</v>
      </c>
      <c r="N1079" s="27" t="s">
        <v>33</v>
      </c>
      <c r="O1079" s="27" t="s">
        <v>34</v>
      </c>
      <c r="P1079" s="27" t="s">
        <v>97</v>
      </c>
      <c r="Q1079" s="27" t="s">
        <v>673</v>
      </c>
      <c r="R1079" s="33">
        <v>28204</v>
      </c>
      <c r="S1079" s="34">
        <v>42101</v>
      </c>
      <c r="T1079" s="34">
        <v>42108</v>
      </c>
      <c r="U1079" s="29">
        <v>52.916600000000003</v>
      </c>
      <c r="V1079" s="26">
        <v>21</v>
      </c>
      <c r="W1079" s="29">
        <v>885.23</v>
      </c>
      <c r="X1079" s="26">
        <v>5509</v>
      </c>
      <c r="Y1079" s="35">
        <v>40.86</v>
      </c>
      <c r="Z1079" s="1" t="s">
        <v>3011</v>
      </c>
      <c r="AA1079" s="36">
        <v>25.760699999999996</v>
      </c>
      <c r="AB1079" s="54">
        <v>380.64890000000003</v>
      </c>
      <c r="AC1079" s="54">
        <v>24.027671428571431</v>
      </c>
      <c r="AD1079" s="36">
        <v>787.57270000000005</v>
      </c>
    </row>
    <row r="1080" spans="1:30" s="37" customFormat="1" ht="15.75" customHeight="1" x14ac:dyDescent="0.2">
      <c r="A1080" s="26">
        <v>1410</v>
      </c>
      <c r="B1080" s="27" t="s">
        <v>2057</v>
      </c>
      <c r="C1080" s="27" t="s">
        <v>116</v>
      </c>
      <c r="D1080" s="28">
        <v>0</v>
      </c>
      <c r="E1080" s="29">
        <v>65.989999999999995</v>
      </c>
      <c r="F1080" s="29">
        <v>5.26</v>
      </c>
      <c r="G1080" s="30" t="s">
        <v>39</v>
      </c>
      <c r="H1080" s="27" t="s">
        <v>94</v>
      </c>
      <c r="I1080" s="27" t="s">
        <v>41</v>
      </c>
      <c r="J1080" s="27" t="s">
        <v>135</v>
      </c>
      <c r="K1080" s="27" t="s">
        <v>73</v>
      </c>
      <c r="L1080" s="31" t="s">
        <v>2058</v>
      </c>
      <c r="M1080" s="32">
        <v>0.59</v>
      </c>
      <c r="N1080" s="27" t="s">
        <v>33</v>
      </c>
      <c r="O1080" s="27" t="s">
        <v>60</v>
      </c>
      <c r="P1080" s="27" t="s">
        <v>90</v>
      </c>
      <c r="Q1080" s="27" t="s">
        <v>2059</v>
      </c>
      <c r="R1080" s="33">
        <v>92553</v>
      </c>
      <c r="S1080" s="34">
        <v>42101</v>
      </c>
      <c r="T1080" s="34">
        <v>42102</v>
      </c>
      <c r="U1080" s="29">
        <v>369.99869999999999</v>
      </c>
      <c r="V1080" s="26">
        <v>9</v>
      </c>
      <c r="W1080" s="29">
        <v>536.23</v>
      </c>
      <c r="X1080" s="26">
        <v>87086</v>
      </c>
      <c r="Y1080" s="35">
        <v>40.379999999999995</v>
      </c>
      <c r="Z1080" s="1" t="s">
        <v>3013</v>
      </c>
      <c r="AA1080" s="36">
        <v>0</v>
      </c>
      <c r="AB1080" s="54">
        <v>219.85430000000002</v>
      </c>
      <c r="AC1080" s="54">
        <v>35.152855555555554</v>
      </c>
      <c r="AD1080" s="36">
        <v>160.97130000000004</v>
      </c>
    </row>
    <row r="1081" spans="1:30" s="37" customFormat="1" ht="15.75" customHeight="1" x14ac:dyDescent="0.2">
      <c r="A1081" s="26">
        <v>696</v>
      </c>
      <c r="B1081" s="27" t="s">
        <v>1883</v>
      </c>
      <c r="C1081" s="27" t="s">
        <v>48</v>
      </c>
      <c r="D1081" s="28">
        <v>0.1</v>
      </c>
      <c r="E1081" s="29">
        <v>40.479999999999997</v>
      </c>
      <c r="F1081" s="29">
        <v>19.989999999999998</v>
      </c>
      <c r="G1081" s="30" t="s">
        <v>39</v>
      </c>
      <c r="H1081" s="27" t="s">
        <v>94</v>
      </c>
      <c r="I1081" s="27" t="s">
        <v>41</v>
      </c>
      <c r="J1081" s="27" t="s">
        <v>42</v>
      </c>
      <c r="K1081" s="27" t="s">
        <v>73</v>
      </c>
      <c r="L1081" s="31" t="s">
        <v>2054</v>
      </c>
      <c r="M1081" s="32">
        <v>0.77</v>
      </c>
      <c r="N1081" s="27" t="s">
        <v>33</v>
      </c>
      <c r="O1081" s="27" t="s">
        <v>53</v>
      </c>
      <c r="P1081" s="27" t="s">
        <v>54</v>
      </c>
      <c r="Q1081" s="27" t="s">
        <v>1884</v>
      </c>
      <c r="R1081" s="33">
        <v>46307</v>
      </c>
      <c r="S1081" s="34">
        <v>42101</v>
      </c>
      <c r="T1081" s="34">
        <v>42103</v>
      </c>
      <c r="U1081" s="29">
        <v>-580.32000000000005</v>
      </c>
      <c r="V1081" s="26">
        <v>9</v>
      </c>
      <c r="W1081" s="29">
        <v>355.84</v>
      </c>
      <c r="X1081" s="26">
        <v>89848</v>
      </c>
      <c r="Y1081" s="35">
        <v>40.379999999999995</v>
      </c>
      <c r="Z1081" s="1" t="s">
        <v>3012</v>
      </c>
      <c r="AA1081" s="36">
        <v>36.432000000000002</v>
      </c>
      <c r="AB1081" s="54">
        <v>81.843199999999982</v>
      </c>
      <c r="AC1081" s="54">
        <v>30.444088888888889</v>
      </c>
      <c r="AD1081" s="36">
        <v>879.73800000000006</v>
      </c>
    </row>
    <row r="1082" spans="1:30" s="37" customFormat="1" ht="15.75" customHeight="1" x14ac:dyDescent="0.2">
      <c r="A1082" s="26">
        <v>2196</v>
      </c>
      <c r="B1082" s="27" t="s">
        <v>2060</v>
      </c>
      <c r="C1082" s="27" t="s">
        <v>116</v>
      </c>
      <c r="D1082" s="28">
        <v>0.03</v>
      </c>
      <c r="E1082" s="29">
        <v>27.48</v>
      </c>
      <c r="F1082" s="29">
        <v>4</v>
      </c>
      <c r="G1082" s="30" t="s">
        <v>39</v>
      </c>
      <c r="H1082" s="27" t="s">
        <v>3095</v>
      </c>
      <c r="I1082" s="27" t="s">
        <v>41</v>
      </c>
      <c r="J1082" s="27" t="s">
        <v>42</v>
      </c>
      <c r="K1082" s="27" t="s">
        <v>73</v>
      </c>
      <c r="L1082" s="31" t="s">
        <v>2061</v>
      </c>
      <c r="M1082" s="32">
        <v>0.75</v>
      </c>
      <c r="N1082" s="27" t="s">
        <v>33</v>
      </c>
      <c r="O1082" s="27" t="s">
        <v>111</v>
      </c>
      <c r="P1082" s="27" t="s">
        <v>112</v>
      </c>
      <c r="Q1082" s="27" t="s">
        <v>2062</v>
      </c>
      <c r="R1082" s="33">
        <v>14701</v>
      </c>
      <c r="S1082" s="34">
        <v>42101</v>
      </c>
      <c r="T1082" s="34">
        <v>42102</v>
      </c>
      <c r="U1082" s="29">
        <v>-88.840800000000002</v>
      </c>
      <c r="V1082" s="26">
        <v>11</v>
      </c>
      <c r="W1082" s="29">
        <v>294.97000000000003</v>
      </c>
      <c r="X1082" s="26">
        <v>89175</v>
      </c>
      <c r="Y1082" s="35">
        <v>17.610000000000003</v>
      </c>
      <c r="Z1082" s="1" t="s">
        <v>3014</v>
      </c>
      <c r="AA1082" s="36">
        <v>9.0684000000000005</v>
      </c>
      <c r="AB1082" s="54">
        <v>73.742500000000007</v>
      </c>
      <c r="AC1082" s="54">
        <v>20.111590909090911</v>
      </c>
      <c r="AD1082" s="36">
        <v>370.74240000000003</v>
      </c>
    </row>
    <row r="1083" spans="1:30" s="37" customFormat="1" ht="15.75" customHeight="1" x14ac:dyDescent="0.2">
      <c r="A1083" s="26">
        <v>1730</v>
      </c>
      <c r="B1083" s="27" t="s">
        <v>2047</v>
      </c>
      <c r="C1083" s="27" t="s">
        <v>38</v>
      </c>
      <c r="D1083" s="28">
        <v>0.1</v>
      </c>
      <c r="E1083" s="29">
        <v>65.989999999999995</v>
      </c>
      <c r="F1083" s="29">
        <v>3.99</v>
      </c>
      <c r="G1083" s="30" t="s">
        <v>87</v>
      </c>
      <c r="H1083" s="27" t="s">
        <v>3095</v>
      </c>
      <c r="I1083" s="27" t="s">
        <v>41</v>
      </c>
      <c r="J1083" s="27" t="s">
        <v>135</v>
      </c>
      <c r="K1083" s="27" t="s">
        <v>73</v>
      </c>
      <c r="L1083" s="31" t="s">
        <v>1634</v>
      </c>
      <c r="M1083" s="32">
        <v>0.59</v>
      </c>
      <c r="N1083" s="27" t="s">
        <v>33</v>
      </c>
      <c r="O1083" s="27" t="s">
        <v>60</v>
      </c>
      <c r="P1083" s="27" t="s">
        <v>490</v>
      </c>
      <c r="Q1083" s="27" t="s">
        <v>1498</v>
      </c>
      <c r="R1083" s="33">
        <v>83843</v>
      </c>
      <c r="S1083" s="34">
        <v>42101</v>
      </c>
      <c r="T1083" s="34">
        <v>42103</v>
      </c>
      <c r="U1083" s="29">
        <v>-88.624799999999993</v>
      </c>
      <c r="V1083" s="26">
        <v>5</v>
      </c>
      <c r="W1083" s="29">
        <v>272.86</v>
      </c>
      <c r="X1083" s="26">
        <v>90653</v>
      </c>
      <c r="Y1083" s="35">
        <v>65.989999999999995</v>
      </c>
      <c r="Z1083" s="1" t="s">
        <v>3013</v>
      </c>
      <c r="AA1083" s="36">
        <v>32.995000000000005</v>
      </c>
      <c r="AB1083" s="54">
        <v>111.87260000000002</v>
      </c>
      <c r="AC1083" s="54">
        <v>32.197479999999999</v>
      </c>
      <c r="AD1083" s="36">
        <v>324.49979999999999</v>
      </c>
    </row>
    <row r="1084" spans="1:30" s="37" customFormat="1" ht="15.75" customHeight="1" x14ac:dyDescent="0.2">
      <c r="A1084" s="26">
        <v>268</v>
      </c>
      <c r="B1084" s="27" t="s">
        <v>2050</v>
      </c>
      <c r="C1084" s="27" t="s">
        <v>48</v>
      </c>
      <c r="D1084" s="28">
        <v>0.03</v>
      </c>
      <c r="E1084" s="29">
        <v>40.89</v>
      </c>
      <c r="F1084" s="29">
        <v>18.98</v>
      </c>
      <c r="G1084" s="30" t="s">
        <v>39</v>
      </c>
      <c r="H1084" s="27" t="s">
        <v>71</v>
      </c>
      <c r="I1084" s="27" t="s">
        <v>29</v>
      </c>
      <c r="J1084" s="27" t="s">
        <v>126</v>
      </c>
      <c r="K1084" s="27" t="s">
        <v>73</v>
      </c>
      <c r="L1084" s="31" t="s">
        <v>2052</v>
      </c>
      <c r="M1084" s="32">
        <v>0.56999999999999995</v>
      </c>
      <c r="N1084" s="27" t="s">
        <v>33</v>
      </c>
      <c r="O1084" s="27" t="s">
        <v>60</v>
      </c>
      <c r="P1084" s="27" t="s">
        <v>588</v>
      </c>
      <c r="Q1084" s="27" t="s">
        <v>2051</v>
      </c>
      <c r="R1084" s="33">
        <v>86001</v>
      </c>
      <c r="S1084" s="34">
        <v>42101</v>
      </c>
      <c r="T1084" s="34">
        <v>42108</v>
      </c>
      <c r="U1084" s="29">
        <v>78.98</v>
      </c>
      <c r="V1084" s="26">
        <v>5</v>
      </c>
      <c r="W1084" s="29">
        <v>210.77</v>
      </c>
      <c r="X1084" s="26">
        <v>88941</v>
      </c>
      <c r="Y1084" s="35">
        <v>65.989999999999995</v>
      </c>
      <c r="Z1084" s="1" t="s">
        <v>3013</v>
      </c>
      <c r="AA1084" s="36">
        <v>6.1334999999999997</v>
      </c>
      <c r="AB1084" s="54">
        <v>90.631100000000018</v>
      </c>
      <c r="AC1084" s="54">
        <v>24.02778</v>
      </c>
      <c r="AD1084" s="36">
        <v>106.6765</v>
      </c>
    </row>
    <row r="1085" spans="1:30" s="37" customFormat="1" ht="15.75" customHeight="1" x14ac:dyDescent="0.2">
      <c r="A1085" s="26">
        <v>2540</v>
      </c>
      <c r="B1085" s="27" t="s">
        <v>2069</v>
      </c>
      <c r="C1085" s="27" t="s">
        <v>3094</v>
      </c>
      <c r="D1085" s="28">
        <v>0.02</v>
      </c>
      <c r="E1085" s="29">
        <v>178.47</v>
      </c>
      <c r="F1085" s="29">
        <v>19.989999999999998</v>
      </c>
      <c r="G1085" s="30" t="s">
        <v>39</v>
      </c>
      <c r="H1085" s="27" t="s">
        <v>71</v>
      </c>
      <c r="I1085" s="27" t="s">
        <v>49</v>
      </c>
      <c r="J1085" s="27" t="s">
        <v>78</v>
      </c>
      <c r="K1085" s="27" t="s">
        <v>73</v>
      </c>
      <c r="L1085" s="31" t="s">
        <v>1011</v>
      </c>
      <c r="M1085" s="32">
        <v>0.55000000000000004</v>
      </c>
      <c r="N1085" s="27" t="s">
        <v>33</v>
      </c>
      <c r="O1085" s="27" t="s">
        <v>34</v>
      </c>
      <c r="P1085" s="27" t="s">
        <v>123</v>
      </c>
      <c r="Q1085" s="27" t="s">
        <v>2070</v>
      </c>
      <c r="R1085" s="33">
        <v>32708</v>
      </c>
      <c r="S1085" s="34">
        <v>42101</v>
      </c>
      <c r="T1085" s="34">
        <v>42102</v>
      </c>
      <c r="U1085" s="29">
        <v>106.98480000000001</v>
      </c>
      <c r="V1085" s="26">
        <v>1</v>
      </c>
      <c r="W1085" s="29">
        <v>193.81</v>
      </c>
      <c r="X1085" s="26">
        <v>91017</v>
      </c>
      <c r="Y1085" s="35">
        <v>27.45</v>
      </c>
      <c r="Z1085" s="1" t="s">
        <v>3011</v>
      </c>
      <c r="AA1085" s="36">
        <v>3.5693999999999999</v>
      </c>
      <c r="AB1085" s="54">
        <v>87.214499999999987</v>
      </c>
      <c r="AC1085" s="54">
        <v>106.59550000000002</v>
      </c>
      <c r="AD1085" s="36">
        <v>63.265800000000013</v>
      </c>
    </row>
    <row r="1086" spans="1:30" s="37" customFormat="1" ht="15.75" customHeight="1" x14ac:dyDescent="0.2">
      <c r="A1086" s="26">
        <v>1957</v>
      </c>
      <c r="B1086" s="27" t="s">
        <v>2048</v>
      </c>
      <c r="C1086" s="27" t="s">
        <v>38</v>
      </c>
      <c r="D1086" s="28">
        <v>0.09</v>
      </c>
      <c r="E1086" s="29">
        <v>77.510000000000005</v>
      </c>
      <c r="F1086" s="29">
        <v>4</v>
      </c>
      <c r="G1086" s="30" t="s">
        <v>39</v>
      </c>
      <c r="H1086" s="27" t="s">
        <v>40</v>
      </c>
      <c r="I1086" s="27" t="s">
        <v>41</v>
      </c>
      <c r="J1086" s="27" t="s">
        <v>42</v>
      </c>
      <c r="K1086" s="27" t="s">
        <v>73</v>
      </c>
      <c r="L1086" s="31" t="s">
        <v>2049</v>
      </c>
      <c r="M1086" s="32">
        <v>0.76</v>
      </c>
      <c r="N1086" s="27" t="s">
        <v>33</v>
      </c>
      <c r="O1086" s="27" t="s">
        <v>53</v>
      </c>
      <c r="P1086" s="27" t="s">
        <v>80</v>
      </c>
      <c r="Q1086" s="27" t="s">
        <v>1024</v>
      </c>
      <c r="R1086" s="33">
        <v>63130</v>
      </c>
      <c r="S1086" s="34">
        <v>42101</v>
      </c>
      <c r="T1086" s="34">
        <v>42103</v>
      </c>
      <c r="U1086" s="29">
        <v>-387.1044</v>
      </c>
      <c r="V1086" s="26">
        <v>1</v>
      </c>
      <c r="W1086" s="29">
        <v>77.47</v>
      </c>
      <c r="X1086" s="26">
        <v>89818</v>
      </c>
      <c r="Y1086" s="35">
        <v>179.89000000000001</v>
      </c>
      <c r="Z1086" s="1" t="s">
        <v>3012</v>
      </c>
      <c r="AA1086" s="36">
        <v>6.9759000000000002</v>
      </c>
      <c r="AB1086" s="54">
        <v>18.5928</v>
      </c>
      <c r="AC1086" s="54">
        <v>58.877200000000002</v>
      </c>
      <c r="AD1086" s="36">
        <v>453.59849999999994</v>
      </c>
    </row>
    <row r="1087" spans="1:30" s="37" customFormat="1" ht="15.75" customHeight="1" x14ac:dyDescent="0.2">
      <c r="A1087" s="26">
        <v>683</v>
      </c>
      <c r="B1087" s="27" t="s">
        <v>2055</v>
      </c>
      <c r="C1087" s="27" t="s">
        <v>116</v>
      </c>
      <c r="D1087" s="28">
        <v>0.06</v>
      </c>
      <c r="E1087" s="29">
        <v>17.670000000000002</v>
      </c>
      <c r="F1087" s="29">
        <v>8.99</v>
      </c>
      <c r="G1087" s="30" t="s">
        <v>87</v>
      </c>
      <c r="H1087" s="27" t="s">
        <v>3095</v>
      </c>
      <c r="I1087" s="27" t="s">
        <v>29</v>
      </c>
      <c r="J1087" s="27" t="s">
        <v>126</v>
      </c>
      <c r="K1087" s="27" t="s">
        <v>43</v>
      </c>
      <c r="L1087" s="31" t="s">
        <v>2056</v>
      </c>
      <c r="M1087" s="32">
        <v>0.47</v>
      </c>
      <c r="N1087" s="27" t="s">
        <v>33</v>
      </c>
      <c r="O1087" s="27" t="s">
        <v>53</v>
      </c>
      <c r="P1087" s="27" t="s">
        <v>133</v>
      </c>
      <c r="Q1087" s="27" t="s">
        <v>1589</v>
      </c>
      <c r="R1087" s="33">
        <v>68046</v>
      </c>
      <c r="S1087" s="34">
        <v>42101</v>
      </c>
      <c r="T1087" s="34">
        <v>42102</v>
      </c>
      <c r="U1087" s="29">
        <v>38.06</v>
      </c>
      <c r="V1087" s="26">
        <v>4</v>
      </c>
      <c r="W1087" s="29">
        <v>69.959999999999994</v>
      </c>
      <c r="X1087" s="26">
        <v>87765</v>
      </c>
      <c r="Y1087" s="35">
        <v>140.75</v>
      </c>
      <c r="Z1087" s="1" t="s">
        <v>3012</v>
      </c>
      <c r="AA1087" s="36">
        <v>4.2408000000000001</v>
      </c>
      <c r="AB1087" s="54">
        <v>37.078800000000001</v>
      </c>
      <c r="AC1087" s="54">
        <v>8.2202999999999982</v>
      </c>
      <c r="AD1087" s="36">
        <v>18.669199999999989</v>
      </c>
    </row>
    <row r="1088" spans="1:30" s="37" customFormat="1" ht="15.75" customHeight="1" x14ac:dyDescent="0.2">
      <c r="A1088" s="26">
        <v>272</v>
      </c>
      <c r="B1088" s="27" t="s">
        <v>2053</v>
      </c>
      <c r="C1088" s="27" t="s">
        <v>48</v>
      </c>
      <c r="D1088" s="28">
        <v>0.02</v>
      </c>
      <c r="E1088" s="29">
        <v>5.58</v>
      </c>
      <c r="F1088" s="29">
        <v>5.3</v>
      </c>
      <c r="G1088" s="30" t="s">
        <v>39</v>
      </c>
      <c r="H1088" s="27" t="s">
        <v>71</v>
      </c>
      <c r="I1088" s="27" t="s">
        <v>49</v>
      </c>
      <c r="J1088" s="27" t="s">
        <v>345</v>
      </c>
      <c r="K1088" s="27" t="s">
        <v>73</v>
      </c>
      <c r="L1088" s="31" t="s">
        <v>346</v>
      </c>
      <c r="M1088" s="32">
        <v>0.35</v>
      </c>
      <c r="N1088" s="27" t="s">
        <v>33</v>
      </c>
      <c r="O1088" s="27" t="s">
        <v>34</v>
      </c>
      <c r="P1088" s="27" t="s">
        <v>97</v>
      </c>
      <c r="Q1088" s="27" t="s">
        <v>673</v>
      </c>
      <c r="R1088" s="33">
        <v>28204</v>
      </c>
      <c r="S1088" s="34">
        <v>42101</v>
      </c>
      <c r="T1088" s="34">
        <v>42106</v>
      </c>
      <c r="U1088" s="29">
        <v>-29.898399999999999</v>
      </c>
      <c r="V1088" s="26">
        <v>11</v>
      </c>
      <c r="W1088" s="29">
        <v>68.459999999999994</v>
      </c>
      <c r="X1088" s="26">
        <v>5509</v>
      </c>
      <c r="Y1088" s="35">
        <v>291.68</v>
      </c>
      <c r="Z1088" s="1" t="s">
        <v>3011</v>
      </c>
      <c r="AA1088" s="36">
        <v>1.2276</v>
      </c>
      <c r="AB1088" s="54">
        <v>44.498999999999995</v>
      </c>
      <c r="AC1088" s="54">
        <v>2.1782727272727267</v>
      </c>
      <c r="AD1088" s="36">
        <v>91.830799999999996</v>
      </c>
    </row>
    <row r="1089" spans="1:30" s="37" customFormat="1" ht="15.75" customHeight="1" x14ac:dyDescent="0.2">
      <c r="A1089" s="26">
        <v>2539</v>
      </c>
      <c r="B1089" s="27" t="s">
        <v>2066</v>
      </c>
      <c r="C1089" s="27" t="s">
        <v>3094</v>
      </c>
      <c r="D1089" s="28">
        <v>0.08</v>
      </c>
      <c r="E1089" s="29">
        <v>12.53</v>
      </c>
      <c r="F1089" s="29">
        <v>0.5</v>
      </c>
      <c r="G1089" s="30" t="s">
        <v>39</v>
      </c>
      <c r="H1089" s="27" t="s">
        <v>71</v>
      </c>
      <c r="I1089" s="27" t="s">
        <v>49</v>
      </c>
      <c r="J1089" s="27" t="s">
        <v>152</v>
      </c>
      <c r="K1089" s="27" t="s">
        <v>73</v>
      </c>
      <c r="L1089" s="31" t="s">
        <v>2067</v>
      </c>
      <c r="M1089" s="32">
        <v>0.38</v>
      </c>
      <c r="N1089" s="27" t="s">
        <v>33</v>
      </c>
      <c r="O1089" s="27" t="s">
        <v>34</v>
      </c>
      <c r="P1089" s="27" t="s">
        <v>123</v>
      </c>
      <c r="Q1089" s="27" t="s">
        <v>2068</v>
      </c>
      <c r="R1089" s="33">
        <v>32789</v>
      </c>
      <c r="S1089" s="34">
        <v>42101</v>
      </c>
      <c r="T1089" s="34">
        <v>42102</v>
      </c>
      <c r="U1089" s="29">
        <v>215.71799999999999</v>
      </c>
      <c r="V1089" s="26">
        <v>5</v>
      </c>
      <c r="W1089" s="29">
        <v>61.1</v>
      </c>
      <c r="X1089" s="26">
        <v>91017</v>
      </c>
      <c r="Y1089" s="35">
        <v>12.45</v>
      </c>
      <c r="Z1089" s="1" t="s">
        <v>3011</v>
      </c>
      <c r="AA1089" s="36">
        <v>5.0119999999999996</v>
      </c>
      <c r="AB1089" s="54">
        <v>37.881999999999998</v>
      </c>
      <c r="AC1089" s="54">
        <v>4.6436000000000002</v>
      </c>
      <c r="AD1089" s="36">
        <v>-160.13</v>
      </c>
    </row>
    <row r="1090" spans="1:30" s="37" customFormat="1" ht="15.75" customHeight="1" x14ac:dyDescent="0.2">
      <c r="A1090" s="26">
        <v>268</v>
      </c>
      <c r="B1090" s="27" t="s">
        <v>2050</v>
      </c>
      <c r="C1090" s="27" t="s">
        <v>48</v>
      </c>
      <c r="D1090" s="28">
        <v>0.02</v>
      </c>
      <c r="E1090" s="29">
        <v>5.58</v>
      </c>
      <c r="F1090" s="29">
        <v>5.3</v>
      </c>
      <c r="G1090" s="30" t="s">
        <v>39</v>
      </c>
      <c r="H1090" s="27" t="s">
        <v>71</v>
      </c>
      <c r="I1090" s="27" t="s">
        <v>49</v>
      </c>
      <c r="J1090" s="27" t="s">
        <v>345</v>
      </c>
      <c r="K1090" s="27" t="s">
        <v>73</v>
      </c>
      <c r="L1090" s="31" t="s">
        <v>346</v>
      </c>
      <c r="M1090" s="32">
        <v>0.35</v>
      </c>
      <c r="N1090" s="27" t="s">
        <v>33</v>
      </c>
      <c r="O1090" s="27" t="s">
        <v>60</v>
      </c>
      <c r="P1090" s="27" t="s">
        <v>588</v>
      </c>
      <c r="Q1090" s="27" t="s">
        <v>2051</v>
      </c>
      <c r="R1090" s="33">
        <v>86001</v>
      </c>
      <c r="S1090" s="34">
        <v>42101</v>
      </c>
      <c r="T1090" s="34">
        <v>42106</v>
      </c>
      <c r="U1090" s="29">
        <v>-22.48</v>
      </c>
      <c r="V1090" s="26">
        <v>3</v>
      </c>
      <c r="W1090" s="29">
        <v>18.670000000000002</v>
      </c>
      <c r="X1090" s="26">
        <v>88941</v>
      </c>
      <c r="Y1090" s="35">
        <v>178.45</v>
      </c>
      <c r="Z1090" s="1" t="s">
        <v>3013</v>
      </c>
      <c r="AA1090" s="36">
        <v>0.33479999999999999</v>
      </c>
      <c r="AB1090" s="54">
        <v>12.135500000000002</v>
      </c>
      <c r="AC1090" s="54">
        <v>2.1781666666666668</v>
      </c>
      <c r="AD1090" s="36">
        <v>35.5152</v>
      </c>
    </row>
    <row r="1091" spans="1:30" s="37" customFormat="1" ht="15.75" customHeight="1" x14ac:dyDescent="0.2">
      <c r="A1091" s="26">
        <v>2699</v>
      </c>
      <c r="B1091" s="27" t="s">
        <v>2089</v>
      </c>
      <c r="C1091" s="27" t="s">
        <v>3094</v>
      </c>
      <c r="D1091" s="28">
        <v>0.04</v>
      </c>
      <c r="E1091" s="29">
        <v>70.98</v>
      </c>
      <c r="F1091" s="29">
        <v>26.74</v>
      </c>
      <c r="G1091" s="30" t="s">
        <v>27</v>
      </c>
      <c r="H1091" s="27" t="s">
        <v>94</v>
      </c>
      <c r="I1091" s="27" t="s">
        <v>29</v>
      </c>
      <c r="J1091" s="27" t="s">
        <v>117</v>
      </c>
      <c r="K1091" s="27" t="s">
        <v>31</v>
      </c>
      <c r="L1091" s="31" t="s">
        <v>2090</v>
      </c>
      <c r="M1091" s="32">
        <v>0.6</v>
      </c>
      <c r="N1091" s="27" t="s">
        <v>33</v>
      </c>
      <c r="O1091" s="27" t="s">
        <v>60</v>
      </c>
      <c r="P1091" s="27" t="s">
        <v>588</v>
      </c>
      <c r="Q1091" s="27" t="s">
        <v>2091</v>
      </c>
      <c r="R1091" s="33">
        <v>86442</v>
      </c>
      <c r="S1091" s="34">
        <v>42102</v>
      </c>
      <c r="T1091" s="34">
        <v>42104</v>
      </c>
      <c r="U1091" s="29">
        <v>-84.628799999999998</v>
      </c>
      <c r="V1091" s="26">
        <v>19</v>
      </c>
      <c r="W1091" s="29">
        <v>1345.33</v>
      </c>
      <c r="X1091" s="26">
        <v>87679</v>
      </c>
      <c r="Y1091" s="35">
        <v>4.42</v>
      </c>
      <c r="Z1091" s="1" t="s">
        <v>3013</v>
      </c>
      <c r="AA1091" s="36">
        <v>53.944800000000008</v>
      </c>
      <c r="AB1091" s="54">
        <v>538.13199999999995</v>
      </c>
      <c r="AC1091" s="54">
        <v>42.484105263157893</v>
      </c>
      <c r="AD1091" s="36">
        <v>1349.2739999999999</v>
      </c>
    </row>
    <row r="1092" spans="1:30" s="37" customFormat="1" ht="15.75" customHeight="1" x14ac:dyDescent="0.2">
      <c r="A1092" s="26">
        <v>1018</v>
      </c>
      <c r="B1092" s="27" t="s">
        <v>2082</v>
      </c>
      <c r="C1092" s="27" t="s">
        <v>116</v>
      </c>
      <c r="D1092" s="28">
        <v>0.05</v>
      </c>
      <c r="E1092" s="29">
        <v>35.89</v>
      </c>
      <c r="F1092" s="29">
        <v>14.72</v>
      </c>
      <c r="G1092" s="30" t="s">
        <v>39</v>
      </c>
      <c r="H1092" s="27" t="s">
        <v>71</v>
      </c>
      <c r="I1092" s="27" t="s">
        <v>49</v>
      </c>
      <c r="J1092" s="27" t="s">
        <v>345</v>
      </c>
      <c r="K1092" s="27" t="s">
        <v>73</v>
      </c>
      <c r="L1092" s="31" t="s">
        <v>2083</v>
      </c>
      <c r="M1092" s="32">
        <v>0.4</v>
      </c>
      <c r="N1092" s="27" t="s">
        <v>33</v>
      </c>
      <c r="O1092" s="27" t="s">
        <v>34</v>
      </c>
      <c r="P1092" s="27" t="s">
        <v>97</v>
      </c>
      <c r="Q1092" s="27" t="s">
        <v>2084</v>
      </c>
      <c r="R1092" s="33">
        <v>27511</v>
      </c>
      <c r="S1092" s="34">
        <v>42102</v>
      </c>
      <c r="T1092" s="34">
        <v>42103</v>
      </c>
      <c r="U1092" s="29">
        <v>22.866</v>
      </c>
      <c r="V1092" s="26">
        <v>19</v>
      </c>
      <c r="W1092" s="29">
        <v>680.39</v>
      </c>
      <c r="X1092" s="26">
        <v>88391</v>
      </c>
      <c r="Y1092" s="35">
        <v>42.97</v>
      </c>
      <c r="Z1092" s="1" t="s">
        <v>3011</v>
      </c>
      <c r="AA1092" s="36">
        <v>34.095500000000001</v>
      </c>
      <c r="AB1092" s="54">
        <v>408.23399999999998</v>
      </c>
      <c r="AC1092" s="54">
        <v>14.324000000000002</v>
      </c>
      <c r="AD1092" s="36">
        <v>608.70849999999996</v>
      </c>
    </row>
    <row r="1093" spans="1:30" s="37" customFormat="1" ht="15.75" customHeight="1" x14ac:dyDescent="0.2">
      <c r="A1093" s="26">
        <v>1614</v>
      </c>
      <c r="B1093" s="27" t="s">
        <v>2079</v>
      </c>
      <c r="C1093" s="27" t="s">
        <v>48</v>
      </c>
      <c r="D1093" s="28">
        <v>0.06</v>
      </c>
      <c r="E1093" s="29">
        <v>40.97</v>
      </c>
      <c r="F1093" s="29">
        <v>1.99</v>
      </c>
      <c r="G1093" s="30" t="s">
        <v>39</v>
      </c>
      <c r="H1093" s="27" t="s">
        <v>40</v>
      </c>
      <c r="I1093" s="27" t="s">
        <v>41</v>
      </c>
      <c r="J1093" s="27" t="s">
        <v>42</v>
      </c>
      <c r="K1093" s="27" t="s">
        <v>43</v>
      </c>
      <c r="L1093" s="31" t="s">
        <v>2080</v>
      </c>
      <c r="M1093" s="32">
        <v>0.42</v>
      </c>
      <c r="N1093" s="27" t="s">
        <v>33</v>
      </c>
      <c r="O1093" s="27" t="s">
        <v>111</v>
      </c>
      <c r="P1093" s="27" t="s">
        <v>403</v>
      </c>
      <c r="Q1093" s="27" t="s">
        <v>2081</v>
      </c>
      <c r="R1093" s="33">
        <v>1748</v>
      </c>
      <c r="S1093" s="34">
        <v>42102</v>
      </c>
      <c r="T1093" s="34">
        <v>42106</v>
      </c>
      <c r="U1093" s="29">
        <v>341.19810000000001</v>
      </c>
      <c r="V1093" s="26">
        <v>12</v>
      </c>
      <c r="W1093" s="29">
        <v>494.49</v>
      </c>
      <c r="X1093" s="26">
        <v>87823</v>
      </c>
      <c r="Y1093" s="35">
        <v>2.87</v>
      </c>
      <c r="Z1093" s="1" t="s">
        <v>3014</v>
      </c>
      <c r="AA1093" s="36">
        <v>29.498399999999997</v>
      </c>
      <c r="AB1093" s="54">
        <v>286.80420000000004</v>
      </c>
      <c r="AC1093" s="54">
        <v>17.30715</v>
      </c>
      <c r="AD1093" s="36">
        <v>121.80349999999999</v>
      </c>
    </row>
    <row r="1094" spans="1:30" s="37" customFormat="1" ht="15.75" customHeight="1" x14ac:dyDescent="0.2">
      <c r="A1094" s="26">
        <v>1935</v>
      </c>
      <c r="B1094" s="27" t="s">
        <v>2074</v>
      </c>
      <c r="C1094" s="27" t="s">
        <v>26</v>
      </c>
      <c r="D1094" s="28">
        <v>0.01</v>
      </c>
      <c r="E1094" s="29">
        <v>42.98</v>
      </c>
      <c r="F1094" s="29">
        <v>4.62</v>
      </c>
      <c r="G1094" s="30" t="s">
        <v>87</v>
      </c>
      <c r="H1094" s="27" t="s">
        <v>94</v>
      </c>
      <c r="I1094" s="27" t="s">
        <v>49</v>
      </c>
      <c r="J1094" s="27" t="s">
        <v>95</v>
      </c>
      <c r="K1094" s="27" t="s">
        <v>73</v>
      </c>
      <c r="L1094" s="31" t="s">
        <v>280</v>
      </c>
      <c r="M1094" s="32">
        <v>0.56000000000000005</v>
      </c>
      <c r="N1094" s="27" t="s">
        <v>33</v>
      </c>
      <c r="O1094" s="27" t="s">
        <v>53</v>
      </c>
      <c r="P1094" s="27" t="s">
        <v>187</v>
      </c>
      <c r="Q1094" s="27" t="s">
        <v>2075</v>
      </c>
      <c r="R1094" s="33">
        <v>75051</v>
      </c>
      <c r="S1094" s="34">
        <v>42102</v>
      </c>
      <c r="T1094" s="34">
        <v>42104</v>
      </c>
      <c r="U1094" s="29">
        <v>285.47370000000001</v>
      </c>
      <c r="V1094" s="26">
        <v>9</v>
      </c>
      <c r="W1094" s="29">
        <v>413.73</v>
      </c>
      <c r="X1094" s="26">
        <v>86686</v>
      </c>
      <c r="Y1094" s="35">
        <v>35.39</v>
      </c>
      <c r="Z1094" s="1" t="s">
        <v>3012</v>
      </c>
      <c r="AA1094" s="36">
        <v>3.8681999999999999</v>
      </c>
      <c r="AB1094" s="54">
        <v>182.04119999999998</v>
      </c>
      <c r="AC1094" s="54">
        <v>25.743200000000002</v>
      </c>
      <c r="AD1094" s="36">
        <v>119.7681</v>
      </c>
    </row>
    <row r="1095" spans="1:30" s="37" customFormat="1" ht="15.75" customHeight="1" x14ac:dyDescent="0.2">
      <c r="A1095" s="26">
        <v>3098</v>
      </c>
      <c r="B1095" s="27" t="s">
        <v>1420</v>
      </c>
      <c r="C1095" s="27" t="s">
        <v>26</v>
      </c>
      <c r="D1095" s="28">
        <v>0.05</v>
      </c>
      <c r="E1095" s="29">
        <v>35.44</v>
      </c>
      <c r="F1095" s="29">
        <v>5.09</v>
      </c>
      <c r="G1095" s="30" t="s">
        <v>39</v>
      </c>
      <c r="H1095" s="27" t="s">
        <v>40</v>
      </c>
      <c r="I1095" s="27" t="s">
        <v>49</v>
      </c>
      <c r="J1095" s="27" t="s">
        <v>88</v>
      </c>
      <c r="K1095" s="27" t="s">
        <v>73</v>
      </c>
      <c r="L1095" s="31" t="s">
        <v>2078</v>
      </c>
      <c r="M1095" s="32">
        <v>0.38</v>
      </c>
      <c r="N1095" s="27" t="s">
        <v>33</v>
      </c>
      <c r="O1095" s="27" t="s">
        <v>111</v>
      </c>
      <c r="P1095" s="27" t="s">
        <v>112</v>
      </c>
      <c r="Q1095" s="27" t="s">
        <v>1421</v>
      </c>
      <c r="R1095" s="33">
        <v>11967</v>
      </c>
      <c r="S1095" s="34">
        <v>42102</v>
      </c>
      <c r="T1095" s="34">
        <v>42103</v>
      </c>
      <c r="U1095" s="29">
        <v>240.17519999999999</v>
      </c>
      <c r="V1095" s="26">
        <v>10</v>
      </c>
      <c r="W1095" s="29">
        <v>348.08</v>
      </c>
      <c r="X1095" s="26">
        <v>89314</v>
      </c>
      <c r="Y1095" s="35">
        <v>40.909999999999997</v>
      </c>
      <c r="Z1095" s="1" t="s">
        <v>3014</v>
      </c>
      <c r="AA1095" s="36">
        <v>17.72</v>
      </c>
      <c r="AB1095" s="54">
        <v>215.80959999999999</v>
      </c>
      <c r="AC1095" s="54">
        <v>13.227040000000001</v>
      </c>
      <c r="AD1095" s="36">
        <v>85.094800000000021</v>
      </c>
    </row>
    <row r="1096" spans="1:30" s="37" customFormat="1" ht="15.75" customHeight="1" x14ac:dyDescent="0.2">
      <c r="A1096" s="26">
        <v>2561</v>
      </c>
      <c r="B1096" s="27" t="s">
        <v>1798</v>
      </c>
      <c r="C1096" s="27" t="s">
        <v>3094</v>
      </c>
      <c r="D1096" s="28">
        <v>7.0000000000000007E-2</v>
      </c>
      <c r="E1096" s="29">
        <v>12.22</v>
      </c>
      <c r="F1096" s="29">
        <v>2.85</v>
      </c>
      <c r="G1096" s="30" t="s">
        <v>39</v>
      </c>
      <c r="H1096" s="27" t="s">
        <v>40</v>
      </c>
      <c r="I1096" s="27" t="s">
        <v>29</v>
      </c>
      <c r="J1096" s="27" t="s">
        <v>126</v>
      </c>
      <c r="K1096" s="27" t="s">
        <v>43</v>
      </c>
      <c r="L1096" s="31" t="s">
        <v>2086</v>
      </c>
      <c r="M1096" s="32">
        <v>0.55000000000000004</v>
      </c>
      <c r="N1096" s="27" t="s">
        <v>33</v>
      </c>
      <c r="O1096" s="27" t="s">
        <v>111</v>
      </c>
      <c r="P1096" s="27" t="s">
        <v>112</v>
      </c>
      <c r="Q1096" s="27" t="s">
        <v>1799</v>
      </c>
      <c r="R1096" s="33">
        <v>10562</v>
      </c>
      <c r="S1096" s="34">
        <v>42102</v>
      </c>
      <c r="T1096" s="34">
        <v>42102</v>
      </c>
      <c r="U1096" s="29">
        <v>89.4148</v>
      </c>
      <c r="V1096" s="26">
        <v>12</v>
      </c>
      <c r="W1096" s="29">
        <v>147.19</v>
      </c>
      <c r="X1096" s="26">
        <v>86466</v>
      </c>
      <c r="Y1096" s="35">
        <v>35.840000000000003</v>
      </c>
      <c r="Z1096" s="1" t="s">
        <v>3014</v>
      </c>
      <c r="AA1096" s="36">
        <v>10.264800000000001</v>
      </c>
      <c r="AB1096" s="54">
        <v>66.235499999999988</v>
      </c>
      <c r="AC1096" s="54">
        <v>6.7462083333333336</v>
      </c>
      <c r="AD1096" s="36">
        <v>44.66040000000001</v>
      </c>
    </row>
    <row r="1097" spans="1:30" s="37" customFormat="1" ht="15.75" customHeight="1" x14ac:dyDescent="0.2">
      <c r="A1097" s="26">
        <v>1018</v>
      </c>
      <c r="B1097" s="27" t="s">
        <v>2082</v>
      </c>
      <c r="C1097" s="27" t="s">
        <v>116</v>
      </c>
      <c r="D1097" s="28">
        <v>0</v>
      </c>
      <c r="E1097" s="29">
        <v>11.48</v>
      </c>
      <c r="F1097" s="29">
        <v>5.43</v>
      </c>
      <c r="G1097" s="30" t="s">
        <v>39</v>
      </c>
      <c r="H1097" s="27" t="s">
        <v>71</v>
      </c>
      <c r="I1097" s="27" t="s">
        <v>49</v>
      </c>
      <c r="J1097" s="27" t="s">
        <v>88</v>
      </c>
      <c r="K1097" s="27" t="s">
        <v>73</v>
      </c>
      <c r="L1097" s="31" t="s">
        <v>2085</v>
      </c>
      <c r="M1097" s="32">
        <v>0.36</v>
      </c>
      <c r="N1097" s="27" t="s">
        <v>33</v>
      </c>
      <c r="O1097" s="27" t="s">
        <v>34</v>
      </c>
      <c r="P1097" s="27" t="s">
        <v>97</v>
      </c>
      <c r="Q1097" s="27" t="s">
        <v>2084</v>
      </c>
      <c r="R1097" s="33">
        <v>27511</v>
      </c>
      <c r="S1097" s="34">
        <v>42102</v>
      </c>
      <c r="T1097" s="34">
        <v>42102</v>
      </c>
      <c r="U1097" s="29">
        <v>115.72799999999999</v>
      </c>
      <c r="V1097" s="26">
        <v>6</v>
      </c>
      <c r="W1097" s="29">
        <v>75.52</v>
      </c>
      <c r="X1097" s="26">
        <v>88391</v>
      </c>
      <c r="Y1097" s="35">
        <v>11.48</v>
      </c>
      <c r="Z1097" s="1" t="s">
        <v>3011</v>
      </c>
      <c r="AA1097" s="36">
        <v>0</v>
      </c>
      <c r="AB1097" s="54">
        <v>48.332799999999999</v>
      </c>
      <c r="AC1097" s="54">
        <v>4.5311999999999992</v>
      </c>
      <c r="AD1097" s="36">
        <v>-45.637999999999991</v>
      </c>
    </row>
    <row r="1098" spans="1:30" s="37" customFormat="1" ht="15.75" customHeight="1" x14ac:dyDescent="0.2">
      <c r="A1098" s="26">
        <v>2563</v>
      </c>
      <c r="B1098" s="27" t="s">
        <v>2087</v>
      </c>
      <c r="C1098" s="27" t="s">
        <v>3094</v>
      </c>
      <c r="D1098" s="28">
        <v>0.08</v>
      </c>
      <c r="E1098" s="29">
        <v>4.55</v>
      </c>
      <c r="F1098" s="29">
        <v>1.49</v>
      </c>
      <c r="G1098" s="30" t="s">
        <v>39</v>
      </c>
      <c r="H1098" s="27" t="s">
        <v>71</v>
      </c>
      <c r="I1098" s="27" t="s">
        <v>49</v>
      </c>
      <c r="J1098" s="27" t="s">
        <v>72</v>
      </c>
      <c r="K1098" s="27" t="s">
        <v>73</v>
      </c>
      <c r="L1098" s="31" t="s">
        <v>1503</v>
      </c>
      <c r="M1098" s="32">
        <v>0.35</v>
      </c>
      <c r="N1098" s="27" t="s">
        <v>33</v>
      </c>
      <c r="O1098" s="27" t="s">
        <v>53</v>
      </c>
      <c r="P1098" s="27" t="s">
        <v>84</v>
      </c>
      <c r="Q1098" s="27" t="s">
        <v>2088</v>
      </c>
      <c r="R1098" s="33">
        <v>55432</v>
      </c>
      <c r="S1098" s="34">
        <v>42102</v>
      </c>
      <c r="T1098" s="34">
        <v>42103</v>
      </c>
      <c r="U1098" s="29">
        <v>27.0273</v>
      </c>
      <c r="V1098" s="26">
        <v>9</v>
      </c>
      <c r="W1098" s="29">
        <v>39.17</v>
      </c>
      <c r="X1098" s="26">
        <v>91447</v>
      </c>
      <c r="Y1098" s="35">
        <v>3.91</v>
      </c>
      <c r="Z1098" s="1" t="s">
        <v>3012</v>
      </c>
      <c r="AA1098" s="36">
        <v>3.2759999999999998</v>
      </c>
      <c r="AB1098" s="54">
        <v>25.460500000000003</v>
      </c>
      <c r="AC1098" s="54">
        <v>1.5232777777777777</v>
      </c>
      <c r="AD1098" s="36">
        <v>7.3767000000000031</v>
      </c>
    </row>
    <row r="1099" spans="1:30" s="37" customFormat="1" ht="15.75" customHeight="1" x14ac:dyDescent="0.2">
      <c r="A1099" s="26">
        <v>15</v>
      </c>
      <c r="B1099" s="27" t="s">
        <v>2071</v>
      </c>
      <c r="C1099" s="27" t="s">
        <v>26</v>
      </c>
      <c r="D1099" s="28">
        <v>0</v>
      </c>
      <c r="E1099" s="29">
        <v>4.42</v>
      </c>
      <c r="F1099" s="29">
        <v>4.99</v>
      </c>
      <c r="G1099" s="30" t="s">
        <v>39</v>
      </c>
      <c r="H1099" s="27" t="s">
        <v>3095</v>
      </c>
      <c r="I1099" s="27" t="s">
        <v>49</v>
      </c>
      <c r="J1099" s="27" t="s">
        <v>345</v>
      </c>
      <c r="K1099" s="27" t="s">
        <v>73</v>
      </c>
      <c r="L1099" s="31" t="s">
        <v>2072</v>
      </c>
      <c r="M1099" s="32">
        <v>0.38</v>
      </c>
      <c r="N1099" s="27" t="s">
        <v>33</v>
      </c>
      <c r="O1099" s="27" t="s">
        <v>111</v>
      </c>
      <c r="P1099" s="27" t="s">
        <v>112</v>
      </c>
      <c r="Q1099" s="27" t="s">
        <v>2073</v>
      </c>
      <c r="R1099" s="33">
        <v>11787</v>
      </c>
      <c r="S1099" s="34">
        <v>42102</v>
      </c>
      <c r="T1099" s="34">
        <v>42103</v>
      </c>
      <c r="U1099" s="29">
        <v>-59.82</v>
      </c>
      <c r="V1099" s="26">
        <v>7</v>
      </c>
      <c r="W1099" s="29">
        <v>33.47</v>
      </c>
      <c r="X1099" s="26">
        <v>86837</v>
      </c>
      <c r="Y1099" s="35">
        <v>12.15</v>
      </c>
      <c r="Z1099" s="1" t="s">
        <v>3014</v>
      </c>
      <c r="AA1099" s="36">
        <v>0</v>
      </c>
      <c r="AB1099" s="54">
        <v>20.7514</v>
      </c>
      <c r="AC1099" s="54">
        <v>1.816942857142857</v>
      </c>
      <c r="AD1099" s="36">
        <v>88.3</v>
      </c>
    </row>
    <row r="1100" spans="1:30" s="37" customFormat="1" ht="15.75" customHeight="1" x14ac:dyDescent="0.2">
      <c r="A1100" s="26">
        <v>2655</v>
      </c>
      <c r="B1100" s="27" t="s">
        <v>2076</v>
      </c>
      <c r="C1100" s="27" t="s">
        <v>26</v>
      </c>
      <c r="D1100" s="28">
        <v>7.0000000000000007E-2</v>
      </c>
      <c r="E1100" s="29">
        <v>2.94</v>
      </c>
      <c r="F1100" s="29">
        <v>0.81</v>
      </c>
      <c r="G1100" s="30" t="s">
        <v>39</v>
      </c>
      <c r="H1100" s="27" t="s">
        <v>94</v>
      </c>
      <c r="I1100" s="27" t="s">
        <v>49</v>
      </c>
      <c r="J1100" s="27" t="s">
        <v>50</v>
      </c>
      <c r="K1100" s="27" t="s">
        <v>51</v>
      </c>
      <c r="L1100" s="31" t="s">
        <v>2077</v>
      </c>
      <c r="M1100" s="32">
        <v>0.4</v>
      </c>
      <c r="N1100" s="27" t="s">
        <v>33</v>
      </c>
      <c r="O1100" s="27" t="s">
        <v>34</v>
      </c>
      <c r="P1100" s="27" t="s">
        <v>75</v>
      </c>
      <c r="Q1100" s="27" t="s">
        <v>361</v>
      </c>
      <c r="R1100" s="33">
        <v>30318</v>
      </c>
      <c r="S1100" s="34">
        <v>42102</v>
      </c>
      <c r="T1100" s="34">
        <v>42103</v>
      </c>
      <c r="U1100" s="29">
        <v>-93.927400000000006</v>
      </c>
      <c r="V1100" s="26">
        <v>10</v>
      </c>
      <c r="W1100" s="29">
        <v>29.88</v>
      </c>
      <c r="X1100" s="26">
        <v>86064</v>
      </c>
      <c r="Y1100" s="35">
        <v>4.47</v>
      </c>
      <c r="Z1100" s="1" t="s">
        <v>3011</v>
      </c>
      <c r="AA1100" s="36">
        <v>2.0580000000000003</v>
      </c>
      <c r="AB1100" s="54">
        <v>17.927999999999997</v>
      </c>
      <c r="AC1100" s="54">
        <v>1.1952</v>
      </c>
      <c r="AD1100" s="36">
        <v>120.93939999999999</v>
      </c>
    </row>
    <row r="1101" spans="1:30" s="37" customFormat="1" ht="15.75" customHeight="1" x14ac:dyDescent="0.2">
      <c r="A1101" s="26">
        <v>2561</v>
      </c>
      <c r="B1101" s="27" t="s">
        <v>1798</v>
      </c>
      <c r="C1101" s="27" t="s">
        <v>3094</v>
      </c>
      <c r="D1101" s="28">
        <v>7.0000000000000007E-2</v>
      </c>
      <c r="E1101" s="29">
        <v>3.98</v>
      </c>
      <c r="F1101" s="29">
        <v>5.26</v>
      </c>
      <c r="G1101" s="30" t="s">
        <v>39</v>
      </c>
      <c r="H1101" s="27" t="s">
        <v>40</v>
      </c>
      <c r="I1101" s="27" t="s">
        <v>49</v>
      </c>
      <c r="J1101" s="27" t="s">
        <v>72</v>
      </c>
      <c r="K1101" s="27" t="s">
        <v>73</v>
      </c>
      <c r="L1101" s="31" t="s">
        <v>1855</v>
      </c>
      <c r="M1101" s="32">
        <v>0.38</v>
      </c>
      <c r="N1101" s="27" t="s">
        <v>33</v>
      </c>
      <c r="O1101" s="27" t="s">
        <v>111</v>
      </c>
      <c r="P1101" s="27" t="s">
        <v>112</v>
      </c>
      <c r="Q1101" s="27" t="s">
        <v>1799</v>
      </c>
      <c r="R1101" s="33">
        <v>10562</v>
      </c>
      <c r="S1101" s="34">
        <v>42102</v>
      </c>
      <c r="T1101" s="34">
        <v>42104</v>
      </c>
      <c r="U1101" s="29">
        <v>-59.963760000000001</v>
      </c>
      <c r="V1101" s="26">
        <v>7</v>
      </c>
      <c r="W1101" s="29">
        <v>29.77</v>
      </c>
      <c r="X1101" s="26">
        <v>86466</v>
      </c>
      <c r="Y1101" s="35">
        <v>70.94</v>
      </c>
      <c r="Z1101" s="1" t="s">
        <v>3014</v>
      </c>
      <c r="AA1101" s="36">
        <v>1.9502000000000002</v>
      </c>
      <c r="AB1101" s="54">
        <v>18.4574</v>
      </c>
      <c r="AC1101" s="54">
        <v>1.6160857142857141</v>
      </c>
      <c r="AD1101" s="36">
        <v>82.523560000000003</v>
      </c>
    </row>
    <row r="1102" spans="1:30" s="37" customFormat="1" ht="15.75" customHeight="1" x14ac:dyDescent="0.2">
      <c r="A1102" s="26">
        <v>1186</v>
      </c>
      <c r="B1102" s="27" t="s">
        <v>2095</v>
      </c>
      <c r="C1102" s="27" t="s">
        <v>26</v>
      </c>
      <c r="D1102" s="28">
        <v>7.0000000000000007E-2</v>
      </c>
      <c r="E1102" s="29">
        <v>400.97</v>
      </c>
      <c r="F1102" s="29">
        <v>48.26</v>
      </c>
      <c r="G1102" s="30" t="s">
        <v>27</v>
      </c>
      <c r="H1102" s="27" t="s">
        <v>40</v>
      </c>
      <c r="I1102" s="27" t="s">
        <v>41</v>
      </c>
      <c r="J1102" s="27" t="s">
        <v>57</v>
      </c>
      <c r="K1102" s="27" t="s">
        <v>31</v>
      </c>
      <c r="L1102" s="31" t="s">
        <v>1560</v>
      </c>
      <c r="M1102" s="32">
        <v>0.36</v>
      </c>
      <c r="N1102" s="27" t="s">
        <v>33</v>
      </c>
      <c r="O1102" s="27" t="s">
        <v>60</v>
      </c>
      <c r="P1102" s="27" t="s">
        <v>90</v>
      </c>
      <c r="Q1102" s="27" t="s">
        <v>2096</v>
      </c>
      <c r="R1102" s="33">
        <v>92646</v>
      </c>
      <c r="S1102" s="34">
        <v>42103</v>
      </c>
      <c r="T1102" s="34">
        <v>42104</v>
      </c>
      <c r="U1102" s="29">
        <v>2581.5590999999999</v>
      </c>
      <c r="V1102" s="26">
        <v>10</v>
      </c>
      <c r="W1102" s="29">
        <v>3741.39</v>
      </c>
      <c r="X1102" s="26">
        <v>85939</v>
      </c>
      <c r="Y1102" s="35">
        <v>8.51</v>
      </c>
      <c r="Z1102" s="1" t="s">
        <v>3013</v>
      </c>
      <c r="AA1102" s="36">
        <v>280.67900000000003</v>
      </c>
      <c r="AB1102" s="54">
        <v>2394.4895999999999</v>
      </c>
      <c r="AC1102" s="54">
        <v>134.69004000000001</v>
      </c>
      <c r="AD1102" s="36">
        <v>830.89189999999962</v>
      </c>
    </row>
    <row r="1103" spans="1:30" s="37" customFormat="1" ht="15.75" customHeight="1" x14ac:dyDescent="0.2">
      <c r="A1103" s="26">
        <v>1178</v>
      </c>
      <c r="B1103" s="27" t="s">
        <v>2099</v>
      </c>
      <c r="C1103" s="27" t="s">
        <v>38</v>
      </c>
      <c r="D1103" s="28">
        <v>0.06</v>
      </c>
      <c r="E1103" s="29">
        <v>350.99</v>
      </c>
      <c r="F1103" s="29">
        <v>39</v>
      </c>
      <c r="G1103" s="30" t="s">
        <v>27</v>
      </c>
      <c r="H1103" s="27" t="s">
        <v>40</v>
      </c>
      <c r="I1103" s="27" t="s">
        <v>29</v>
      </c>
      <c r="J1103" s="27" t="s">
        <v>109</v>
      </c>
      <c r="K1103" s="27" t="s">
        <v>58</v>
      </c>
      <c r="L1103" s="31" t="s">
        <v>438</v>
      </c>
      <c r="M1103" s="32">
        <v>0.55000000000000004</v>
      </c>
      <c r="N1103" s="27" t="s">
        <v>33</v>
      </c>
      <c r="O1103" s="27" t="s">
        <v>34</v>
      </c>
      <c r="P1103" s="27" t="s">
        <v>123</v>
      </c>
      <c r="Q1103" s="27" t="s">
        <v>2100</v>
      </c>
      <c r="R1103" s="33">
        <v>32701</v>
      </c>
      <c r="S1103" s="34">
        <v>42103</v>
      </c>
      <c r="T1103" s="34">
        <v>42105</v>
      </c>
      <c r="U1103" s="29">
        <v>-302.61559999999997</v>
      </c>
      <c r="V1103" s="26">
        <v>10</v>
      </c>
      <c r="W1103" s="29">
        <v>3506.78</v>
      </c>
      <c r="X1103" s="26">
        <v>89787</v>
      </c>
      <c r="Y1103" s="35">
        <v>400.90000000000003</v>
      </c>
      <c r="Z1103" s="1" t="s">
        <v>3011</v>
      </c>
      <c r="AA1103" s="36">
        <v>210.59399999999999</v>
      </c>
      <c r="AB1103" s="54">
        <v>1578.0509999999999</v>
      </c>
      <c r="AC1103" s="54">
        <v>192.87290000000002</v>
      </c>
      <c r="AD1103" s="36">
        <v>3559.8016000000002</v>
      </c>
    </row>
    <row r="1104" spans="1:30" s="37" customFormat="1" ht="15.75" customHeight="1" x14ac:dyDescent="0.2">
      <c r="A1104" s="26">
        <v>1250</v>
      </c>
      <c r="B1104" s="27" t="s">
        <v>2101</v>
      </c>
      <c r="C1104" s="27" t="s">
        <v>38</v>
      </c>
      <c r="D1104" s="28">
        <v>0.09</v>
      </c>
      <c r="E1104" s="29">
        <v>120.98</v>
      </c>
      <c r="F1104" s="29">
        <v>30</v>
      </c>
      <c r="G1104" s="30" t="s">
        <v>27</v>
      </c>
      <c r="H1104" s="27" t="s">
        <v>94</v>
      </c>
      <c r="I1104" s="27" t="s">
        <v>29</v>
      </c>
      <c r="J1104" s="27" t="s">
        <v>109</v>
      </c>
      <c r="K1104" s="27" t="s">
        <v>58</v>
      </c>
      <c r="L1104" s="31" t="s">
        <v>1125</v>
      </c>
      <c r="M1104" s="32">
        <v>0.64</v>
      </c>
      <c r="N1104" s="27" t="s">
        <v>33</v>
      </c>
      <c r="O1104" s="27" t="s">
        <v>53</v>
      </c>
      <c r="P1104" s="27" t="s">
        <v>103</v>
      </c>
      <c r="Q1104" s="27" t="s">
        <v>2102</v>
      </c>
      <c r="R1104" s="33">
        <v>60110</v>
      </c>
      <c r="S1104" s="34">
        <v>42103</v>
      </c>
      <c r="T1104" s="34">
        <v>42105</v>
      </c>
      <c r="U1104" s="29">
        <v>74.004800000000003</v>
      </c>
      <c r="V1104" s="26">
        <v>22</v>
      </c>
      <c r="W1104" s="29">
        <v>2508.15</v>
      </c>
      <c r="X1104" s="26">
        <v>87877</v>
      </c>
      <c r="Y1104" s="35">
        <v>120.88000000000001</v>
      </c>
      <c r="Z1104" s="1" t="s">
        <v>3012</v>
      </c>
      <c r="AA1104" s="36">
        <v>239.54039999999998</v>
      </c>
      <c r="AB1104" s="54">
        <v>902.93399999999997</v>
      </c>
      <c r="AC1104" s="54">
        <v>72.964363636363643</v>
      </c>
      <c r="AD1104" s="36">
        <v>2164.6048000000001</v>
      </c>
    </row>
    <row r="1105" spans="1:30" s="37" customFormat="1" ht="15.75" customHeight="1" x14ac:dyDescent="0.2">
      <c r="A1105" s="26">
        <v>191</v>
      </c>
      <c r="B1105" s="27" t="s">
        <v>1121</v>
      </c>
      <c r="C1105" s="27" t="s">
        <v>3094</v>
      </c>
      <c r="D1105" s="28">
        <v>0</v>
      </c>
      <c r="E1105" s="29">
        <v>125.99</v>
      </c>
      <c r="F1105" s="29">
        <v>8.08</v>
      </c>
      <c r="G1105" s="30" t="s">
        <v>39</v>
      </c>
      <c r="H1105" s="27" t="s">
        <v>94</v>
      </c>
      <c r="I1105" s="27" t="s">
        <v>41</v>
      </c>
      <c r="J1105" s="27" t="s">
        <v>135</v>
      </c>
      <c r="K1105" s="27" t="s">
        <v>73</v>
      </c>
      <c r="L1105" s="31" t="s">
        <v>2113</v>
      </c>
      <c r="M1105" s="32">
        <v>0.56999999999999995</v>
      </c>
      <c r="N1105" s="27" t="s">
        <v>33</v>
      </c>
      <c r="O1105" s="27" t="s">
        <v>53</v>
      </c>
      <c r="P1105" s="27" t="s">
        <v>103</v>
      </c>
      <c r="Q1105" s="27" t="s">
        <v>1123</v>
      </c>
      <c r="R1105" s="33">
        <v>60505</v>
      </c>
      <c r="S1105" s="34">
        <v>42103</v>
      </c>
      <c r="T1105" s="34">
        <v>42104</v>
      </c>
      <c r="U1105" s="29">
        <v>1348.59672</v>
      </c>
      <c r="V1105" s="26">
        <v>22</v>
      </c>
      <c r="W1105" s="29">
        <v>2356.0100000000002</v>
      </c>
      <c r="X1105" s="26">
        <v>89093</v>
      </c>
      <c r="Y1105" s="35">
        <v>152.45999999999998</v>
      </c>
      <c r="Z1105" s="1" t="s">
        <v>3012</v>
      </c>
      <c r="AA1105" s="36">
        <v>0</v>
      </c>
      <c r="AB1105" s="54">
        <v>1013.0843000000002</v>
      </c>
      <c r="AC1105" s="54">
        <v>61.042077272727276</v>
      </c>
      <c r="AD1105" s="36">
        <v>999.33328000000029</v>
      </c>
    </row>
    <row r="1106" spans="1:30" s="37" customFormat="1" ht="15.75" customHeight="1" x14ac:dyDescent="0.2">
      <c r="A1106" s="26">
        <v>1634</v>
      </c>
      <c r="B1106" s="27" t="s">
        <v>2114</v>
      </c>
      <c r="C1106" s="27" t="s">
        <v>3094</v>
      </c>
      <c r="D1106" s="28">
        <v>0.08</v>
      </c>
      <c r="E1106" s="29">
        <v>100.97</v>
      </c>
      <c r="F1106" s="29">
        <v>14</v>
      </c>
      <c r="G1106" s="30" t="s">
        <v>27</v>
      </c>
      <c r="H1106" s="27" t="s">
        <v>71</v>
      </c>
      <c r="I1106" s="27" t="s">
        <v>41</v>
      </c>
      <c r="J1106" s="27" t="s">
        <v>57</v>
      </c>
      <c r="K1106" s="27" t="s">
        <v>58</v>
      </c>
      <c r="L1106" s="31" t="s">
        <v>2115</v>
      </c>
      <c r="M1106" s="32">
        <v>0.37</v>
      </c>
      <c r="N1106" s="27" t="s">
        <v>33</v>
      </c>
      <c r="O1106" s="27" t="s">
        <v>34</v>
      </c>
      <c r="P1106" s="27" t="s">
        <v>35</v>
      </c>
      <c r="Q1106" s="27" t="s">
        <v>2116</v>
      </c>
      <c r="R1106" s="33">
        <v>39212</v>
      </c>
      <c r="S1106" s="34">
        <v>42103</v>
      </c>
      <c r="T1106" s="34">
        <v>42104</v>
      </c>
      <c r="U1106" s="29">
        <v>-73.494119999999995</v>
      </c>
      <c r="V1106" s="26">
        <v>15</v>
      </c>
      <c r="W1106" s="29">
        <v>1483.16</v>
      </c>
      <c r="X1106" s="26">
        <v>90532</v>
      </c>
      <c r="Y1106" s="35">
        <v>4.45</v>
      </c>
      <c r="Z1106" s="1" t="s">
        <v>3011</v>
      </c>
      <c r="AA1106" s="36">
        <v>121.164</v>
      </c>
      <c r="AB1106" s="54">
        <v>934.39080000000001</v>
      </c>
      <c r="AC1106" s="54">
        <v>36.584613333333337</v>
      </c>
      <c r="AD1106" s="36">
        <v>1421.4901200000002</v>
      </c>
    </row>
    <row r="1107" spans="1:30" s="37" customFormat="1" ht="15.75" customHeight="1" x14ac:dyDescent="0.2">
      <c r="A1107" s="26">
        <v>2491</v>
      </c>
      <c r="B1107" s="27" t="s">
        <v>457</v>
      </c>
      <c r="C1107" s="27" t="s">
        <v>38</v>
      </c>
      <c r="D1107" s="28">
        <v>0.02</v>
      </c>
      <c r="E1107" s="29">
        <v>28.15</v>
      </c>
      <c r="F1107" s="29">
        <v>6.17</v>
      </c>
      <c r="G1107" s="30" t="s">
        <v>39</v>
      </c>
      <c r="H1107" s="27" t="s">
        <v>40</v>
      </c>
      <c r="I1107" s="27" t="s">
        <v>49</v>
      </c>
      <c r="J1107" s="27" t="s">
        <v>50</v>
      </c>
      <c r="K1107" s="27" t="s">
        <v>43</v>
      </c>
      <c r="L1107" s="31" t="s">
        <v>619</v>
      </c>
      <c r="M1107" s="32">
        <v>0.55000000000000004</v>
      </c>
      <c r="N1107" s="27" t="s">
        <v>33</v>
      </c>
      <c r="O1107" s="27" t="s">
        <v>60</v>
      </c>
      <c r="P1107" s="27" t="s">
        <v>90</v>
      </c>
      <c r="Q1107" s="27" t="s">
        <v>100</v>
      </c>
      <c r="R1107" s="33">
        <v>90045</v>
      </c>
      <c r="S1107" s="34">
        <v>42103</v>
      </c>
      <c r="T1107" s="34">
        <v>42104</v>
      </c>
      <c r="U1107" s="29">
        <v>117.208</v>
      </c>
      <c r="V1107" s="26">
        <v>45</v>
      </c>
      <c r="W1107" s="29">
        <v>1339.42</v>
      </c>
      <c r="X1107" s="26">
        <v>14785</v>
      </c>
      <c r="Y1107" s="35">
        <v>350.93</v>
      </c>
      <c r="Z1107" s="1" t="s">
        <v>3013</v>
      </c>
      <c r="AA1107" s="36">
        <v>25.334999999999997</v>
      </c>
      <c r="AB1107" s="54">
        <v>602.73899999999992</v>
      </c>
      <c r="AC1107" s="54">
        <v>16.370688888888893</v>
      </c>
      <c r="AD1107" s="36">
        <v>1190.7070000000001</v>
      </c>
    </row>
    <row r="1108" spans="1:30" s="37" customFormat="1" ht="15.75" customHeight="1" x14ac:dyDescent="0.2">
      <c r="A1108" s="26">
        <v>2851</v>
      </c>
      <c r="B1108" s="27" t="s">
        <v>2108</v>
      </c>
      <c r="C1108" s="27" t="s">
        <v>48</v>
      </c>
      <c r="D1108" s="28">
        <v>0.05</v>
      </c>
      <c r="E1108" s="29">
        <v>115.99</v>
      </c>
      <c r="F1108" s="29">
        <v>8.99</v>
      </c>
      <c r="G1108" s="30" t="s">
        <v>39</v>
      </c>
      <c r="H1108" s="27" t="s">
        <v>40</v>
      </c>
      <c r="I1108" s="27" t="s">
        <v>41</v>
      </c>
      <c r="J1108" s="27" t="s">
        <v>135</v>
      </c>
      <c r="K1108" s="27" t="s">
        <v>73</v>
      </c>
      <c r="L1108" s="31" t="s">
        <v>2109</v>
      </c>
      <c r="M1108" s="32">
        <v>0.57999999999999996</v>
      </c>
      <c r="N1108" s="27" t="s">
        <v>33</v>
      </c>
      <c r="O1108" s="27" t="s">
        <v>53</v>
      </c>
      <c r="P1108" s="27" t="s">
        <v>187</v>
      </c>
      <c r="Q1108" s="27" t="s">
        <v>2110</v>
      </c>
      <c r="R1108" s="33">
        <v>79762</v>
      </c>
      <c r="S1108" s="34">
        <v>42103</v>
      </c>
      <c r="T1108" s="34">
        <v>42107</v>
      </c>
      <c r="U1108" s="29">
        <v>719.35260000000005</v>
      </c>
      <c r="V1108" s="26">
        <v>11</v>
      </c>
      <c r="W1108" s="29">
        <v>1042.54</v>
      </c>
      <c r="X1108" s="26">
        <v>86454</v>
      </c>
      <c r="Y1108" s="35">
        <v>40.889999999999993</v>
      </c>
      <c r="Z1108" s="1" t="s">
        <v>3012</v>
      </c>
      <c r="AA1108" s="36">
        <v>63.794499999999999</v>
      </c>
      <c r="AB1108" s="54">
        <v>437.86680000000001</v>
      </c>
      <c r="AC1108" s="54">
        <v>54.970290909090899</v>
      </c>
      <c r="AD1108" s="36">
        <v>250.40289999999993</v>
      </c>
    </row>
    <row r="1109" spans="1:30" s="37" customFormat="1" ht="15.75" customHeight="1" x14ac:dyDescent="0.2">
      <c r="A1109" s="26">
        <v>1271</v>
      </c>
      <c r="B1109" s="27" t="s">
        <v>2111</v>
      </c>
      <c r="C1109" s="27" t="s">
        <v>116</v>
      </c>
      <c r="D1109" s="28">
        <v>7.0000000000000007E-2</v>
      </c>
      <c r="E1109" s="29">
        <v>125.99</v>
      </c>
      <c r="F1109" s="29">
        <v>7.69</v>
      </c>
      <c r="G1109" s="30" t="s">
        <v>39</v>
      </c>
      <c r="H1109" s="27" t="s">
        <v>94</v>
      </c>
      <c r="I1109" s="27" t="s">
        <v>41</v>
      </c>
      <c r="J1109" s="27" t="s">
        <v>135</v>
      </c>
      <c r="K1109" s="27" t="s">
        <v>73</v>
      </c>
      <c r="L1109" s="31" t="s">
        <v>645</v>
      </c>
      <c r="M1109" s="32">
        <v>0.59</v>
      </c>
      <c r="N1109" s="27" t="s">
        <v>33</v>
      </c>
      <c r="O1109" s="27" t="s">
        <v>60</v>
      </c>
      <c r="P1109" s="27" t="s">
        <v>90</v>
      </c>
      <c r="Q1109" s="27" t="s">
        <v>2112</v>
      </c>
      <c r="R1109" s="33">
        <v>91941</v>
      </c>
      <c r="S1109" s="34">
        <v>42103</v>
      </c>
      <c r="T1109" s="34">
        <v>42104</v>
      </c>
      <c r="U1109" s="29">
        <v>588.24570000000006</v>
      </c>
      <c r="V1109" s="26">
        <v>8</v>
      </c>
      <c r="W1109" s="29">
        <v>852.53</v>
      </c>
      <c r="X1109" s="26">
        <v>88410</v>
      </c>
      <c r="Y1109" s="35">
        <v>3.89</v>
      </c>
      <c r="Z1109" s="1" t="s">
        <v>3013</v>
      </c>
      <c r="AA1109" s="36">
        <v>70.554400000000001</v>
      </c>
      <c r="AB1109" s="54">
        <v>349.53730000000002</v>
      </c>
      <c r="AC1109" s="54">
        <v>62.874087499999995</v>
      </c>
      <c r="AD1109" s="36">
        <v>186.03989999999988</v>
      </c>
    </row>
    <row r="1110" spans="1:30" s="37" customFormat="1" ht="15.75" customHeight="1" x14ac:dyDescent="0.2">
      <c r="A1110" s="26">
        <v>1233</v>
      </c>
      <c r="B1110" s="27" t="s">
        <v>2097</v>
      </c>
      <c r="C1110" s="27" t="s">
        <v>26</v>
      </c>
      <c r="D1110" s="28">
        <v>0.1</v>
      </c>
      <c r="E1110" s="29">
        <v>120.98</v>
      </c>
      <c r="F1110" s="29">
        <v>9.07</v>
      </c>
      <c r="G1110" s="30" t="s">
        <v>87</v>
      </c>
      <c r="H1110" s="27" t="s">
        <v>40</v>
      </c>
      <c r="I1110" s="27" t="s">
        <v>49</v>
      </c>
      <c r="J1110" s="27" t="s">
        <v>72</v>
      </c>
      <c r="K1110" s="27" t="s">
        <v>73</v>
      </c>
      <c r="L1110" s="31" t="s">
        <v>1423</v>
      </c>
      <c r="M1110" s="32">
        <v>0.35</v>
      </c>
      <c r="N1110" s="27" t="s">
        <v>33</v>
      </c>
      <c r="O1110" s="27" t="s">
        <v>53</v>
      </c>
      <c r="P1110" s="27" t="s">
        <v>187</v>
      </c>
      <c r="Q1110" s="27" t="s">
        <v>2098</v>
      </c>
      <c r="R1110" s="33">
        <v>75028</v>
      </c>
      <c r="S1110" s="34">
        <v>42103</v>
      </c>
      <c r="T1110" s="34">
        <v>42105</v>
      </c>
      <c r="U1110" s="29">
        <v>297.45715999999999</v>
      </c>
      <c r="V1110" s="26">
        <v>5</v>
      </c>
      <c r="W1110" s="29">
        <v>568.24</v>
      </c>
      <c r="X1110" s="26">
        <v>89375</v>
      </c>
      <c r="Y1110" s="35">
        <v>120.89</v>
      </c>
      <c r="Z1110" s="1" t="s">
        <v>3012</v>
      </c>
      <c r="AA1110" s="36">
        <v>60.49</v>
      </c>
      <c r="AB1110" s="54">
        <v>369.35599999999999</v>
      </c>
      <c r="AC1110" s="54">
        <v>39.776799999999994</v>
      </c>
      <c r="AD1110" s="36">
        <v>201.22284000000002</v>
      </c>
    </row>
    <row r="1111" spans="1:30" s="37" customFormat="1" ht="15.75" customHeight="1" x14ac:dyDescent="0.2">
      <c r="A1111" s="26">
        <v>2488</v>
      </c>
      <c r="B1111" s="27" t="s">
        <v>2103</v>
      </c>
      <c r="C1111" s="27" t="s">
        <v>38</v>
      </c>
      <c r="D1111" s="28">
        <v>0.02</v>
      </c>
      <c r="E1111" s="29">
        <v>28.15</v>
      </c>
      <c r="F1111" s="29">
        <v>6.17</v>
      </c>
      <c r="G1111" s="30" t="s">
        <v>39</v>
      </c>
      <c r="H1111" s="27" t="s">
        <v>40</v>
      </c>
      <c r="I1111" s="27" t="s">
        <v>49</v>
      </c>
      <c r="J1111" s="27" t="s">
        <v>50</v>
      </c>
      <c r="K1111" s="27" t="s">
        <v>43</v>
      </c>
      <c r="L1111" s="31" t="s">
        <v>619</v>
      </c>
      <c r="M1111" s="32">
        <v>0.55000000000000004</v>
      </c>
      <c r="N1111" s="27" t="s">
        <v>33</v>
      </c>
      <c r="O1111" s="27" t="s">
        <v>34</v>
      </c>
      <c r="P1111" s="27" t="s">
        <v>45</v>
      </c>
      <c r="Q1111" s="27" t="s">
        <v>2104</v>
      </c>
      <c r="R1111" s="33">
        <v>72023</v>
      </c>
      <c r="S1111" s="34">
        <v>42103</v>
      </c>
      <c r="T1111" s="34">
        <v>42104</v>
      </c>
      <c r="U1111" s="29">
        <v>160.8066</v>
      </c>
      <c r="V1111" s="26">
        <v>11</v>
      </c>
      <c r="W1111" s="29">
        <v>327.41000000000003</v>
      </c>
      <c r="X1111" s="26">
        <v>86887</v>
      </c>
      <c r="Y1111" s="35">
        <v>30.88</v>
      </c>
      <c r="Z1111" s="1" t="s">
        <v>3011</v>
      </c>
      <c r="AA1111" s="36">
        <v>6.1929999999999996</v>
      </c>
      <c r="AB1111" s="54">
        <v>147.33449999999999</v>
      </c>
      <c r="AC1111" s="54">
        <v>16.370500000000003</v>
      </c>
      <c r="AD1111" s="36">
        <v>154.24040000000002</v>
      </c>
    </row>
    <row r="1112" spans="1:30" s="37" customFormat="1" ht="15.75" customHeight="1" x14ac:dyDescent="0.2">
      <c r="A1112" s="26">
        <v>2847</v>
      </c>
      <c r="B1112" s="27" t="s">
        <v>2117</v>
      </c>
      <c r="C1112" s="27" t="s">
        <v>3094</v>
      </c>
      <c r="D1112" s="28">
        <v>0.04</v>
      </c>
      <c r="E1112" s="29">
        <v>90.48</v>
      </c>
      <c r="F1112" s="29">
        <v>19.989999999999998</v>
      </c>
      <c r="G1112" s="30" t="s">
        <v>39</v>
      </c>
      <c r="H1112" s="27" t="s">
        <v>94</v>
      </c>
      <c r="I1112" s="27" t="s">
        <v>49</v>
      </c>
      <c r="J1112" s="27" t="s">
        <v>345</v>
      </c>
      <c r="K1112" s="27" t="s">
        <v>73</v>
      </c>
      <c r="L1112" s="31" t="s">
        <v>502</v>
      </c>
      <c r="M1112" s="32">
        <v>0.4</v>
      </c>
      <c r="N1112" s="27" t="s">
        <v>33</v>
      </c>
      <c r="O1112" s="27" t="s">
        <v>34</v>
      </c>
      <c r="P1112" s="27" t="s">
        <v>400</v>
      </c>
      <c r="Q1112" s="27" t="s">
        <v>2118</v>
      </c>
      <c r="R1112" s="33">
        <v>38017</v>
      </c>
      <c r="S1112" s="34">
        <v>42103</v>
      </c>
      <c r="T1112" s="34">
        <v>42105</v>
      </c>
      <c r="U1112" s="29">
        <v>55.555199999999999</v>
      </c>
      <c r="V1112" s="26">
        <v>3</v>
      </c>
      <c r="W1112" s="29">
        <v>268.64</v>
      </c>
      <c r="X1112" s="26">
        <v>85928</v>
      </c>
      <c r="Y1112" s="35">
        <v>4.83</v>
      </c>
      <c r="Z1112" s="1" t="s">
        <v>3011</v>
      </c>
      <c r="AA1112" s="36">
        <v>10.857600000000001</v>
      </c>
      <c r="AB1112" s="54">
        <v>161.184</v>
      </c>
      <c r="AC1112" s="54">
        <v>35.818666666666665</v>
      </c>
      <c r="AD1112" s="36">
        <v>182.23719999999997</v>
      </c>
    </row>
    <row r="1113" spans="1:30" s="37" customFormat="1" ht="15.75" customHeight="1" x14ac:dyDescent="0.2">
      <c r="A1113" s="26">
        <v>1178</v>
      </c>
      <c r="B1113" s="27" t="s">
        <v>2099</v>
      </c>
      <c r="C1113" s="27" t="s">
        <v>38</v>
      </c>
      <c r="D1113" s="28">
        <v>0.09</v>
      </c>
      <c r="E1113" s="29">
        <v>40.98</v>
      </c>
      <c r="F1113" s="29">
        <v>6.5</v>
      </c>
      <c r="G1113" s="30" t="s">
        <v>87</v>
      </c>
      <c r="H1113" s="27" t="s">
        <v>40</v>
      </c>
      <c r="I1113" s="27" t="s">
        <v>41</v>
      </c>
      <c r="J1113" s="27" t="s">
        <v>42</v>
      </c>
      <c r="K1113" s="27" t="s">
        <v>73</v>
      </c>
      <c r="L1113" s="31" t="s">
        <v>446</v>
      </c>
      <c r="M1113" s="32">
        <v>0.74</v>
      </c>
      <c r="N1113" s="27" t="s">
        <v>33</v>
      </c>
      <c r="O1113" s="27" t="s">
        <v>34</v>
      </c>
      <c r="P1113" s="27" t="s">
        <v>123</v>
      </c>
      <c r="Q1113" s="27" t="s">
        <v>2100</v>
      </c>
      <c r="R1113" s="33">
        <v>32701</v>
      </c>
      <c r="S1113" s="34">
        <v>42103</v>
      </c>
      <c r="T1113" s="34">
        <v>42105</v>
      </c>
      <c r="U1113" s="29">
        <v>5.6916000000000002</v>
      </c>
      <c r="V1113" s="26">
        <v>7</v>
      </c>
      <c r="W1113" s="29">
        <v>267.69</v>
      </c>
      <c r="X1113" s="26">
        <v>89787</v>
      </c>
      <c r="Y1113" s="35">
        <v>28.13</v>
      </c>
      <c r="Z1113" s="1" t="s">
        <v>3011</v>
      </c>
      <c r="AA1113" s="36">
        <v>25.817399999999999</v>
      </c>
      <c r="AB1113" s="54">
        <v>69.599400000000003</v>
      </c>
      <c r="AC1113" s="54">
        <v>28.298657142857142</v>
      </c>
      <c r="AD1113" s="36">
        <v>229.68099999999998</v>
      </c>
    </row>
    <row r="1114" spans="1:30" s="37" customFormat="1" ht="15.75" customHeight="1" x14ac:dyDescent="0.2">
      <c r="A1114" s="26">
        <v>1250</v>
      </c>
      <c r="B1114" s="27" t="s">
        <v>2101</v>
      </c>
      <c r="C1114" s="27" t="s">
        <v>38</v>
      </c>
      <c r="D1114" s="28">
        <v>0.1</v>
      </c>
      <c r="E1114" s="29">
        <v>30.98</v>
      </c>
      <c r="F1114" s="29">
        <v>5.76</v>
      </c>
      <c r="G1114" s="30" t="s">
        <v>39</v>
      </c>
      <c r="H1114" s="27" t="s">
        <v>94</v>
      </c>
      <c r="I1114" s="27" t="s">
        <v>49</v>
      </c>
      <c r="J1114" s="27" t="s">
        <v>88</v>
      </c>
      <c r="K1114" s="27" t="s">
        <v>73</v>
      </c>
      <c r="L1114" s="31" t="s">
        <v>739</v>
      </c>
      <c r="M1114" s="32">
        <v>0.4</v>
      </c>
      <c r="N1114" s="27" t="s">
        <v>33</v>
      </c>
      <c r="O1114" s="27" t="s">
        <v>53</v>
      </c>
      <c r="P1114" s="27" t="s">
        <v>103</v>
      </c>
      <c r="Q1114" s="27" t="s">
        <v>2102</v>
      </c>
      <c r="R1114" s="33">
        <v>60110</v>
      </c>
      <c r="S1114" s="34">
        <v>42103</v>
      </c>
      <c r="T1114" s="34">
        <v>42104</v>
      </c>
      <c r="U1114" s="29">
        <v>109.4248</v>
      </c>
      <c r="V1114" s="26">
        <v>8</v>
      </c>
      <c r="W1114" s="29">
        <v>225.62</v>
      </c>
      <c r="X1114" s="26">
        <v>87877</v>
      </c>
      <c r="Y1114" s="35">
        <v>4.83</v>
      </c>
      <c r="Z1114" s="1" t="s">
        <v>3012</v>
      </c>
      <c r="AA1114" s="36">
        <v>24.784000000000002</v>
      </c>
      <c r="AB1114" s="54">
        <v>135.37199999999999</v>
      </c>
      <c r="AC1114" s="54">
        <v>11.281000000000001</v>
      </c>
      <c r="AD1114" s="36">
        <v>85.651199999999989</v>
      </c>
    </row>
    <row r="1115" spans="1:30" s="37" customFormat="1" ht="15.75" customHeight="1" x14ac:dyDescent="0.2">
      <c r="A1115" s="26">
        <v>191</v>
      </c>
      <c r="B1115" s="27" t="s">
        <v>1121</v>
      </c>
      <c r="C1115" s="27" t="s">
        <v>3094</v>
      </c>
      <c r="D1115" s="28">
        <v>0.09</v>
      </c>
      <c r="E1115" s="29">
        <v>30.73</v>
      </c>
      <c r="F1115" s="29">
        <v>4</v>
      </c>
      <c r="G1115" s="30" t="s">
        <v>39</v>
      </c>
      <c r="H1115" s="27" t="s">
        <v>94</v>
      </c>
      <c r="I1115" s="27" t="s">
        <v>41</v>
      </c>
      <c r="J1115" s="27" t="s">
        <v>42</v>
      </c>
      <c r="K1115" s="27" t="s">
        <v>73</v>
      </c>
      <c r="L1115" s="31" t="s">
        <v>674</v>
      </c>
      <c r="M1115" s="32">
        <v>0.75</v>
      </c>
      <c r="N1115" s="27" t="s">
        <v>33</v>
      </c>
      <c r="O1115" s="27" t="s">
        <v>53</v>
      </c>
      <c r="P1115" s="27" t="s">
        <v>103</v>
      </c>
      <c r="Q1115" s="27" t="s">
        <v>1123</v>
      </c>
      <c r="R1115" s="33">
        <v>60505</v>
      </c>
      <c r="S1115" s="34">
        <v>42103</v>
      </c>
      <c r="T1115" s="34">
        <v>42103</v>
      </c>
      <c r="U1115" s="29">
        <v>-99.986400000000003</v>
      </c>
      <c r="V1115" s="26">
        <v>7</v>
      </c>
      <c r="W1115" s="29">
        <v>203.49</v>
      </c>
      <c r="X1115" s="26">
        <v>89093</v>
      </c>
      <c r="Y1115" s="35">
        <v>28.13</v>
      </c>
      <c r="Z1115" s="1" t="s">
        <v>3012</v>
      </c>
      <c r="AA1115" s="36">
        <v>19.3599</v>
      </c>
      <c r="AB1115" s="54">
        <v>50.872500000000002</v>
      </c>
      <c r="AC1115" s="54">
        <v>21.802500000000002</v>
      </c>
      <c r="AD1115" s="36">
        <v>280.11650000000003</v>
      </c>
    </row>
    <row r="1116" spans="1:30" s="37" customFormat="1" ht="15.75" customHeight="1" x14ac:dyDescent="0.2">
      <c r="A1116" s="26">
        <v>2491</v>
      </c>
      <c r="B1116" s="27" t="s">
        <v>457</v>
      </c>
      <c r="C1116" s="27" t="s">
        <v>38</v>
      </c>
      <c r="D1116" s="28">
        <v>0.08</v>
      </c>
      <c r="E1116" s="29">
        <v>4.91</v>
      </c>
      <c r="F1116" s="29">
        <v>0.5</v>
      </c>
      <c r="G1116" s="30" t="s">
        <v>39</v>
      </c>
      <c r="H1116" s="27" t="s">
        <v>40</v>
      </c>
      <c r="I1116" s="27" t="s">
        <v>49</v>
      </c>
      <c r="J1116" s="27" t="s">
        <v>152</v>
      </c>
      <c r="K1116" s="27" t="s">
        <v>73</v>
      </c>
      <c r="L1116" s="31" t="s">
        <v>973</v>
      </c>
      <c r="M1116" s="32">
        <v>0.36</v>
      </c>
      <c r="N1116" s="27" t="s">
        <v>33</v>
      </c>
      <c r="O1116" s="27" t="s">
        <v>60</v>
      </c>
      <c r="P1116" s="27" t="s">
        <v>90</v>
      </c>
      <c r="Q1116" s="27" t="s">
        <v>100</v>
      </c>
      <c r="R1116" s="33">
        <v>90045</v>
      </c>
      <c r="S1116" s="34">
        <v>42103</v>
      </c>
      <c r="T1116" s="34">
        <v>42103</v>
      </c>
      <c r="U1116" s="29">
        <v>31.751999999999999</v>
      </c>
      <c r="V1116" s="26">
        <v>36</v>
      </c>
      <c r="W1116" s="29">
        <v>170.75</v>
      </c>
      <c r="X1116" s="26">
        <v>14785</v>
      </c>
      <c r="Y1116" s="35">
        <v>2.0500000000000003</v>
      </c>
      <c r="Z1116" s="1" t="s">
        <v>3013</v>
      </c>
      <c r="AA1116" s="36">
        <v>14.140800000000002</v>
      </c>
      <c r="AB1116" s="54">
        <v>109.28</v>
      </c>
      <c r="AC1116" s="54">
        <v>1.7074999999999998</v>
      </c>
      <c r="AD1116" s="36">
        <v>124.35720000000001</v>
      </c>
    </row>
    <row r="1117" spans="1:30" s="37" customFormat="1" ht="15.75" customHeight="1" x14ac:dyDescent="0.2">
      <c r="A1117" s="26">
        <v>1233</v>
      </c>
      <c r="B1117" s="27" t="s">
        <v>2097</v>
      </c>
      <c r="C1117" s="27" t="s">
        <v>26</v>
      </c>
      <c r="D1117" s="28">
        <v>0.02</v>
      </c>
      <c r="E1117" s="29">
        <v>152.47999999999999</v>
      </c>
      <c r="F1117" s="29">
        <v>6.5</v>
      </c>
      <c r="G1117" s="30" t="s">
        <v>87</v>
      </c>
      <c r="H1117" s="27" t="s">
        <v>40</v>
      </c>
      <c r="I1117" s="27" t="s">
        <v>41</v>
      </c>
      <c r="J1117" s="27" t="s">
        <v>42</v>
      </c>
      <c r="K1117" s="27" t="s">
        <v>73</v>
      </c>
      <c r="L1117" s="31" t="s">
        <v>1793</v>
      </c>
      <c r="M1117" s="32">
        <v>0.74</v>
      </c>
      <c r="N1117" s="27" t="s">
        <v>33</v>
      </c>
      <c r="O1117" s="27" t="s">
        <v>53</v>
      </c>
      <c r="P1117" s="27" t="s">
        <v>187</v>
      </c>
      <c r="Q1117" s="27" t="s">
        <v>2098</v>
      </c>
      <c r="R1117" s="33">
        <v>75028</v>
      </c>
      <c r="S1117" s="34">
        <v>42103</v>
      </c>
      <c r="T1117" s="34">
        <v>42105</v>
      </c>
      <c r="U1117" s="29">
        <v>-564.60239999999999</v>
      </c>
      <c r="V1117" s="26">
        <v>1</v>
      </c>
      <c r="W1117" s="29">
        <v>162.91</v>
      </c>
      <c r="X1117" s="26">
        <v>89375</v>
      </c>
      <c r="Y1117" s="35">
        <v>2.0500000000000003</v>
      </c>
      <c r="Z1117" s="1" t="s">
        <v>3012</v>
      </c>
      <c r="AA1117" s="36">
        <v>3.0495999999999999</v>
      </c>
      <c r="AB1117" s="54">
        <v>42.3566</v>
      </c>
      <c r="AC1117" s="54">
        <v>120.5534</v>
      </c>
      <c r="AD1117" s="36">
        <v>717.9627999999999</v>
      </c>
    </row>
    <row r="1118" spans="1:30" s="37" customFormat="1" ht="15.75" customHeight="1" x14ac:dyDescent="0.2">
      <c r="A1118" s="26">
        <v>2334</v>
      </c>
      <c r="B1118" s="27" t="s">
        <v>2038</v>
      </c>
      <c r="C1118" s="27" t="s">
        <v>3094</v>
      </c>
      <c r="D1118" s="28">
        <v>0.05</v>
      </c>
      <c r="E1118" s="29">
        <v>14.81</v>
      </c>
      <c r="F1118" s="29">
        <v>13.32</v>
      </c>
      <c r="G1118" s="30" t="s">
        <v>39</v>
      </c>
      <c r="H1118" s="27" t="s">
        <v>3095</v>
      </c>
      <c r="I1118" s="27" t="s">
        <v>49</v>
      </c>
      <c r="J1118" s="27" t="s">
        <v>95</v>
      </c>
      <c r="K1118" s="27" t="s">
        <v>73</v>
      </c>
      <c r="L1118" s="31" t="s">
        <v>594</v>
      </c>
      <c r="M1118" s="32">
        <v>0.43</v>
      </c>
      <c r="N1118" s="27" t="s">
        <v>33</v>
      </c>
      <c r="O1118" s="27" t="s">
        <v>53</v>
      </c>
      <c r="P1118" s="27" t="s">
        <v>357</v>
      </c>
      <c r="Q1118" s="27" t="s">
        <v>2039</v>
      </c>
      <c r="R1118" s="33">
        <v>53220</v>
      </c>
      <c r="S1118" s="34">
        <v>42103</v>
      </c>
      <c r="T1118" s="34">
        <v>42105</v>
      </c>
      <c r="U1118" s="29">
        <v>-190.49</v>
      </c>
      <c r="V1118" s="26">
        <v>8</v>
      </c>
      <c r="W1118" s="29">
        <v>115.99</v>
      </c>
      <c r="X1118" s="26">
        <v>89609</v>
      </c>
      <c r="Y1118" s="35">
        <v>115.94</v>
      </c>
      <c r="Z1118" s="1" t="s">
        <v>3012</v>
      </c>
      <c r="AA1118" s="36">
        <v>5.9240000000000004</v>
      </c>
      <c r="AB1118" s="54">
        <v>66.1143</v>
      </c>
      <c r="AC1118" s="54">
        <v>6.2344624999999994</v>
      </c>
      <c r="AD1118" s="36">
        <v>287.23599999999999</v>
      </c>
    </row>
    <row r="1119" spans="1:30" s="37" customFormat="1" ht="15.75" customHeight="1" x14ac:dyDescent="0.2">
      <c r="A1119" s="26">
        <v>117</v>
      </c>
      <c r="B1119" s="27" t="s">
        <v>141</v>
      </c>
      <c r="C1119" s="27" t="s">
        <v>48</v>
      </c>
      <c r="D1119" s="28">
        <v>7.0000000000000007E-2</v>
      </c>
      <c r="E1119" s="29">
        <v>2.12</v>
      </c>
      <c r="F1119" s="29">
        <v>1.99</v>
      </c>
      <c r="G1119" s="30" t="s">
        <v>39</v>
      </c>
      <c r="H1119" s="27" t="s">
        <v>71</v>
      </c>
      <c r="I1119" s="27" t="s">
        <v>41</v>
      </c>
      <c r="J1119" s="27" t="s">
        <v>42</v>
      </c>
      <c r="K1119" s="27" t="s">
        <v>43</v>
      </c>
      <c r="L1119" s="31" t="s">
        <v>2106</v>
      </c>
      <c r="M1119" s="32">
        <v>0.55000000000000004</v>
      </c>
      <c r="N1119" s="27" t="s">
        <v>33</v>
      </c>
      <c r="O1119" s="27" t="s">
        <v>60</v>
      </c>
      <c r="P1119" s="27" t="s">
        <v>67</v>
      </c>
      <c r="Q1119" s="27" t="s">
        <v>142</v>
      </c>
      <c r="R1119" s="33">
        <v>98103</v>
      </c>
      <c r="S1119" s="34">
        <v>42103</v>
      </c>
      <c r="T1119" s="34">
        <v>42105</v>
      </c>
      <c r="U1119" s="29">
        <v>-55.84</v>
      </c>
      <c r="V1119" s="26">
        <v>46</v>
      </c>
      <c r="W1119" s="29">
        <v>99.94</v>
      </c>
      <c r="X1119" s="26">
        <v>58914</v>
      </c>
      <c r="Y1119" s="35">
        <v>125.92</v>
      </c>
      <c r="Z1119" s="1" t="s">
        <v>3013</v>
      </c>
      <c r="AA1119" s="36">
        <v>6.8264000000000014</v>
      </c>
      <c r="AB1119" s="54">
        <v>44.972999999999992</v>
      </c>
      <c r="AC1119" s="54">
        <v>1.1949347826086958</v>
      </c>
      <c r="AD1119" s="36">
        <v>146.96359999999999</v>
      </c>
    </row>
    <row r="1120" spans="1:30" s="37" customFormat="1" ht="15.75" customHeight="1" x14ac:dyDescent="0.2">
      <c r="A1120" s="26">
        <v>123</v>
      </c>
      <c r="B1120" s="27" t="s">
        <v>2092</v>
      </c>
      <c r="C1120" s="27" t="s">
        <v>26</v>
      </c>
      <c r="D1120" s="28">
        <v>0.06</v>
      </c>
      <c r="E1120" s="29">
        <v>8.57</v>
      </c>
      <c r="F1120" s="29">
        <v>6.14</v>
      </c>
      <c r="G1120" s="30" t="s">
        <v>39</v>
      </c>
      <c r="H1120" s="27" t="s">
        <v>71</v>
      </c>
      <c r="I1120" s="27" t="s">
        <v>49</v>
      </c>
      <c r="J1120" s="27" t="s">
        <v>568</v>
      </c>
      <c r="K1120" s="27" t="s">
        <v>43</v>
      </c>
      <c r="L1120" s="31" t="s">
        <v>2093</v>
      </c>
      <c r="M1120" s="32">
        <v>0.59</v>
      </c>
      <c r="N1120" s="27" t="s">
        <v>33</v>
      </c>
      <c r="O1120" s="27" t="s">
        <v>34</v>
      </c>
      <c r="P1120" s="27" t="s">
        <v>242</v>
      </c>
      <c r="Q1120" s="27" t="s">
        <v>2094</v>
      </c>
      <c r="R1120" s="33">
        <v>22102</v>
      </c>
      <c r="S1120" s="34">
        <v>42103</v>
      </c>
      <c r="T1120" s="34">
        <v>42104</v>
      </c>
      <c r="U1120" s="29">
        <v>105.678</v>
      </c>
      <c r="V1120" s="26">
        <v>11</v>
      </c>
      <c r="W1120" s="29">
        <v>94.97</v>
      </c>
      <c r="X1120" s="26">
        <v>90669</v>
      </c>
      <c r="Y1120" s="35">
        <v>3.75</v>
      </c>
      <c r="Z1120" s="1" t="s">
        <v>3011</v>
      </c>
      <c r="AA1120" s="36">
        <v>5.6562000000000001</v>
      </c>
      <c r="AB1120" s="54">
        <v>38.9377</v>
      </c>
      <c r="AC1120" s="54">
        <v>5.0938454545454537</v>
      </c>
      <c r="AD1120" s="36">
        <v>-22.504199999999997</v>
      </c>
    </row>
    <row r="1121" spans="1:30" s="37" customFormat="1" ht="15.75" customHeight="1" x14ac:dyDescent="0.2">
      <c r="A1121" s="26">
        <v>2847</v>
      </c>
      <c r="B1121" s="27" t="s">
        <v>2117</v>
      </c>
      <c r="C1121" s="27" t="s">
        <v>3094</v>
      </c>
      <c r="D1121" s="28">
        <v>0.02</v>
      </c>
      <c r="E1121" s="29">
        <v>9.77</v>
      </c>
      <c r="F1121" s="29">
        <v>6.02</v>
      </c>
      <c r="G1121" s="30" t="s">
        <v>39</v>
      </c>
      <c r="H1121" s="27" t="s">
        <v>94</v>
      </c>
      <c r="I1121" s="27" t="s">
        <v>29</v>
      </c>
      <c r="J1121" s="27" t="s">
        <v>126</v>
      </c>
      <c r="K1121" s="27" t="s">
        <v>144</v>
      </c>
      <c r="L1121" s="31" t="s">
        <v>2119</v>
      </c>
      <c r="M1121" s="32">
        <v>0.48</v>
      </c>
      <c r="N1121" s="27" t="s">
        <v>33</v>
      </c>
      <c r="O1121" s="27" t="s">
        <v>34</v>
      </c>
      <c r="P1121" s="27" t="s">
        <v>400</v>
      </c>
      <c r="Q1121" s="27" t="s">
        <v>2118</v>
      </c>
      <c r="R1121" s="33">
        <v>38017</v>
      </c>
      <c r="S1121" s="34">
        <v>42103</v>
      </c>
      <c r="T1121" s="34">
        <v>42104</v>
      </c>
      <c r="U1121" s="29">
        <v>-535.33199999999999</v>
      </c>
      <c r="V1121" s="26">
        <v>9</v>
      </c>
      <c r="W1121" s="29">
        <v>87.68</v>
      </c>
      <c r="X1121" s="26">
        <v>85928</v>
      </c>
      <c r="Y1121" s="35">
        <v>30.64</v>
      </c>
      <c r="Z1121" s="1" t="s">
        <v>3011</v>
      </c>
      <c r="AA1121" s="36">
        <v>1.7585999999999999</v>
      </c>
      <c r="AB1121" s="54">
        <v>45.593600000000002</v>
      </c>
      <c r="AC1121" s="54">
        <v>4.6762666666666668</v>
      </c>
      <c r="AD1121" s="36">
        <v>615.23340000000007</v>
      </c>
    </row>
    <row r="1122" spans="1:30" s="37" customFormat="1" ht="15.75" customHeight="1" x14ac:dyDescent="0.2">
      <c r="A1122" s="26">
        <v>1250</v>
      </c>
      <c r="B1122" s="27" t="s">
        <v>2101</v>
      </c>
      <c r="C1122" s="27" t="s">
        <v>38</v>
      </c>
      <c r="D1122" s="28">
        <v>0</v>
      </c>
      <c r="E1122" s="29">
        <v>3.89</v>
      </c>
      <c r="F1122" s="29">
        <v>7.01</v>
      </c>
      <c r="G1122" s="30" t="s">
        <v>39</v>
      </c>
      <c r="H1122" s="27" t="s">
        <v>94</v>
      </c>
      <c r="I1122" s="27" t="s">
        <v>49</v>
      </c>
      <c r="J1122" s="27" t="s">
        <v>72</v>
      </c>
      <c r="K1122" s="27" t="s">
        <v>73</v>
      </c>
      <c r="L1122" s="31" t="s">
        <v>726</v>
      </c>
      <c r="M1122" s="32">
        <v>0.37</v>
      </c>
      <c r="N1122" s="27" t="s">
        <v>33</v>
      </c>
      <c r="O1122" s="27" t="s">
        <v>53</v>
      </c>
      <c r="P1122" s="27" t="s">
        <v>103</v>
      </c>
      <c r="Q1122" s="27" t="s">
        <v>2102</v>
      </c>
      <c r="R1122" s="33">
        <v>60110</v>
      </c>
      <c r="S1122" s="34">
        <v>42103</v>
      </c>
      <c r="T1122" s="34">
        <v>42103</v>
      </c>
      <c r="U1122" s="29">
        <v>-255.16890000000001</v>
      </c>
      <c r="V1122" s="26">
        <v>21</v>
      </c>
      <c r="W1122" s="29">
        <v>85.64</v>
      </c>
      <c r="X1122" s="26">
        <v>87877</v>
      </c>
      <c r="Y1122" s="35">
        <v>125.99</v>
      </c>
      <c r="Z1122" s="1" t="s">
        <v>3012</v>
      </c>
      <c r="AA1122" s="36">
        <v>0</v>
      </c>
      <c r="AB1122" s="54">
        <v>53.953200000000002</v>
      </c>
      <c r="AC1122" s="54">
        <v>1.5088952380952381</v>
      </c>
      <c r="AD1122" s="36">
        <v>333.7989</v>
      </c>
    </row>
    <row r="1123" spans="1:30" s="37" customFormat="1" ht="15.75" customHeight="1" x14ac:dyDescent="0.2">
      <c r="A1123" s="26">
        <v>191</v>
      </c>
      <c r="B1123" s="27" t="s">
        <v>1121</v>
      </c>
      <c r="C1123" s="27" t="s">
        <v>3094</v>
      </c>
      <c r="D1123" s="28">
        <v>0.05</v>
      </c>
      <c r="E1123" s="29">
        <v>3.8</v>
      </c>
      <c r="F1123" s="29">
        <v>1.49</v>
      </c>
      <c r="G1123" s="30" t="s">
        <v>39</v>
      </c>
      <c r="H1123" s="27" t="s">
        <v>94</v>
      </c>
      <c r="I1123" s="27" t="s">
        <v>49</v>
      </c>
      <c r="J1123" s="27" t="s">
        <v>72</v>
      </c>
      <c r="K1123" s="27" t="s">
        <v>73</v>
      </c>
      <c r="L1123" s="31" t="s">
        <v>1192</v>
      </c>
      <c r="M1123" s="32">
        <v>0.38</v>
      </c>
      <c r="N1123" s="27" t="s">
        <v>33</v>
      </c>
      <c r="O1123" s="27" t="s">
        <v>53</v>
      </c>
      <c r="P1123" s="27" t="s">
        <v>103</v>
      </c>
      <c r="Q1123" s="27" t="s">
        <v>1123</v>
      </c>
      <c r="R1123" s="33">
        <v>60505</v>
      </c>
      <c r="S1123" s="34">
        <v>42103</v>
      </c>
      <c r="T1123" s="34">
        <v>42105</v>
      </c>
      <c r="U1123" s="29">
        <v>14.467000000000001</v>
      </c>
      <c r="V1123" s="26">
        <v>14</v>
      </c>
      <c r="W1123" s="29">
        <v>53.26</v>
      </c>
      <c r="X1123" s="26">
        <v>89093</v>
      </c>
      <c r="Y1123" s="35">
        <v>100.89</v>
      </c>
      <c r="Z1123" s="1" t="s">
        <v>3012</v>
      </c>
      <c r="AA1123" s="36">
        <v>2.66</v>
      </c>
      <c r="AB1123" s="54">
        <v>33.0212</v>
      </c>
      <c r="AC1123" s="54">
        <v>1.4456285714285715</v>
      </c>
      <c r="AD1123" s="36">
        <v>34.643000000000001</v>
      </c>
    </row>
    <row r="1124" spans="1:30" s="37" customFormat="1" ht="15.75" customHeight="1" x14ac:dyDescent="0.2">
      <c r="A1124" s="26">
        <v>2488</v>
      </c>
      <c r="B1124" s="27" t="s">
        <v>2103</v>
      </c>
      <c r="C1124" s="27" t="s">
        <v>38</v>
      </c>
      <c r="D1124" s="28">
        <v>0.08</v>
      </c>
      <c r="E1124" s="29">
        <v>4.91</v>
      </c>
      <c r="F1124" s="29">
        <v>0.5</v>
      </c>
      <c r="G1124" s="30" t="s">
        <v>39</v>
      </c>
      <c r="H1124" s="27" t="s">
        <v>40</v>
      </c>
      <c r="I1124" s="27" t="s">
        <v>49</v>
      </c>
      <c r="J1124" s="27" t="s">
        <v>152</v>
      </c>
      <c r="K1124" s="27" t="s">
        <v>73</v>
      </c>
      <c r="L1124" s="31" t="s">
        <v>973</v>
      </c>
      <c r="M1124" s="32">
        <v>0.36</v>
      </c>
      <c r="N1124" s="27" t="s">
        <v>33</v>
      </c>
      <c r="O1124" s="27" t="s">
        <v>34</v>
      </c>
      <c r="P1124" s="27" t="s">
        <v>45</v>
      </c>
      <c r="Q1124" s="27" t="s">
        <v>2104</v>
      </c>
      <c r="R1124" s="33">
        <v>72023</v>
      </c>
      <c r="S1124" s="34">
        <v>42103</v>
      </c>
      <c r="T1124" s="34">
        <v>42103</v>
      </c>
      <c r="U1124" s="29">
        <v>12.726000000000001</v>
      </c>
      <c r="V1124" s="26">
        <v>9</v>
      </c>
      <c r="W1124" s="29">
        <v>42.69</v>
      </c>
      <c r="X1124" s="26">
        <v>86887</v>
      </c>
      <c r="Y1124" s="35">
        <v>14.76</v>
      </c>
      <c r="Z1124" s="1" t="s">
        <v>3011</v>
      </c>
      <c r="AA1124" s="36">
        <v>3.5352000000000006</v>
      </c>
      <c r="AB1124" s="54">
        <v>27.3216</v>
      </c>
      <c r="AC1124" s="54">
        <v>1.7075999999999998</v>
      </c>
      <c r="AD1124" s="36">
        <v>25.928799999999995</v>
      </c>
    </row>
    <row r="1125" spans="1:30" s="37" customFormat="1" ht="15.75" customHeight="1" x14ac:dyDescent="0.2">
      <c r="A1125" s="26">
        <v>2847</v>
      </c>
      <c r="B1125" s="27" t="s">
        <v>2117</v>
      </c>
      <c r="C1125" s="27" t="s">
        <v>3094</v>
      </c>
      <c r="D1125" s="28">
        <v>0.09</v>
      </c>
      <c r="E1125" s="29">
        <v>34.99</v>
      </c>
      <c r="F1125" s="29">
        <v>7.73</v>
      </c>
      <c r="G1125" s="30" t="s">
        <v>39</v>
      </c>
      <c r="H1125" s="27" t="s">
        <v>94</v>
      </c>
      <c r="I1125" s="27" t="s">
        <v>49</v>
      </c>
      <c r="J1125" s="27" t="s">
        <v>50</v>
      </c>
      <c r="K1125" s="27" t="s">
        <v>73</v>
      </c>
      <c r="L1125" s="31" t="s">
        <v>1304</v>
      </c>
      <c r="M1125" s="32">
        <v>0.59</v>
      </c>
      <c r="N1125" s="27" t="s">
        <v>33</v>
      </c>
      <c r="O1125" s="27" t="s">
        <v>34</v>
      </c>
      <c r="P1125" s="27" t="s">
        <v>400</v>
      </c>
      <c r="Q1125" s="27" t="s">
        <v>2118</v>
      </c>
      <c r="R1125" s="33">
        <v>38017</v>
      </c>
      <c r="S1125" s="34">
        <v>42103</v>
      </c>
      <c r="T1125" s="34">
        <v>42105</v>
      </c>
      <c r="U1125" s="29">
        <v>-208.72040000000001</v>
      </c>
      <c r="V1125" s="26">
        <v>1</v>
      </c>
      <c r="W1125" s="29">
        <v>37.619999999999997</v>
      </c>
      <c r="X1125" s="26">
        <v>85928</v>
      </c>
      <c r="Y1125" s="35">
        <v>2.6999999999999997</v>
      </c>
      <c r="Z1125" s="1" t="s">
        <v>3011</v>
      </c>
      <c r="AA1125" s="36">
        <v>3.1491000000000002</v>
      </c>
      <c r="AB1125" s="54">
        <v>15.424200000000001</v>
      </c>
      <c r="AC1125" s="54">
        <v>22.195799999999998</v>
      </c>
      <c r="AD1125" s="36">
        <v>235.46130000000002</v>
      </c>
    </row>
    <row r="1126" spans="1:30" s="37" customFormat="1" ht="15.75" customHeight="1" x14ac:dyDescent="0.2">
      <c r="A1126" s="26">
        <v>115</v>
      </c>
      <c r="B1126" s="27" t="s">
        <v>2105</v>
      </c>
      <c r="C1126" s="27" t="s">
        <v>48</v>
      </c>
      <c r="D1126" s="28">
        <v>7.0000000000000007E-2</v>
      </c>
      <c r="E1126" s="29">
        <v>2.12</v>
      </c>
      <c r="F1126" s="29">
        <v>1.99</v>
      </c>
      <c r="G1126" s="30" t="s">
        <v>39</v>
      </c>
      <c r="H1126" s="27" t="s">
        <v>71</v>
      </c>
      <c r="I1126" s="27" t="s">
        <v>41</v>
      </c>
      <c r="J1126" s="27" t="s">
        <v>42</v>
      </c>
      <c r="K1126" s="27" t="s">
        <v>43</v>
      </c>
      <c r="L1126" s="31" t="s">
        <v>2106</v>
      </c>
      <c r="M1126" s="32">
        <v>0.55000000000000004</v>
      </c>
      <c r="N1126" s="27" t="s">
        <v>33</v>
      </c>
      <c r="O1126" s="27" t="s">
        <v>60</v>
      </c>
      <c r="P1126" s="27" t="s">
        <v>139</v>
      </c>
      <c r="Q1126" s="27" t="s">
        <v>2107</v>
      </c>
      <c r="R1126" s="33">
        <v>97128</v>
      </c>
      <c r="S1126" s="34">
        <v>42103</v>
      </c>
      <c r="T1126" s="34">
        <v>42105</v>
      </c>
      <c r="U1126" s="29">
        <v>-55.84</v>
      </c>
      <c r="V1126" s="26">
        <v>12</v>
      </c>
      <c r="W1126" s="29">
        <v>26.07</v>
      </c>
      <c r="X1126" s="26">
        <v>89585</v>
      </c>
      <c r="Y1126" s="35">
        <v>90.44</v>
      </c>
      <c r="Z1126" s="1" t="s">
        <v>3013</v>
      </c>
      <c r="AA1126" s="36">
        <v>1.7808000000000004</v>
      </c>
      <c r="AB1126" s="54">
        <v>11.731499999999999</v>
      </c>
      <c r="AC1126" s="54">
        <v>1.1948750000000001</v>
      </c>
      <c r="AD1126" s="36">
        <v>78.139200000000002</v>
      </c>
    </row>
    <row r="1127" spans="1:30" s="37" customFormat="1" ht="15.75" customHeight="1" x14ac:dyDescent="0.2">
      <c r="A1127" s="26">
        <v>1178</v>
      </c>
      <c r="B1127" s="27" t="s">
        <v>2099</v>
      </c>
      <c r="C1127" s="27" t="s">
        <v>38</v>
      </c>
      <c r="D1127" s="28">
        <v>0.03</v>
      </c>
      <c r="E1127" s="29">
        <v>4.4800000000000004</v>
      </c>
      <c r="F1127" s="29">
        <v>49</v>
      </c>
      <c r="G1127" s="30" t="s">
        <v>39</v>
      </c>
      <c r="H1127" s="27" t="s">
        <v>40</v>
      </c>
      <c r="I1127" s="27" t="s">
        <v>49</v>
      </c>
      <c r="J1127" s="27" t="s">
        <v>95</v>
      </c>
      <c r="K1127" s="27" t="s">
        <v>65</v>
      </c>
      <c r="L1127" s="31" t="s">
        <v>468</v>
      </c>
      <c r="M1127" s="32">
        <v>0.6</v>
      </c>
      <c r="N1127" s="27" t="s">
        <v>33</v>
      </c>
      <c r="O1127" s="27" t="s">
        <v>34</v>
      </c>
      <c r="P1127" s="27" t="s">
        <v>123</v>
      </c>
      <c r="Q1127" s="27" t="s">
        <v>2100</v>
      </c>
      <c r="R1127" s="33">
        <v>32701</v>
      </c>
      <c r="S1127" s="34">
        <v>42103</v>
      </c>
      <c r="T1127" s="34">
        <v>42105</v>
      </c>
      <c r="U1127" s="29">
        <v>64.266000000000005</v>
      </c>
      <c r="V1127" s="26">
        <v>2</v>
      </c>
      <c r="W1127" s="29">
        <v>21.46</v>
      </c>
      <c r="X1127" s="26">
        <v>89787</v>
      </c>
      <c r="Y1127" s="35">
        <v>9.75</v>
      </c>
      <c r="Z1127" s="1" t="s">
        <v>3011</v>
      </c>
      <c r="AA1127" s="36">
        <v>0.26880000000000004</v>
      </c>
      <c r="AB1127" s="54">
        <v>8.5840000000000014</v>
      </c>
      <c r="AC1127" s="54">
        <v>6.4379999999999997</v>
      </c>
      <c r="AD1127" s="36">
        <v>-92.07480000000001</v>
      </c>
    </row>
    <row r="1128" spans="1:30" s="37" customFormat="1" ht="15.75" customHeight="1" x14ac:dyDescent="0.2">
      <c r="A1128" s="26">
        <v>2334</v>
      </c>
      <c r="B1128" s="27" t="s">
        <v>2038</v>
      </c>
      <c r="C1128" s="27" t="s">
        <v>3094</v>
      </c>
      <c r="D1128" s="28">
        <v>0.08</v>
      </c>
      <c r="E1128" s="29">
        <v>2.78</v>
      </c>
      <c r="F1128" s="29">
        <v>1.25</v>
      </c>
      <c r="G1128" s="30" t="s">
        <v>39</v>
      </c>
      <c r="H1128" s="27" t="s">
        <v>3095</v>
      </c>
      <c r="I1128" s="27" t="s">
        <v>49</v>
      </c>
      <c r="J1128" s="27" t="s">
        <v>50</v>
      </c>
      <c r="K1128" s="27" t="s">
        <v>51</v>
      </c>
      <c r="L1128" s="31" t="s">
        <v>382</v>
      </c>
      <c r="M1128" s="32">
        <v>0.59</v>
      </c>
      <c r="N1128" s="27" t="s">
        <v>33</v>
      </c>
      <c r="O1128" s="27" t="s">
        <v>53</v>
      </c>
      <c r="P1128" s="27" t="s">
        <v>357</v>
      </c>
      <c r="Q1128" s="27" t="s">
        <v>2039</v>
      </c>
      <c r="R1128" s="33">
        <v>53220</v>
      </c>
      <c r="S1128" s="34">
        <v>42103</v>
      </c>
      <c r="T1128" s="34">
        <v>42104</v>
      </c>
      <c r="U1128" s="29">
        <v>-8.77</v>
      </c>
      <c r="V1128" s="26">
        <v>7</v>
      </c>
      <c r="W1128" s="29">
        <v>19.46</v>
      </c>
      <c r="X1128" s="26">
        <v>89609</v>
      </c>
      <c r="Y1128" s="35">
        <v>34.9</v>
      </c>
      <c r="Z1128" s="1" t="s">
        <v>3012</v>
      </c>
      <c r="AA1128" s="36">
        <v>1.5568</v>
      </c>
      <c r="AB1128" s="54">
        <v>7.978600000000001</v>
      </c>
      <c r="AC1128" s="54">
        <v>1.6402000000000001</v>
      </c>
      <c r="AD1128" s="36">
        <v>25.423200000000001</v>
      </c>
    </row>
    <row r="1129" spans="1:30" s="37" customFormat="1" ht="15.75" customHeight="1" x14ac:dyDescent="0.2">
      <c r="A1129" s="26">
        <v>1104</v>
      </c>
      <c r="B1129" s="27" t="s">
        <v>2127</v>
      </c>
      <c r="C1129" s="27" t="s">
        <v>3094</v>
      </c>
      <c r="D1129" s="28">
        <v>0.05</v>
      </c>
      <c r="E1129" s="29">
        <v>328.14</v>
      </c>
      <c r="F1129" s="29">
        <v>91.05</v>
      </c>
      <c r="G1129" s="30" t="s">
        <v>27</v>
      </c>
      <c r="H1129" s="27" t="s">
        <v>71</v>
      </c>
      <c r="I1129" s="27" t="s">
        <v>49</v>
      </c>
      <c r="J1129" s="27" t="s">
        <v>95</v>
      </c>
      <c r="K1129" s="27" t="s">
        <v>58</v>
      </c>
      <c r="L1129" s="31" t="s">
        <v>583</v>
      </c>
      <c r="M1129" s="32">
        <v>0.56999999999999995</v>
      </c>
      <c r="N1129" s="27" t="s">
        <v>33</v>
      </c>
      <c r="O1129" s="27" t="s">
        <v>111</v>
      </c>
      <c r="P1129" s="27" t="s">
        <v>112</v>
      </c>
      <c r="Q1129" s="27" t="s">
        <v>113</v>
      </c>
      <c r="R1129" s="33">
        <v>10282</v>
      </c>
      <c r="S1129" s="34">
        <v>42104</v>
      </c>
      <c r="T1129" s="34">
        <v>42105</v>
      </c>
      <c r="U1129" s="29">
        <v>772.04</v>
      </c>
      <c r="V1129" s="26">
        <v>29</v>
      </c>
      <c r="W1129" s="29">
        <v>9492.92</v>
      </c>
      <c r="X1129" s="26">
        <v>27456</v>
      </c>
      <c r="Y1129" s="35">
        <v>9.01</v>
      </c>
      <c r="Z1129" s="1" t="s">
        <v>3014</v>
      </c>
      <c r="AA1129" s="36">
        <v>475.803</v>
      </c>
      <c r="AB1129" s="54">
        <v>4081.9556000000007</v>
      </c>
      <c r="AC1129" s="54">
        <v>186.58497931034481</v>
      </c>
      <c r="AD1129" s="36">
        <v>8154.027</v>
      </c>
    </row>
    <row r="1130" spans="1:30" s="37" customFormat="1" ht="15.75" customHeight="1" x14ac:dyDescent="0.2">
      <c r="A1130" s="26">
        <v>1103</v>
      </c>
      <c r="B1130" s="27" t="s">
        <v>2125</v>
      </c>
      <c r="C1130" s="27" t="s">
        <v>3094</v>
      </c>
      <c r="D1130" s="28">
        <v>0.05</v>
      </c>
      <c r="E1130" s="29">
        <v>328.14</v>
      </c>
      <c r="F1130" s="29">
        <v>91.05</v>
      </c>
      <c r="G1130" s="30" t="s">
        <v>27</v>
      </c>
      <c r="H1130" s="27" t="s">
        <v>71</v>
      </c>
      <c r="I1130" s="27" t="s">
        <v>49</v>
      </c>
      <c r="J1130" s="27" t="s">
        <v>95</v>
      </c>
      <c r="K1130" s="27" t="s">
        <v>58</v>
      </c>
      <c r="L1130" s="31" t="s">
        <v>583</v>
      </c>
      <c r="M1130" s="32">
        <v>0.56999999999999995</v>
      </c>
      <c r="N1130" s="27" t="s">
        <v>33</v>
      </c>
      <c r="O1130" s="27" t="s">
        <v>53</v>
      </c>
      <c r="P1130" s="27" t="s">
        <v>133</v>
      </c>
      <c r="Q1130" s="27" t="s">
        <v>2126</v>
      </c>
      <c r="R1130" s="33">
        <v>68046</v>
      </c>
      <c r="S1130" s="34">
        <v>42104</v>
      </c>
      <c r="T1130" s="34">
        <v>42105</v>
      </c>
      <c r="U1130" s="29">
        <v>772.04</v>
      </c>
      <c r="V1130" s="26">
        <v>7</v>
      </c>
      <c r="W1130" s="29">
        <v>2291.39</v>
      </c>
      <c r="X1130" s="26">
        <v>90977</v>
      </c>
      <c r="Y1130" s="35">
        <v>15.96</v>
      </c>
      <c r="Z1130" s="1" t="s">
        <v>3012</v>
      </c>
      <c r="AA1130" s="36">
        <v>114.849</v>
      </c>
      <c r="AB1130" s="54">
        <v>985.29770000000008</v>
      </c>
      <c r="AC1130" s="54">
        <v>186.58461428571425</v>
      </c>
      <c r="AD1130" s="36">
        <v>1313.451</v>
      </c>
    </row>
    <row r="1131" spans="1:30" s="37" customFormat="1" ht="15.75" customHeight="1" x14ac:dyDescent="0.2">
      <c r="A1131" s="26">
        <v>2684</v>
      </c>
      <c r="B1131" s="27" t="s">
        <v>1207</v>
      </c>
      <c r="C1131" s="27" t="s">
        <v>48</v>
      </c>
      <c r="D1131" s="28">
        <v>0.03</v>
      </c>
      <c r="E1131" s="29">
        <v>65.989999999999995</v>
      </c>
      <c r="F1131" s="29">
        <v>8.8000000000000007</v>
      </c>
      <c r="G1131" s="30" t="s">
        <v>39</v>
      </c>
      <c r="H1131" s="27" t="s">
        <v>3095</v>
      </c>
      <c r="I1131" s="27" t="s">
        <v>41</v>
      </c>
      <c r="J1131" s="27" t="s">
        <v>135</v>
      </c>
      <c r="K1131" s="27" t="s">
        <v>73</v>
      </c>
      <c r="L1131" s="31" t="s">
        <v>452</v>
      </c>
      <c r="M1131" s="32">
        <v>0.57999999999999996</v>
      </c>
      <c r="N1131" s="27" t="s">
        <v>33</v>
      </c>
      <c r="O1131" s="27" t="s">
        <v>34</v>
      </c>
      <c r="P1131" s="27" t="s">
        <v>123</v>
      </c>
      <c r="Q1131" s="27" t="s">
        <v>1208</v>
      </c>
      <c r="R1131" s="33">
        <v>33952</v>
      </c>
      <c r="S1131" s="34">
        <v>42104</v>
      </c>
      <c r="T1131" s="34">
        <v>42104</v>
      </c>
      <c r="U1131" s="29">
        <v>9.9398999999999997</v>
      </c>
      <c r="V1131" s="26">
        <v>21</v>
      </c>
      <c r="W1131" s="29">
        <v>1237.4000000000001</v>
      </c>
      <c r="X1131" s="26">
        <v>89148</v>
      </c>
      <c r="Y1131" s="35">
        <v>35.849999999999994</v>
      </c>
      <c r="Z1131" s="1" t="s">
        <v>3011</v>
      </c>
      <c r="AA1131" s="36">
        <v>41.573699999999995</v>
      </c>
      <c r="AB1131" s="54">
        <v>519.70800000000008</v>
      </c>
      <c r="AC1131" s="54">
        <v>34.175809523809527</v>
      </c>
      <c r="AD1131" s="36">
        <v>1177.0864000000001</v>
      </c>
    </row>
    <row r="1132" spans="1:30" s="37" customFormat="1" ht="15.75" customHeight="1" x14ac:dyDescent="0.2">
      <c r="A1132" s="26">
        <v>3191</v>
      </c>
      <c r="B1132" s="27" t="s">
        <v>1706</v>
      </c>
      <c r="C1132" s="27" t="s">
        <v>38</v>
      </c>
      <c r="D1132" s="28">
        <v>0.09</v>
      </c>
      <c r="E1132" s="29">
        <v>35.94</v>
      </c>
      <c r="F1132" s="29">
        <v>6.66</v>
      </c>
      <c r="G1132" s="30" t="s">
        <v>39</v>
      </c>
      <c r="H1132" s="27" t="s">
        <v>94</v>
      </c>
      <c r="I1132" s="27" t="s">
        <v>49</v>
      </c>
      <c r="J1132" s="27" t="s">
        <v>345</v>
      </c>
      <c r="K1132" s="27" t="s">
        <v>73</v>
      </c>
      <c r="L1132" s="31" t="s">
        <v>2122</v>
      </c>
      <c r="M1132" s="32">
        <v>0.4</v>
      </c>
      <c r="N1132" s="27" t="s">
        <v>33</v>
      </c>
      <c r="O1132" s="27" t="s">
        <v>53</v>
      </c>
      <c r="P1132" s="27" t="s">
        <v>357</v>
      </c>
      <c r="Q1132" s="27" t="s">
        <v>1707</v>
      </c>
      <c r="R1132" s="33">
        <v>54481</v>
      </c>
      <c r="S1132" s="34">
        <v>42104</v>
      </c>
      <c r="T1132" s="34">
        <v>42106</v>
      </c>
      <c r="U1132" s="29">
        <v>172.56440000000001</v>
      </c>
      <c r="V1132" s="26">
        <v>9</v>
      </c>
      <c r="W1132" s="29">
        <v>312.22000000000003</v>
      </c>
      <c r="X1132" s="26">
        <v>86448</v>
      </c>
      <c r="Y1132" s="35">
        <v>4.8999999999999995</v>
      </c>
      <c r="Z1132" s="1" t="s">
        <v>3012</v>
      </c>
      <c r="AA1132" s="36">
        <v>29.111399999999996</v>
      </c>
      <c r="AB1132" s="54">
        <v>187.33200000000002</v>
      </c>
      <c r="AC1132" s="54">
        <v>13.876444444444445</v>
      </c>
      <c r="AD1132" s="36">
        <v>103.88420000000002</v>
      </c>
    </row>
    <row r="1133" spans="1:30" s="37" customFormat="1" ht="15.75" customHeight="1" x14ac:dyDescent="0.2">
      <c r="A1133" s="26">
        <v>1185</v>
      </c>
      <c r="B1133" s="27" t="s">
        <v>1782</v>
      </c>
      <c r="C1133" s="27" t="s">
        <v>3094</v>
      </c>
      <c r="D1133" s="28">
        <v>0.08</v>
      </c>
      <c r="E1133" s="29">
        <v>11.7</v>
      </c>
      <c r="F1133" s="29">
        <v>6.96</v>
      </c>
      <c r="G1133" s="30" t="s">
        <v>39</v>
      </c>
      <c r="H1133" s="27" t="s">
        <v>40</v>
      </c>
      <c r="I1133" s="27" t="s">
        <v>49</v>
      </c>
      <c r="J1133" s="27" t="s">
        <v>95</v>
      </c>
      <c r="K1133" s="27" t="s">
        <v>144</v>
      </c>
      <c r="L1133" s="31" t="s">
        <v>760</v>
      </c>
      <c r="M1133" s="32">
        <v>0.5</v>
      </c>
      <c r="N1133" s="27" t="s">
        <v>33</v>
      </c>
      <c r="O1133" s="27" t="s">
        <v>34</v>
      </c>
      <c r="P1133" s="27" t="s">
        <v>164</v>
      </c>
      <c r="Q1133" s="27" t="s">
        <v>358</v>
      </c>
      <c r="R1133" s="33">
        <v>35756</v>
      </c>
      <c r="S1133" s="34">
        <v>42104</v>
      </c>
      <c r="T1133" s="34">
        <v>42107</v>
      </c>
      <c r="U1133" s="29">
        <v>28.565999999999999</v>
      </c>
      <c r="V1133" s="26">
        <v>8</v>
      </c>
      <c r="W1133" s="29">
        <v>87.8</v>
      </c>
      <c r="X1133" s="26">
        <v>85940</v>
      </c>
      <c r="Y1133" s="35">
        <v>2.5300000000000002</v>
      </c>
      <c r="Z1133" s="1" t="s">
        <v>3011</v>
      </c>
      <c r="AA1133" s="36">
        <v>7.4879999999999995</v>
      </c>
      <c r="AB1133" s="54">
        <v>43.9</v>
      </c>
      <c r="AC1133" s="54">
        <v>5.4874999999999998</v>
      </c>
      <c r="AD1133" s="36">
        <v>44.786000000000001</v>
      </c>
    </row>
    <row r="1134" spans="1:30" s="37" customFormat="1" ht="15.75" customHeight="1" x14ac:dyDescent="0.2">
      <c r="A1134" s="26">
        <v>2999</v>
      </c>
      <c r="B1134" s="27" t="s">
        <v>2128</v>
      </c>
      <c r="C1134" s="27" t="s">
        <v>3094</v>
      </c>
      <c r="D1134" s="28">
        <v>0.03</v>
      </c>
      <c r="E1134" s="29">
        <v>10.98</v>
      </c>
      <c r="F1134" s="29">
        <v>3.37</v>
      </c>
      <c r="G1134" s="30" t="s">
        <v>39</v>
      </c>
      <c r="H1134" s="27" t="s">
        <v>40</v>
      </c>
      <c r="I1134" s="27" t="s">
        <v>49</v>
      </c>
      <c r="J1134" s="27" t="s">
        <v>568</v>
      </c>
      <c r="K1134" s="27" t="s">
        <v>43</v>
      </c>
      <c r="L1134" s="31" t="s">
        <v>2129</v>
      </c>
      <c r="M1134" s="32">
        <v>0.56999999999999995</v>
      </c>
      <c r="N1134" s="27" t="s">
        <v>33</v>
      </c>
      <c r="O1134" s="27" t="s">
        <v>53</v>
      </c>
      <c r="P1134" s="27" t="s">
        <v>289</v>
      </c>
      <c r="Q1134" s="27" t="s">
        <v>2130</v>
      </c>
      <c r="R1134" s="33">
        <v>48237</v>
      </c>
      <c r="S1134" s="34">
        <v>42104</v>
      </c>
      <c r="T1134" s="34">
        <v>42105</v>
      </c>
      <c r="U1134" s="29">
        <v>11.82</v>
      </c>
      <c r="V1134" s="26">
        <v>5</v>
      </c>
      <c r="W1134" s="29">
        <v>56.19</v>
      </c>
      <c r="X1134" s="26">
        <v>87041</v>
      </c>
      <c r="Y1134" s="35">
        <v>65.959999999999994</v>
      </c>
      <c r="Z1134" s="1" t="s">
        <v>3012</v>
      </c>
      <c r="AA1134" s="36">
        <v>1.6470000000000002</v>
      </c>
      <c r="AB1134" s="54">
        <v>24.161700000000003</v>
      </c>
      <c r="AC1134" s="54">
        <v>6.4056599999999992</v>
      </c>
      <c r="AD1134" s="36">
        <v>39.352999999999994</v>
      </c>
    </row>
    <row r="1135" spans="1:30" s="37" customFormat="1" ht="15.75" customHeight="1" x14ac:dyDescent="0.2">
      <c r="A1135" s="26">
        <v>2430</v>
      </c>
      <c r="B1135" s="27" t="s">
        <v>1837</v>
      </c>
      <c r="C1135" s="27" t="s">
        <v>3094</v>
      </c>
      <c r="D1135" s="28">
        <v>0.04</v>
      </c>
      <c r="E1135" s="29">
        <v>7.08</v>
      </c>
      <c r="F1135" s="29">
        <v>2.35</v>
      </c>
      <c r="G1135" s="30" t="s">
        <v>39</v>
      </c>
      <c r="H1135" s="27" t="s">
        <v>71</v>
      </c>
      <c r="I1135" s="27" t="s">
        <v>49</v>
      </c>
      <c r="J1135" s="27" t="s">
        <v>50</v>
      </c>
      <c r="K1135" s="27" t="s">
        <v>51</v>
      </c>
      <c r="L1135" s="31" t="s">
        <v>1913</v>
      </c>
      <c r="M1135" s="32">
        <v>0.47</v>
      </c>
      <c r="N1135" s="27" t="s">
        <v>33</v>
      </c>
      <c r="O1135" s="27" t="s">
        <v>53</v>
      </c>
      <c r="P1135" s="27" t="s">
        <v>187</v>
      </c>
      <c r="Q1135" s="27" t="s">
        <v>1838</v>
      </c>
      <c r="R1135" s="33">
        <v>76541</v>
      </c>
      <c r="S1135" s="34">
        <v>42104</v>
      </c>
      <c r="T1135" s="34">
        <v>42105</v>
      </c>
      <c r="U1135" s="29">
        <v>24.59</v>
      </c>
      <c r="V1135" s="26">
        <v>7</v>
      </c>
      <c r="W1135" s="29">
        <v>49.1</v>
      </c>
      <c r="X1135" s="26">
        <v>91109</v>
      </c>
      <c r="Y1135" s="35">
        <v>328.09</v>
      </c>
      <c r="Z1135" s="1" t="s">
        <v>3012</v>
      </c>
      <c r="AA1135" s="36">
        <v>1.9824000000000002</v>
      </c>
      <c r="AB1135" s="54">
        <v>26.023000000000003</v>
      </c>
      <c r="AC1135" s="54">
        <v>3.2967142857142857</v>
      </c>
      <c r="AD1135" s="36">
        <v>20.177599999999998</v>
      </c>
    </row>
    <row r="1136" spans="1:30" s="37" customFormat="1" ht="15.75" customHeight="1" x14ac:dyDescent="0.2">
      <c r="A1136" s="26">
        <v>451</v>
      </c>
      <c r="B1136" s="27" t="s">
        <v>219</v>
      </c>
      <c r="C1136" s="27" t="s">
        <v>38</v>
      </c>
      <c r="D1136" s="28">
        <v>0.03</v>
      </c>
      <c r="E1136" s="29">
        <v>15.99</v>
      </c>
      <c r="F1136" s="29">
        <v>11.28</v>
      </c>
      <c r="G1136" s="30" t="s">
        <v>39</v>
      </c>
      <c r="H1136" s="27" t="s">
        <v>71</v>
      </c>
      <c r="I1136" s="27" t="s">
        <v>41</v>
      </c>
      <c r="J1136" s="27" t="s">
        <v>57</v>
      </c>
      <c r="K1136" s="27" t="s">
        <v>144</v>
      </c>
      <c r="L1136" s="31" t="s">
        <v>1206</v>
      </c>
      <c r="M1136" s="32">
        <v>0.38</v>
      </c>
      <c r="N1136" s="27" t="s">
        <v>33</v>
      </c>
      <c r="O1136" s="27" t="s">
        <v>60</v>
      </c>
      <c r="P1136" s="27" t="s">
        <v>90</v>
      </c>
      <c r="Q1136" s="27" t="s">
        <v>221</v>
      </c>
      <c r="R1136" s="33">
        <v>94024</v>
      </c>
      <c r="S1136" s="34">
        <v>42104</v>
      </c>
      <c r="T1136" s="34">
        <v>42105</v>
      </c>
      <c r="U1136" s="29">
        <v>-53.296199999999999</v>
      </c>
      <c r="V1136" s="26">
        <v>2</v>
      </c>
      <c r="W1136" s="29">
        <v>35.479999999999997</v>
      </c>
      <c r="X1136" s="26">
        <v>86010</v>
      </c>
      <c r="Y1136" s="35">
        <v>328.09</v>
      </c>
      <c r="Z1136" s="1" t="s">
        <v>3013</v>
      </c>
      <c r="AA1136" s="36">
        <v>0.95940000000000003</v>
      </c>
      <c r="AB1136" s="54">
        <v>21.997599999999998</v>
      </c>
      <c r="AC1136" s="54">
        <v>6.7411999999999992</v>
      </c>
      <c r="AD1136" s="36">
        <v>76.536799999999999</v>
      </c>
    </row>
    <row r="1137" spans="1:30" s="37" customFormat="1" ht="15.75" customHeight="1" x14ac:dyDescent="0.2">
      <c r="A1137" s="26">
        <v>2684</v>
      </c>
      <c r="B1137" s="27" t="s">
        <v>1207</v>
      </c>
      <c r="C1137" s="27" t="s">
        <v>48</v>
      </c>
      <c r="D1137" s="28">
        <v>0.09</v>
      </c>
      <c r="E1137" s="29">
        <v>2.62</v>
      </c>
      <c r="F1137" s="29">
        <v>0.8</v>
      </c>
      <c r="G1137" s="30" t="s">
        <v>39</v>
      </c>
      <c r="H1137" s="27" t="s">
        <v>3095</v>
      </c>
      <c r="I1137" s="27" t="s">
        <v>49</v>
      </c>
      <c r="J1137" s="27" t="s">
        <v>176</v>
      </c>
      <c r="K1137" s="27" t="s">
        <v>51</v>
      </c>
      <c r="L1137" s="31" t="s">
        <v>2124</v>
      </c>
      <c r="M1137" s="32">
        <v>0.39</v>
      </c>
      <c r="N1137" s="27" t="s">
        <v>33</v>
      </c>
      <c r="O1137" s="27" t="s">
        <v>34</v>
      </c>
      <c r="P1137" s="27" t="s">
        <v>123</v>
      </c>
      <c r="Q1137" s="27" t="s">
        <v>1208</v>
      </c>
      <c r="R1137" s="33">
        <v>33952</v>
      </c>
      <c r="S1137" s="34">
        <v>42104</v>
      </c>
      <c r="T1137" s="34">
        <v>42106</v>
      </c>
      <c r="U1137" s="29">
        <v>8.3879999999999999</v>
      </c>
      <c r="V1137" s="26">
        <v>12</v>
      </c>
      <c r="W1137" s="29">
        <v>29.55</v>
      </c>
      <c r="X1137" s="26">
        <v>89148</v>
      </c>
      <c r="Y1137" s="35">
        <v>11.62</v>
      </c>
      <c r="Z1137" s="1" t="s">
        <v>3011</v>
      </c>
      <c r="AA1137" s="36">
        <v>2.8296000000000001</v>
      </c>
      <c r="AB1137" s="54">
        <v>18.025500000000001</v>
      </c>
      <c r="AC1137" s="54">
        <v>0.96037499999999998</v>
      </c>
      <c r="AD1137" s="36">
        <v>17.532399999999999</v>
      </c>
    </row>
    <row r="1138" spans="1:30" s="37" customFormat="1" ht="15.75" customHeight="1" x14ac:dyDescent="0.2">
      <c r="A1138" s="26">
        <v>2684</v>
      </c>
      <c r="B1138" s="27" t="s">
        <v>1207</v>
      </c>
      <c r="C1138" s="27" t="s">
        <v>48</v>
      </c>
      <c r="D1138" s="28">
        <v>7.0000000000000007E-2</v>
      </c>
      <c r="E1138" s="29">
        <v>4.97</v>
      </c>
      <c r="F1138" s="29">
        <v>5.71</v>
      </c>
      <c r="G1138" s="30" t="s">
        <v>39</v>
      </c>
      <c r="H1138" s="27" t="s">
        <v>3095</v>
      </c>
      <c r="I1138" s="27" t="s">
        <v>29</v>
      </c>
      <c r="J1138" s="27" t="s">
        <v>126</v>
      </c>
      <c r="K1138" s="27" t="s">
        <v>144</v>
      </c>
      <c r="L1138" s="31" t="s">
        <v>2123</v>
      </c>
      <c r="M1138" s="32">
        <v>0.54</v>
      </c>
      <c r="N1138" s="27" t="s">
        <v>33</v>
      </c>
      <c r="O1138" s="27" t="s">
        <v>34</v>
      </c>
      <c r="P1138" s="27" t="s">
        <v>123</v>
      </c>
      <c r="Q1138" s="27" t="s">
        <v>1208</v>
      </c>
      <c r="R1138" s="33">
        <v>33952</v>
      </c>
      <c r="S1138" s="34">
        <v>42104</v>
      </c>
      <c r="T1138" s="34">
        <v>42109</v>
      </c>
      <c r="U1138" s="29">
        <v>-180.15199999999999</v>
      </c>
      <c r="V1138" s="26">
        <v>5</v>
      </c>
      <c r="W1138" s="29">
        <v>26.66</v>
      </c>
      <c r="X1138" s="26">
        <v>89148</v>
      </c>
      <c r="Y1138" s="35">
        <v>7.04</v>
      </c>
      <c r="Z1138" s="1" t="s">
        <v>3011</v>
      </c>
      <c r="AA1138" s="36">
        <v>1.7395000000000003</v>
      </c>
      <c r="AB1138" s="54">
        <v>12.263599999999999</v>
      </c>
      <c r="AC1138" s="54">
        <v>2.8792800000000001</v>
      </c>
      <c r="AD1138" s="36">
        <v>199.36249999999998</v>
      </c>
    </row>
    <row r="1139" spans="1:30" s="37" customFormat="1" ht="15.75" customHeight="1" x14ac:dyDescent="0.2">
      <c r="A1139" s="26">
        <v>1602</v>
      </c>
      <c r="B1139" s="27" t="s">
        <v>2120</v>
      </c>
      <c r="C1139" s="27" t="s">
        <v>26</v>
      </c>
      <c r="D1139" s="28">
        <v>0.1</v>
      </c>
      <c r="E1139" s="29">
        <v>9.11</v>
      </c>
      <c r="F1139" s="29">
        <v>2.15</v>
      </c>
      <c r="G1139" s="30" t="s">
        <v>39</v>
      </c>
      <c r="H1139" s="27" t="s">
        <v>71</v>
      </c>
      <c r="I1139" s="27" t="s">
        <v>49</v>
      </c>
      <c r="J1139" s="27" t="s">
        <v>88</v>
      </c>
      <c r="K1139" s="27" t="s">
        <v>51</v>
      </c>
      <c r="L1139" s="31" t="s">
        <v>89</v>
      </c>
      <c r="M1139" s="32">
        <v>0.4</v>
      </c>
      <c r="N1139" s="27" t="s">
        <v>33</v>
      </c>
      <c r="O1139" s="27" t="s">
        <v>111</v>
      </c>
      <c r="P1139" s="27" t="s">
        <v>418</v>
      </c>
      <c r="Q1139" s="27" t="s">
        <v>2121</v>
      </c>
      <c r="R1139" s="33">
        <v>20601</v>
      </c>
      <c r="S1139" s="34">
        <v>42104</v>
      </c>
      <c r="T1139" s="34">
        <v>42106</v>
      </c>
      <c r="U1139" s="29">
        <v>-3.9312</v>
      </c>
      <c r="V1139" s="26">
        <v>2</v>
      </c>
      <c r="W1139" s="29">
        <v>17.420000000000002</v>
      </c>
      <c r="X1139" s="26">
        <v>89680</v>
      </c>
      <c r="Y1139" s="35">
        <v>10.950000000000001</v>
      </c>
      <c r="Z1139" s="1" t="s">
        <v>3014</v>
      </c>
      <c r="AA1139" s="36">
        <v>1.8220000000000001</v>
      </c>
      <c r="AB1139" s="54">
        <v>10.452</v>
      </c>
      <c r="AC1139" s="54">
        <v>3.4840000000000004</v>
      </c>
      <c r="AD1139" s="36">
        <v>17.379200000000001</v>
      </c>
    </row>
    <row r="1140" spans="1:30" s="37" customFormat="1" ht="15.75" customHeight="1" x14ac:dyDescent="0.2">
      <c r="A1140" s="26">
        <v>369</v>
      </c>
      <c r="B1140" s="27" t="s">
        <v>2135</v>
      </c>
      <c r="C1140" s="27" t="s">
        <v>48</v>
      </c>
      <c r="D1140" s="28">
        <v>0.09</v>
      </c>
      <c r="E1140" s="29">
        <v>19.23</v>
      </c>
      <c r="F1140" s="29">
        <v>6.15</v>
      </c>
      <c r="G1140" s="30" t="s">
        <v>87</v>
      </c>
      <c r="H1140" s="27" t="s">
        <v>94</v>
      </c>
      <c r="I1140" s="27" t="s">
        <v>29</v>
      </c>
      <c r="J1140" s="27" t="s">
        <v>126</v>
      </c>
      <c r="K1140" s="27" t="s">
        <v>43</v>
      </c>
      <c r="L1140" s="31" t="s">
        <v>1277</v>
      </c>
      <c r="M1140" s="32">
        <v>0.44</v>
      </c>
      <c r="N1140" s="27" t="s">
        <v>33</v>
      </c>
      <c r="O1140" s="27" t="s">
        <v>60</v>
      </c>
      <c r="P1140" s="27" t="s">
        <v>90</v>
      </c>
      <c r="Q1140" s="27" t="s">
        <v>2136</v>
      </c>
      <c r="R1140" s="33">
        <v>94601</v>
      </c>
      <c r="S1140" s="34">
        <v>42105</v>
      </c>
      <c r="T1140" s="34">
        <v>42107</v>
      </c>
      <c r="U1140" s="29">
        <v>211.232</v>
      </c>
      <c r="V1140" s="26">
        <v>21</v>
      </c>
      <c r="W1140" s="29">
        <v>394.1</v>
      </c>
      <c r="X1140" s="26">
        <v>90292</v>
      </c>
      <c r="Y1140" s="35">
        <v>5.77</v>
      </c>
      <c r="Z1140" s="1" t="s">
        <v>3013</v>
      </c>
      <c r="AA1140" s="36">
        <v>36.344699999999996</v>
      </c>
      <c r="AB1140" s="54">
        <v>220.69600000000003</v>
      </c>
      <c r="AC1140" s="54">
        <v>8.2573333333333352</v>
      </c>
      <c r="AD1140" s="36">
        <v>140.37330000000003</v>
      </c>
    </row>
    <row r="1141" spans="1:30" s="37" customFormat="1" ht="15.75" customHeight="1" x14ac:dyDescent="0.2">
      <c r="A1141" s="26">
        <v>1712</v>
      </c>
      <c r="B1141" s="27" t="s">
        <v>2137</v>
      </c>
      <c r="C1141" s="27" t="s">
        <v>48</v>
      </c>
      <c r="D1141" s="28">
        <v>0.03</v>
      </c>
      <c r="E1141" s="29">
        <v>11.66</v>
      </c>
      <c r="F1141" s="29">
        <v>7.95</v>
      </c>
      <c r="G1141" s="30" t="s">
        <v>39</v>
      </c>
      <c r="H1141" s="27" t="s">
        <v>94</v>
      </c>
      <c r="I1141" s="27" t="s">
        <v>49</v>
      </c>
      <c r="J1141" s="27" t="s">
        <v>50</v>
      </c>
      <c r="K1141" s="27" t="s">
        <v>43</v>
      </c>
      <c r="L1141" s="31" t="s">
        <v>2138</v>
      </c>
      <c r="M1141" s="32">
        <v>0.57999999999999996</v>
      </c>
      <c r="N1141" s="27" t="s">
        <v>33</v>
      </c>
      <c r="O1141" s="27" t="s">
        <v>34</v>
      </c>
      <c r="P1141" s="27" t="s">
        <v>75</v>
      </c>
      <c r="Q1141" s="27" t="s">
        <v>2139</v>
      </c>
      <c r="R1141" s="33">
        <v>30907</v>
      </c>
      <c r="S1141" s="34">
        <v>42105</v>
      </c>
      <c r="T1141" s="34">
        <v>42114</v>
      </c>
      <c r="U1141" s="29">
        <v>-31.094000000000001</v>
      </c>
      <c r="V1141" s="26">
        <v>22</v>
      </c>
      <c r="W1141" s="29">
        <v>267.32</v>
      </c>
      <c r="X1141" s="26">
        <v>87749</v>
      </c>
      <c r="Y1141" s="35">
        <v>12.22</v>
      </c>
      <c r="Z1141" s="1" t="s">
        <v>3011</v>
      </c>
      <c r="AA1141" s="36">
        <v>7.6955999999999998</v>
      </c>
      <c r="AB1141" s="54">
        <v>112.27440000000001</v>
      </c>
      <c r="AC1141" s="54">
        <v>7.0475272727272715</v>
      </c>
      <c r="AD1141" s="36">
        <v>282.76839999999999</v>
      </c>
    </row>
    <row r="1142" spans="1:30" s="37" customFormat="1" ht="15.75" customHeight="1" x14ac:dyDescent="0.2">
      <c r="A1142" s="26">
        <v>2862</v>
      </c>
      <c r="B1142" s="27" t="s">
        <v>2134</v>
      </c>
      <c r="C1142" s="27" t="s">
        <v>38</v>
      </c>
      <c r="D1142" s="28">
        <v>0</v>
      </c>
      <c r="E1142" s="29">
        <v>12.22</v>
      </c>
      <c r="F1142" s="29">
        <v>2.85</v>
      </c>
      <c r="G1142" s="30" t="s">
        <v>39</v>
      </c>
      <c r="H1142" s="27" t="s">
        <v>94</v>
      </c>
      <c r="I1142" s="27" t="s">
        <v>29</v>
      </c>
      <c r="J1142" s="27" t="s">
        <v>126</v>
      </c>
      <c r="K1142" s="27" t="s">
        <v>43</v>
      </c>
      <c r="L1142" s="31" t="s">
        <v>2086</v>
      </c>
      <c r="M1142" s="32">
        <v>0.55000000000000004</v>
      </c>
      <c r="N1142" s="27" t="s">
        <v>33</v>
      </c>
      <c r="O1142" s="27" t="s">
        <v>53</v>
      </c>
      <c r="P1142" s="27" t="s">
        <v>133</v>
      </c>
      <c r="Q1142" s="27" t="s">
        <v>2041</v>
      </c>
      <c r="R1142" s="33">
        <v>68128</v>
      </c>
      <c r="S1142" s="34">
        <v>42105</v>
      </c>
      <c r="T1142" s="34">
        <v>42106</v>
      </c>
      <c r="U1142" s="29">
        <v>76.389899999999997</v>
      </c>
      <c r="V1142" s="26">
        <v>9</v>
      </c>
      <c r="W1142" s="29">
        <v>110.71</v>
      </c>
      <c r="X1142" s="26">
        <v>88278</v>
      </c>
      <c r="Y1142" s="35">
        <v>19.14</v>
      </c>
      <c r="Z1142" s="1" t="s">
        <v>3012</v>
      </c>
      <c r="AA1142" s="36">
        <v>0</v>
      </c>
      <c r="AB1142" s="54">
        <v>49.819499999999991</v>
      </c>
      <c r="AC1142" s="54">
        <v>6.7656111111111112</v>
      </c>
      <c r="AD1142" s="36">
        <v>31.470100000000002</v>
      </c>
    </row>
    <row r="1143" spans="1:30" s="37" customFormat="1" ht="15.75" customHeight="1" x14ac:dyDescent="0.2">
      <c r="A1143" s="26">
        <v>445</v>
      </c>
      <c r="B1143" s="27" t="s">
        <v>2142</v>
      </c>
      <c r="C1143" s="27" t="s">
        <v>3094</v>
      </c>
      <c r="D1143" s="28">
        <v>0.03</v>
      </c>
      <c r="E1143" s="29">
        <v>48.04</v>
      </c>
      <c r="F1143" s="29">
        <v>19.989999999999998</v>
      </c>
      <c r="G1143" s="30" t="s">
        <v>39</v>
      </c>
      <c r="H1143" s="27" t="s">
        <v>3095</v>
      </c>
      <c r="I1143" s="27" t="s">
        <v>49</v>
      </c>
      <c r="J1143" s="27" t="s">
        <v>88</v>
      </c>
      <c r="K1143" s="27" t="s">
        <v>73</v>
      </c>
      <c r="L1143" s="31" t="s">
        <v>2143</v>
      </c>
      <c r="M1143" s="32">
        <v>0.37</v>
      </c>
      <c r="N1143" s="27" t="s">
        <v>33</v>
      </c>
      <c r="O1143" s="27" t="s">
        <v>53</v>
      </c>
      <c r="P1143" s="27" t="s">
        <v>133</v>
      </c>
      <c r="Q1143" s="27" t="s">
        <v>1377</v>
      </c>
      <c r="R1143" s="33">
        <v>68701</v>
      </c>
      <c r="S1143" s="34">
        <v>42105</v>
      </c>
      <c r="T1143" s="34">
        <v>42107</v>
      </c>
      <c r="U1143" s="29">
        <v>-4.46</v>
      </c>
      <c r="V1143" s="26">
        <v>2</v>
      </c>
      <c r="W1143" s="29">
        <v>101.71</v>
      </c>
      <c r="X1143" s="26">
        <v>88083</v>
      </c>
      <c r="Y1143" s="35">
        <v>11.63</v>
      </c>
      <c r="Z1143" s="1" t="s">
        <v>3012</v>
      </c>
      <c r="AA1143" s="36">
        <v>2.8823999999999996</v>
      </c>
      <c r="AB1143" s="54">
        <v>64.077299999999994</v>
      </c>
      <c r="AC1143" s="54">
        <v>18.81635</v>
      </c>
      <c r="AD1143" s="36">
        <v>83.297599999999989</v>
      </c>
    </row>
    <row r="1144" spans="1:30" s="37" customFormat="1" ht="15.75" customHeight="1" x14ac:dyDescent="0.2">
      <c r="A1144" s="26">
        <v>2363</v>
      </c>
      <c r="B1144" s="27" t="s">
        <v>2131</v>
      </c>
      <c r="C1144" s="27" t="s">
        <v>38</v>
      </c>
      <c r="D1144" s="28">
        <v>0</v>
      </c>
      <c r="E1144" s="29">
        <v>5.77</v>
      </c>
      <c r="F1144" s="29">
        <v>5.92</v>
      </c>
      <c r="G1144" s="30" t="s">
        <v>39</v>
      </c>
      <c r="H1144" s="27" t="s">
        <v>71</v>
      </c>
      <c r="I1144" s="27" t="s">
        <v>29</v>
      </c>
      <c r="J1144" s="27" t="s">
        <v>126</v>
      </c>
      <c r="K1144" s="27" t="s">
        <v>144</v>
      </c>
      <c r="L1144" s="31" t="s">
        <v>2132</v>
      </c>
      <c r="M1144" s="32">
        <v>0.55000000000000004</v>
      </c>
      <c r="N1144" s="27" t="s">
        <v>33</v>
      </c>
      <c r="O1144" s="27" t="s">
        <v>111</v>
      </c>
      <c r="P1144" s="27" t="s">
        <v>317</v>
      </c>
      <c r="Q1144" s="27" t="s">
        <v>2133</v>
      </c>
      <c r="R1144" s="33">
        <v>44256</v>
      </c>
      <c r="S1144" s="34">
        <v>42105</v>
      </c>
      <c r="T1144" s="34">
        <v>42107</v>
      </c>
      <c r="U1144" s="29">
        <v>-61.5276</v>
      </c>
      <c r="V1144" s="26">
        <v>11</v>
      </c>
      <c r="W1144" s="29">
        <v>69.89</v>
      </c>
      <c r="X1144" s="26">
        <v>90040</v>
      </c>
      <c r="Y1144" s="35">
        <v>7.2700000000000005</v>
      </c>
      <c r="Z1144" s="1" t="s">
        <v>3014</v>
      </c>
      <c r="AA1144" s="36">
        <v>0</v>
      </c>
      <c r="AB1144" s="54">
        <v>31.450499999999998</v>
      </c>
      <c r="AC1144" s="54">
        <v>3.4945000000000004</v>
      </c>
      <c r="AD1144" s="36">
        <v>125.49760000000001</v>
      </c>
    </row>
    <row r="1145" spans="1:30" s="37" customFormat="1" ht="15.75" customHeight="1" x14ac:dyDescent="0.2">
      <c r="A1145" s="26">
        <v>721</v>
      </c>
      <c r="B1145" s="27" t="s">
        <v>2140</v>
      </c>
      <c r="C1145" s="27" t="s">
        <v>116</v>
      </c>
      <c r="D1145" s="28">
        <v>0.01</v>
      </c>
      <c r="E1145" s="29">
        <v>7.28</v>
      </c>
      <c r="F1145" s="29">
        <v>11.15</v>
      </c>
      <c r="G1145" s="30" t="s">
        <v>39</v>
      </c>
      <c r="H1145" s="27" t="s">
        <v>94</v>
      </c>
      <c r="I1145" s="27" t="s">
        <v>49</v>
      </c>
      <c r="J1145" s="27" t="s">
        <v>88</v>
      </c>
      <c r="K1145" s="27" t="s">
        <v>73</v>
      </c>
      <c r="L1145" s="31" t="s">
        <v>975</v>
      </c>
      <c r="M1145" s="32">
        <v>0.37</v>
      </c>
      <c r="N1145" s="27" t="s">
        <v>33</v>
      </c>
      <c r="O1145" s="27" t="s">
        <v>53</v>
      </c>
      <c r="P1145" s="27" t="s">
        <v>54</v>
      </c>
      <c r="Q1145" s="27" t="s">
        <v>2141</v>
      </c>
      <c r="R1145" s="33">
        <v>46041</v>
      </c>
      <c r="S1145" s="34">
        <v>42105</v>
      </c>
      <c r="T1145" s="34">
        <v>42107</v>
      </c>
      <c r="U1145" s="29">
        <v>-24.245999999999999</v>
      </c>
      <c r="V1145" s="26">
        <v>1</v>
      </c>
      <c r="W1145" s="29">
        <v>11.21</v>
      </c>
      <c r="X1145" s="26">
        <v>91054</v>
      </c>
      <c r="Y1145" s="35">
        <v>48.01</v>
      </c>
      <c r="Z1145" s="1" t="s">
        <v>3012</v>
      </c>
      <c r="AA1145" s="36">
        <v>7.2800000000000004E-2</v>
      </c>
      <c r="AB1145" s="54">
        <v>7.0623000000000005</v>
      </c>
      <c r="AC1145" s="54">
        <v>4.1477000000000004</v>
      </c>
      <c r="AD1145" s="36">
        <v>24.233199999999997</v>
      </c>
    </row>
    <row r="1146" spans="1:30" s="37" customFormat="1" ht="15.75" customHeight="1" x14ac:dyDescent="0.2">
      <c r="A1146" s="26">
        <v>754</v>
      </c>
      <c r="B1146" s="27" t="s">
        <v>2150</v>
      </c>
      <c r="C1146" s="27" t="s">
        <v>48</v>
      </c>
      <c r="D1146" s="28">
        <v>0.06</v>
      </c>
      <c r="E1146" s="29">
        <v>119.99</v>
      </c>
      <c r="F1146" s="29">
        <v>14</v>
      </c>
      <c r="G1146" s="30" t="s">
        <v>27</v>
      </c>
      <c r="H1146" s="27" t="s">
        <v>40</v>
      </c>
      <c r="I1146" s="27" t="s">
        <v>41</v>
      </c>
      <c r="J1146" s="27" t="s">
        <v>57</v>
      </c>
      <c r="K1146" s="27" t="s">
        <v>58</v>
      </c>
      <c r="L1146" s="31" t="s">
        <v>2151</v>
      </c>
      <c r="M1146" s="32">
        <v>0.36</v>
      </c>
      <c r="N1146" s="27" t="s">
        <v>33</v>
      </c>
      <c r="O1146" s="27" t="s">
        <v>60</v>
      </c>
      <c r="P1146" s="27" t="s">
        <v>588</v>
      </c>
      <c r="Q1146" s="27" t="s">
        <v>2152</v>
      </c>
      <c r="R1146" s="33">
        <v>86314</v>
      </c>
      <c r="S1146" s="34">
        <v>42106</v>
      </c>
      <c r="T1146" s="34">
        <v>42113</v>
      </c>
      <c r="U1146" s="29">
        <v>-207.679788</v>
      </c>
      <c r="V1146" s="26">
        <v>2</v>
      </c>
      <c r="W1146" s="29">
        <v>243.86</v>
      </c>
      <c r="X1146" s="26">
        <v>90439</v>
      </c>
      <c r="Y1146" s="35">
        <v>35.46</v>
      </c>
      <c r="Z1146" s="1" t="s">
        <v>3013</v>
      </c>
      <c r="AA1146" s="36">
        <v>14.3988</v>
      </c>
      <c r="AB1146" s="54">
        <v>156.07040000000001</v>
      </c>
      <c r="AC1146" s="54">
        <v>43.894800000000004</v>
      </c>
      <c r="AD1146" s="36">
        <v>423.14098799999999</v>
      </c>
    </row>
    <row r="1147" spans="1:30" s="37" customFormat="1" ht="15.75" customHeight="1" x14ac:dyDescent="0.2">
      <c r="A1147" s="26">
        <v>920</v>
      </c>
      <c r="B1147" s="27" t="s">
        <v>1881</v>
      </c>
      <c r="C1147" s="27" t="s">
        <v>38</v>
      </c>
      <c r="D1147" s="28">
        <v>0.03</v>
      </c>
      <c r="E1147" s="29">
        <v>8.0399999999999991</v>
      </c>
      <c r="F1147" s="29">
        <v>8.94</v>
      </c>
      <c r="G1147" s="30" t="s">
        <v>39</v>
      </c>
      <c r="H1147" s="27" t="s">
        <v>40</v>
      </c>
      <c r="I1147" s="27" t="s">
        <v>49</v>
      </c>
      <c r="J1147" s="27" t="s">
        <v>72</v>
      </c>
      <c r="K1147" s="27" t="s">
        <v>73</v>
      </c>
      <c r="L1147" s="31" t="s">
        <v>2149</v>
      </c>
      <c r="M1147" s="32">
        <v>0.4</v>
      </c>
      <c r="N1147" s="27" t="s">
        <v>33</v>
      </c>
      <c r="O1147" s="27" t="s">
        <v>60</v>
      </c>
      <c r="P1147" s="27" t="s">
        <v>90</v>
      </c>
      <c r="Q1147" s="27" t="s">
        <v>1229</v>
      </c>
      <c r="R1147" s="33">
        <v>92374</v>
      </c>
      <c r="S1147" s="34">
        <v>42106</v>
      </c>
      <c r="T1147" s="34">
        <v>42108</v>
      </c>
      <c r="U1147" s="29">
        <v>-160.27549999999999</v>
      </c>
      <c r="V1147" s="26">
        <v>9</v>
      </c>
      <c r="W1147" s="29">
        <v>76.77</v>
      </c>
      <c r="X1147" s="26">
        <v>90492</v>
      </c>
      <c r="Y1147" s="35">
        <v>8.24</v>
      </c>
      <c r="Z1147" s="1" t="s">
        <v>3013</v>
      </c>
      <c r="AA1147" s="36">
        <v>2.1707999999999998</v>
      </c>
      <c r="AB1147" s="54">
        <v>46.061999999999998</v>
      </c>
      <c r="AC1147" s="54">
        <v>3.4119999999999999</v>
      </c>
      <c r="AD1147" s="36">
        <v>225.93469999999996</v>
      </c>
    </row>
    <row r="1148" spans="1:30" s="37" customFormat="1" ht="15.75" customHeight="1" x14ac:dyDescent="0.2">
      <c r="A1148" s="26">
        <v>918</v>
      </c>
      <c r="B1148" s="27" t="s">
        <v>2144</v>
      </c>
      <c r="C1148" s="27" t="s">
        <v>38</v>
      </c>
      <c r="D1148" s="28">
        <v>0.05</v>
      </c>
      <c r="E1148" s="29">
        <v>35.51</v>
      </c>
      <c r="F1148" s="29">
        <v>6.31</v>
      </c>
      <c r="G1148" s="30" t="s">
        <v>39</v>
      </c>
      <c r="H1148" s="27" t="s">
        <v>40</v>
      </c>
      <c r="I1148" s="27" t="s">
        <v>49</v>
      </c>
      <c r="J1148" s="27" t="s">
        <v>78</v>
      </c>
      <c r="K1148" s="27" t="s">
        <v>73</v>
      </c>
      <c r="L1148" s="31" t="s">
        <v>2145</v>
      </c>
      <c r="M1148" s="32">
        <v>0.57999999999999996</v>
      </c>
      <c r="N1148" s="27" t="s">
        <v>33</v>
      </c>
      <c r="O1148" s="27" t="s">
        <v>60</v>
      </c>
      <c r="P1148" s="27" t="s">
        <v>90</v>
      </c>
      <c r="Q1148" s="27" t="s">
        <v>2146</v>
      </c>
      <c r="R1148" s="33">
        <v>91730</v>
      </c>
      <c r="S1148" s="34">
        <v>42106</v>
      </c>
      <c r="T1148" s="34">
        <v>42108</v>
      </c>
      <c r="U1148" s="29">
        <v>6.11</v>
      </c>
      <c r="V1148" s="26">
        <v>2</v>
      </c>
      <c r="W1148" s="29">
        <v>73.099999999999994</v>
      </c>
      <c r="X1148" s="26">
        <v>90492</v>
      </c>
      <c r="Y1148" s="35">
        <v>8.01</v>
      </c>
      <c r="Z1148" s="1" t="s">
        <v>3013</v>
      </c>
      <c r="AA1148" s="36">
        <v>3.5510000000000002</v>
      </c>
      <c r="AB1148" s="54">
        <v>30.702000000000002</v>
      </c>
      <c r="AC1148" s="54">
        <v>21.198999999999998</v>
      </c>
      <c r="AD1148" s="36">
        <v>57.128999999999991</v>
      </c>
    </row>
    <row r="1149" spans="1:30" s="37" customFormat="1" ht="15.75" customHeight="1" x14ac:dyDescent="0.2">
      <c r="A1149" s="26">
        <v>3221</v>
      </c>
      <c r="B1149" s="27" t="s">
        <v>2153</v>
      </c>
      <c r="C1149" s="27" t="s">
        <v>3094</v>
      </c>
      <c r="D1149" s="28">
        <v>0.03</v>
      </c>
      <c r="E1149" s="29">
        <v>6.68</v>
      </c>
      <c r="F1149" s="29">
        <v>1.5</v>
      </c>
      <c r="G1149" s="30" t="s">
        <v>39</v>
      </c>
      <c r="H1149" s="27" t="s">
        <v>94</v>
      </c>
      <c r="I1149" s="27" t="s">
        <v>49</v>
      </c>
      <c r="J1149" s="27" t="s">
        <v>50</v>
      </c>
      <c r="K1149" s="27" t="s">
        <v>51</v>
      </c>
      <c r="L1149" s="31" t="s">
        <v>1868</v>
      </c>
      <c r="M1149" s="32">
        <v>0.48</v>
      </c>
      <c r="N1149" s="27" t="s">
        <v>33</v>
      </c>
      <c r="O1149" s="27" t="s">
        <v>34</v>
      </c>
      <c r="P1149" s="27" t="s">
        <v>123</v>
      </c>
      <c r="Q1149" s="27" t="s">
        <v>2154</v>
      </c>
      <c r="R1149" s="33">
        <v>33322</v>
      </c>
      <c r="S1149" s="34">
        <v>42106</v>
      </c>
      <c r="T1149" s="34">
        <v>42107</v>
      </c>
      <c r="U1149" s="29">
        <v>-577.30399999999997</v>
      </c>
      <c r="V1149" s="26">
        <v>7</v>
      </c>
      <c r="W1149" s="29">
        <v>48.32</v>
      </c>
      <c r="X1149" s="26">
        <v>90815</v>
      </c>
      <c r="Y1149" s="35">
        <v>119.92999999999999</v>
      </c>
      <c r="Z1149" s="1" t="s">
        <v>3011</v>
      </c>
      <c r="AA1149" s="36">
        <v>1.4028</v>
      </c>
      <c r="AB1149" s="54">
        <v>25.1264</v>
      </c>
      <c r="AC1149" s="54">
        <v>3.3133714285714286</v>
      </c>
      <c r="AD1149" s="36">
        <v>622.72120000000007</v>
      </c>
    </row>
    <row r="1150" spans="1:30" s="37" customFormat="1" ht="15.75" customHeight="1" x14ac:dyDescent="0.2">
      <c r="A1150" s="26">
        <v>919</v>
      </c>
      <c r="B1150" s="27" t="s">
        <v>2147</v>
      </c>
      <c r="C1150" s="27" t="s">
        <v>38</v>
      </c>
      <c r="D1150" s="28">
        <v>0.1</v>
      </c>
      <c r="E1150" s="29">
        <v>8.34</v>
      </c>
      <c r="F1150" s="29">
        <v>2.64</v>
      </c>
      <c r="G1150" s="30" t="s">
        <v>39</v>
      </c>
      <c r="H1150" s="27" t="s">
        <v>40</v>
      </c>
      <c r="I1150" s="27" t="s">
        <v>49</v>
      </c>
      <c r="J1150" s="27" t="s">
        <v>568</v>
      </c>
      <c r="K1150" s="27" t="s">
        <v>43</v>
      </c>
      <c r="L1150" s="31" t="s">
        <v>883</v>
      </c>
      <c r="M1150" s="32">
        <v>0.59</v>
      </c>
      <c r="N1150" s="27" t="s">
        <v>33</v>
      </c>
      <c r="O1150" s="27" t="s">
        <v>60</v>
      </c>
      <c r="P1150" s="27" t="s">
        <v>90</v>
      </c>
      <c r="Q1150" s="27" t="s">
        <v>2148</v>
      </c>
      <c r="R1150" s="33">
        <v>96003</v>
      </c>
      <c r="S1150" s="34">
        <v>42106</v>
      </c>
      <c r="T1150" s="34">
        <v>42106</v>
      </c>
      <c r="U1150" s="29">
        <v>-6.34</v>
      </c>
      <c r="V1150" s="26">
        <v>6</v>
      </c>
      <c r="W1150" s="29">
        <v>47.95</v>
      </c>
      <c r="X1150" s="26">
        <v>90492</v>
      </c>
      <c r="Y1150" s="35">
        <v>6.6499999999999995</v>
      </c>
      <c r="Z1150" s="1" t="s">
        <v>3013</v>
      </c>
      <c r="AA1150" s="36">
        <v>5.0040000000000004</v>
      </c>
      <c r="AB1150" s="54">
        <v>19.659500000000001</v>
      </c>
      <c r="AC1150" s="54">
        <v>4.7150833333333333</v>
      </c>
      <c r="AD1150" s="36">
        <v>46.646000000000001</v>
      </c>
    </row>
    <row r="1151" spans="1:30" s="37" customFormat="1" ht="15.75" customHeight="1" x14ac:dyDescent="0.2">
      <c r="A1151" s="26">
        <v>2973</v>
      </c>
      <c r="B1151" s="27" t="s">
        <v>2161</v>
      </c>
      <c r="C1151" s="27" t="s">
        <v>38</v>
      </c>
      <c r="D1151" s="28">
        <v>0.08</v>
      </c>
      <c r="E1151" s="29">
        <v>125.99</v>
      </c>
      <c r="F1151" s="29">
        <v>7.69</v>
      </c>
      <c r="G1151" s="30" t="s">
        <v>39</v>
      </c>
      <c r="H1151" s="27" t="s">
        <v>71</v>
      </c>
      <c r="I1151" s="27" t="s">
        <v>41</v>
      </c>
      <c r="J1151" s="27" t="s">
        <v>135</v>
      </c>
      <c r="K1151" s="27" t="s">
        <v>73</v>
      </c>
      <c r="L1151" s="31" t="s">
        <v>1049</v>
      </c>
      <c r="M1151" s="32">
        <v>0.57999999999999996</v>
      </c>
      <c r="N1151" s="27" t="s">
        <v>33</v>
      </c>
      <c r="O1151" s="27" t="s">
        <v>53</v>
      </c>
      <c r="P1151" s="27" t="s">
        <v>357</v>
      </c>
      <c r="Q1151" s="27" t="s">
        <v>2163</v>
      </c>
      <c r="R1151" s="33">
        <v>53151</v>
      </c>
      <c r="S1151" s="34">
        <v>42107</v>
      </c>
      <c r="T1151" s="34">
        <v>42109</v>
      </c>
      <c r="U1151" s="29">
        <v>1269.3819599999999</v>
      </c>
      <c r="V1151" s="26">
        <v>23</v>
      </c>
      <c r="W1151" s="29">
        <v>2424.6799999999998</v>
      </c>
      <c r="X1151" s="26">
        <v>87186</v>
      </c>
      <c r="Y1151" s="35">
        <v>1.8299999999999998</v>
      </c>
      <c r="Z1151" s="1" t="s">
        <v>3012</v>
      </c>
      <c r="AA1151" s="36">
        <v>231.82159999999999</v>
      </c>
      <c r="AB1151" s="54">
        <v>1018.3656</v>
      </c>
      <c r="AC1151" s="54">
        <v>61.14410434782608</v>
      </c>
      <c r="AD1151" s="36">
        <v>915.78643999999986</v>
      </c>
    </row>
    <row r="1152" spans="1:30" s="37" customFormat="1" ht="15.75" customHeight="1" x14ac:dyDescent="0.2">
      <c r="A1152" s="26">
        <v>2973</v>
      </c>
      <c r="B1152" s="27" t="s">
        <v>2161</v>
      </c>
      <c r="C1152" s="27" t="s">
        <v>38</v>
      </c>
      <c r="D1152" s="28">
        <v>0.01</v>
      </c>
      <c r="E1152" s="29">
        <v>30.97</v>
      </c>
      <c r="F1152" s="29">
        <v>4</v>
      </c>
      <c r="G1152" s="30" t="s">
        <v>39</v>
      </c>
      <c r="H1152" s="27" t="s">
        <v>71</v>
      </c>
      <c r="I1152" s="27" t="s">
        <v>41</v>
      </c>
      <c r="J1152" s="27" t="s">
        <v>42</v>
      </c>
      <c r="K1152" s="27" t="s">
        <v>73</v>
      </c>
      <c r="L1152" s="31" t="s">
        <v>2162</v>
      </c>
      <c r="M1152" s="32">
        <v>0.74</v>
      </c>
      <c r="N1152" s="27" t="s">
        <v>33</v>
      </c>
      <c r="O1152" s="27" t="s">
        <v>53</v>
      </c>
      <c r="P1152" s="27" t="s">
        <v>357</v>
      </c>
      <c r="Q1152" s="27" t="s">
        <v>2163</v>
      </c>
      <c r="R1152" s="33">
        <v>53151</v>
      </c>
      <c r="S1152" s="34">
        <v>42107</v>
      </c>
      <c r="T1152" s="34">
        <v>42109</v>
      </c>
      <c r="U1152" s="29">
        <v>17.102799999999998</v>
      </c>
      <c r="V1152" s="26">
        <v>17</v>
      </c>
      <c r="W1152" s="29">
        <v>523.05999999999995</v>
      </c>
      <c r="X1152" s="26">
        <v>87186</v>
      </c>
      <c r="Y1152" s="35">
        <v>12.149999999999999</v>
      </c>
      <c r="Z1152" s="1" t="s">
        <v>3012</v>
      </c>
      <c r="AA1152" s="36">
        <v>5.2648999999999999</v>
      </c>
      <c r="AB1152" s="54">
        <v>135.9956</v>
      </c>
      <c r="AC1152" s="54">
        <v>22.768494117647055</v>
      </c>
      <c r="AD1152" s="36">
        <v>496.69229999999993</v>
      </c>
    </row>
    <row r="1153" spans="1:30" s="37" customFormat="1" ht="15.75" customHeight="1" x14ac:dyDescent="0.2">
      <c r="A1153" s="26">
        <v>2738</v>
      </c>
      <c r="B1153" s="27" t="s">
        <v>2157</v>
      </c>
      <c r="C1153" s="27" t="s">
        <v>26</v>
      </c>
      <c r="D1153" s="28">
        <v>0.02</v>
      </c>
      <c r="E1153" s="29">
        <v>33.979999999999997</v>
      </c>
      <c r="F1153" s="29">
        <v>1.99</v>
      </c>
      <c r="G1153" s="30" t="s">
        <v>39</v>
      </c>
      <c r="H1153" s="27" t="s">
        <v>3095</v>
      </c>
      <c r="I1153" s="27" t="s">
        <v>41</v>
      </c>
      <c r="J1153" s="27" t="s">
        <v>42</v>
      </c>
      <c r="K1153" s="27" t="s">
        <v>43</v>
      </c>
      <c r="L1153" s="31" t="s">
        <v>2158</v>
      </c>
      <c r="M1153" s="32">
        <v>0.45</v>
      </c>
      <c r="N1153" s="27" t="s">
        <v>33</v>
      </c>
      <c r="O1153" s="27" t="s">
        <v>111</v>
      </c>
      <c r="P1153" s="27" t="s">
        <v>633</v>
      </c>
      <c r="Q1153" s="27" t="s">
        <v>634</v>
      </c>
      <c r="R1153" s="33">
        <v>5403</v>
      </c>
      <c r="S1153" s="34">
        <v>42107</v>
      </c>
      <c r="T1153" s="34">
        <v>42109</v>
      </c>
      <c r="U1153" s="29">
        <v>164.06129999999999</v>
      </c>
      <c r="V1153" s="26">
        <v>7</v>
      </c>
      <c r="W1153" s="29">
        <v>237.77</v>
      </c>
      <c r="X1153" s="26">
        <v>89017</v>
      </c>
      <c r="Y1153" s="35">
        <v>33.959999999999994</v>
      </c>
      <c r="Z1153" s="1" t="s">
        <v>3014</v>
      </c>
      <c r="AA1153" s="36">
        <v>4.7572000000000001</v>
      </c>
      <c r="AB1153" s="54">
        <v>130.77350000000001</v>
      </c>
      <c r="AC1153" s="54">
        <v>15.285214285714288</v>
      </c>
      <c r="AD1153" s="36">
        <v>66.961500000000001</v>
      </c>
    </row>
    <row r="1154" spans="1:30" s="37" customFormat="1" ht="15.75" customHeight="1" x14ac:dyDescent="0.2">
      <c r="A1154" s="26">
        <v>1561</v>
      </c>
      <c r="B1154" s="27" t="s">
        <v>1452</v>
      </c>
      <c r="C1154" s="27" t="s">
        <v>26</v>
      </c>
      <c r="D1154" s="28">
        <v>0.05</v>
      </c>
      <c r="E1154" s="29">
        <v>12.2</v>
      </c>
      <c r="F1154" s="29">
        <v>6.02</v>
      </c>
      <c r="G1154" s="30" t="s">
        <v>39</v>
      </c>
      <c r="H1154" s="27" t="s">
        <v>94</v>
      </c>
      <c r="I1154" s="27" t="s">
        <v>29</v>
      </c>
      <c r="J1154" s="27" t="s">
        <v>126</v>
      </c>
      <c r="K1154" s="27" t="s">
        <v>43</v>
      </c>
      <c r="L1154" s="31" t="s">
        <v>2156</v>
      </c>
      <c r="M1154" s="32">
        <v>0.43</v>
      </c>
      <c r="N1154" s="27" t="s">
        <v>33</v>
      </c>
      <c r="O1154" s="27" t="s">
        <v>53</v>
      </c>
      <c r="P1154" s="27" t="s">
        <v>187</v>
      </c>
      <c r="Q1154" s="27" t="s">
        <v>1454</v>
      </c>
      <c r="R1154" s="33">
        <v>76063</v>
      </c>
      <c r="S1154" s="34">
        <v>42107</v>
      </c>
      <c r="T1154" s="34">
        <v>42108</v>
      </c>
      <c r="U1154" s="29">
        <v>-6.6420000000000003</v>
      </c>
      <c r="V1154" s="26">
        <v>5</v>
      </c>
      <c r="W1154" s="29">
        <v>63.93</v>
      </c>
      <c r="X1154" s="26">
        <v>88094</v>
      </c>
      <c r="Y1154" s="35">
        <v>7.2</v>
      </c>
      <c r="Z1154" s="1" t="s">
        <v>3012</v>
      </c>
      <c r="AA1154" s="36">
        <v>3.05</v>
      </c>
      <c r="AB1154" s="54">
        <v>36.440100000000001</v>
      </c>
      <c r="AC1154" s="54">
        <v>5.4979800000000001</v>
      </c>
      <c r="AD1154" s="36">
        <v>61.502000000000002</v>
      </c>
    </row>
    <row r="1155" spans="1:30" s="37" customFormat="1" ht="15.75" customHeight="1" x14ac:dyDescent="0.2">
      <c r="A1155" s="26">
        <v>2250</v>
      </c>
      <c r="B1155" s="27" t="s">
        <v>2164</v>
      </c>
      <c r="C1155" s="27" t="s">
        <v>48</v>
      </c>
      <c r="D1155" s="28">
        <v>0</v>
      </c>
      <c r="E1155" s="29">
        <v>2.08</v>
      </c>
      <c r="F1155" s="29">
        <v>5.33</v>
      </c>
      <c r="G1155" s="30" t="s">
        <v>39</v>
      </c>
      <c r="H1155" s="27" t="s">
        <v>71</v>
      </c>
      <c r="I1155" s="27" t="s">
        <v>29</v>
      </c>
      <c r="J1155" s="27" t="s">
        <v>126</v>
      </c>
      <c r="K1155" s="27" t="s">
        <v>73</v>
      </c>
      <c r="L1155" s="31" t="s">
        <v>459</v>
      </c>
      <c r="M1155" s="32">
        <v>0.43</v>
      </c>
      <c r="N1155" s="27" t="s">
        <v>33</v>
      </c>
      <c r="O1155" s="27" t="s">
        <v>111</v>
      </c>
      <c r="P1155" s="27" t="s">
        <v>320</v>
      </c>
      <c r="Q1155" s="27" t="s">
        <v>2165</v>
      </c>
      <c r="R1155" s="33">
        <v>16801</v>
      </c>
      <c r="S1155" s="34">
        <v>42107</v>
      </c>
      <c r="T1155" s="34">
        <v>42114</v>
      </c>
      <c r="U1155" s="29">
        <v>-192.5532</v>
      </c>
      <c r="V1155" s="26">
        <v>22</v>
      </c>
      <c r="W1155" s="29">
        <v>51.41</v>
      </c>
      <c r="X1155" s="26">
        <v>86699</v>
      </c>
      <c r="Y1155" s="35">
        <v>30.959999999999997</v>
      </c>
      <c r="Z1155" s="1" t="s">
        <v>3014</v>
      </c>
      <c r="AA1155" s="36">
        <v>0</v>
      </c>
      <c r="AB1155" s="54">
        <v>29.303700000000003</v>
      </c>
      <c r="AC1155" s="54">
        <v>1.0048318181818181</v>
      </c>
      <c r="AD1155" s="36">
        <v>238.63319999999999</v>
      </c>
    </row>
    <row r="1156" spans="1:30" s="37" customFormat="1" ht="15.75" customHeight="1" x14ac:dyDescent="0.2">
      <c r="A1156" s="26">
        <v>3169</v>
      </c>
      <c r="B1156" s="27" t="s">
        <v>2159</v>
      </c>
      <c r="C1156" s="27" t="s">
        <v>26</v>
      </c>
      <c r="D1156" s="28">
        <v>0.08</v>
      </c>
      <c r="E1156" s="29">
        <v>7.28</v>
      </c>
      <c r="F1156" s="29">
        <v>11.15</v>
      </c>
      <c r="G1156" s="30" t="s">
        <v>87</v>
      </c>
      <c r="H1156" s="27" t="s">
        <v>3095</v>
      </c>
      <c r="I1156" s="27" t="s">
        <v>49</v>
      </c>
      <c r="J1156" s="27" t="s">
        <v>88</v>
      </c>
      <c r="K1156" s="27" t="s">
        <v>73</v>
      </c>
      <c r="L1156" s="31" t="s">
        <v>975</v>
      </c>
      <c r="M1156" s="32">
        <v>0.37</v>
      </c>
      <c r="N1156" s="27" t="s">
        <v>33</v>
      </c>
      <c r="O1156" s="27" t="s">
        <v>34</v>
      </c>
      <c r="P1156" s="27" t="s">
        <v>123</v>
      </c>
      <c r="Q1156" s="27" t="s">
        <v>2160</v>
      </c>
      <c r="R1156" s="33">
        <v>32127</v>
      </c>
      <c r="S1156" s="34">
        <v>42107</v>
      </c>
      <c r="T1156" s="34">
        <v>42108</v>
      </c>
      <c r="U1156" s="29">
        <v>-44.414999999999999</v>
      </c>
      <c r="V1156" s="26">
        <v>1</v>
      </c>
      <c r="W1156" s="29">
        <v>14.66</v>
      </c>
      <c r="X1156" s="26">
        <v>86490</v>
      </c>
      <c r="Y1156" s="35">
        <v>125.91</v>
      </c>
      <c r="Z1156" s="1" t="s">
        <v>3011</v>
      </c>
      <c r="AA1156" s="36">
        <v>0.58240000000000003</v>
      </c>
      <c r="AB1156" s="54">
        <v>9.2357999999999993</v>
      </c>
      <c r="AC1156" s="54">
        <v>5.4241999999999999</v>
      </c>
      <c r="AD1156" s="36">
        <v>47.342600000000004</v>
      </c>
    </row>
    <row r="1157" spans="1:30" s="37" customFormat="1" ht="15.75" customHeight="1" x14ac:dyDescent="0.2">
      <c r="A1157" s="26">
        <v>171</v>
      </c>
      <c r="B1157" s="27" t="s">
        <v>2155</v>
      </c>
      <c r="C1157" s="27" t="s">
        <v>26</v>
      </c>
      <c r="D1157" s="28">
        <v>0.05</v>
      </c>
      <c r="E1157" s="29">
        <v>1.88</v>
      </c>
      <c r="F1157" s="29">
        <v>1.49</v>
      </c>
      <c r="G1157" s="30" t="s">
        <v>39</v>
      </c>
      <c r="H1157" s="27" t="s">
        <v>94</v>
      </c>
      <c r="I1157" s="27" t="s">
        <v>49</v>
      </c>
      <c r="J1157" s="27" t="s">
        <v>72</v>
      </c>
      <c r="K1157" s="27" t="s">
        <v>73</v>
      </c>
      <c r="L1157" s="31" t="s">
        <v>613</v>
      </c>
      <c r="M1157" s="32">
        <v>0.37</v>
      </c>
      <c r="N1157" s="27" t="s">
        <v>33</v>
      </c>
      <c r="O1157" s="27" t="s">
        <v>111</v>
      </c>
      <c r="P1157" s="27" t="s">
        <v>397</v>
      </c>
      <c r="Q1157" s="27" t="s">
        <v>805</v>
      </c>
      <c r="R1157" s="33">
        <v>7024</v>
      </c>
      <c r="S1157" s="34">
        <v>42107</v>
      </c>
      <c r="T1157" s="34">
        <v>42109</v>
      </c>
      <c r="U1157" s="29">
        <v>-2.9095</v>
      </c>
      <c r="V1157" s="26">
        <v>1</v>
      </c>
      <c r="W1157" s="29">
        <v>3.42</v>
      </c>
      <c r="X1157" s="26">
        <v>87464</v>
      </c>
      <c r="Y1157" s="35">
        <v>2.08</v>
      </c>
      <c r="Z1157" s="1" t="s">
        <v>3014</v>
      </c>
      <c r="AA1157" s="36">
        <v>9.4E-2</v>
      </c>
      <c r="AB1157" s="54">
        <v>2.1545999999999998</v>
      </c>
      <c r="AC1157" s="54">
        <v>1.2653999999999999</v>
      </c>
      <c r="AD1157" s="36">
        <v>4.7454999999999998</v>
      </c>
    </row>
    <row r="1158" spans="1:30" s="37" customFormat="1" ht="15.75" customHeight="1" x14ac:dyDescent="0.2">
      <c r="A1158" s="26">
        <v>329</v>
      </c>
      <c r="B1158" s="27" t="s">
        <v>2168</v>
      </c>
      <c r="C1158" s="27" t="s">
        <v>116</v>
      </c>
      <c r="D1158" s="28">
        <v>0.06</v>
      </c>
      <c r="E1158" s="29">
        <v>296.18</v>
      </c>
      <c r="F1158" s="29">
        <v>54.12</v>
      </c>
      <c r="G1158" s="30" t="s">
        <v>27</v>
      </c>
      <c r="H1158" s="27" t="s">
        <v>71</v>
      </c>
      <c r="I1158" s="27" t="s">
        <v>29</v>
      </c>
      <c r="J1158" s="27" t="s">
        <v>30</v>
      </c>
      <c r="K1158" s="27" t="s">
        <v>31</v>
      </c>
      <c r="L1158" s="31" t="s">
        <v>1079</v>
      </c>
      <c r="M1158" s="32">
        <v>0.76</v>
      </c>
      <c r="N1158" s="27" t="s">
        <v>33</v>
      </c>
      <c r="O1158" s="27" t="s">
        <v>111</v>
      </c>
      <c r="P1158" s="27" t="s">
        <v>331</v>
      </c>
      <c r="Q1158" s="27" t="s">
        <v>332</v>
      </c>
      <c r="R1158" s="33">
        <v>4073</v>
      </c>
      <c r="S1158" s="34">
        <v>42108</v>
      </c>
      <c r="T1158" s="34">
        <v>42109</v>
      </c>
      <c r="U1158" s="29">
        <v>-715.77820599999995</v>
      </c>
      <c r="V1158" s="26">
        <v>5</v>
      </c>
      <c r="W1158" s="29">
        <v>1170.21</v>
      </c>
      <c r="X1158" s="26">
        <v>89726</v>
      </c>
      <c r="Y1158" s="35">
        <v>100.89</v>
      </c>
      <c r="Z1158" s="1" t="s">
        <v>3014</v>
      </c>
      <c r="AA1158" s="36">
        <v>88.854000000000013</v>
      </c>
      <c r="AB1158" s="54">
        <v>280.85039999999998</v>
      </c>
      <c r="AC1158" s="54">
        <v>177.87192000000002</v>
      </c>
      <c r="AD1158" s="36">
        <v>1743.0142059999998</v>
      </c>
    </row>
    <row r="1159" spans="1:30" s="37" customFormat="1" ht="15.75" customHeight="1" x14ac:dyDescent="0.2">
      <c r="A1159" s="26">
        <v>940</v>
      </c>
      <c r="B1159" s="27" t="s">
        <v>2166</v>
      </c>
      <c r="C1159" s="27" t="s">
        <v>48</v>
      </c>
      <c r="D1159" s="28">
        <v>0.09</v>
      </c>
      <c r="E1159" s="29">
        <v>100.98</v>
      </c>
      <c r="F1159" s="29">
        <v>35.840000000000003</v>
      </c>
      <c r="G1159" s="30" t="s">
        <v>27</v>
      </c>
      <c r="H1159" s="27" t="s">
        <v>71</v>
      </c>
      <c r="I1159" s="27" t="s">
        <v>29</v>
      </c>
      <c r="J1159" s="27" t="s">
        <v>117</v>
      </c>
      <c r="K1159" s="27" t="s">
        <v>31</v>
      </c>
      <c r="L1159" s="31" t="s">
        <v>118</v>
      </c>
      <c r="M1159" s="32">
        <v>0.62</v>
      </c>
      <c r="N1159" s="27" t="s">
        <v>33</v>
      </c>
      <c r="O1159" s="27" t="s">
        <v>111</v>
      </c>
      <c r="P1159" s="27" t="s">
        <v>248</v>
      </c>
      <c r="Q1159" s="27" t="s">
        <v>2167</v>
      </c>
      <c r="R1159" s="33">
        <v>6776</v>
      </c>
      <c r="S1159" s="34">
        <v>42108</v>
      </c>
      <c r="T1159" s="34">
        <v>42113</v>
      </c>
      <c r="U1159" s="29">
        <v>-193.58</v>
      </c>
      <c r="V1159" s="26">
        <v>4</v>
      </c>
      <c r="W1159" s="29">
        <v>396.19</v>
      </c>
      <c r="X1159" s="26">
        <v>90844</v>
      </c>
      <c r="Y1159" s="35">
        <v>296.12</v>
      </c>
      <c r="Z1159" s="1" t="s">
        <v>3014</v>
      </c>
      <c r="AA1159" s="36">
        <v>36.352800000000002</v>
      </c>
      <c r="AB1159" s="54">
        <v>150.5522</v>
      </c>
      <c r="AC1159" s="54">
        <v>61.40945</v>
      </c>
      <c r="AD1159" s="36">
        <v>517.57719999999995</v>
      </c>
    </row>
    <row r="1160" spans="1:30" s="37" customFormat="1" ht="15.75" customHeight="1" x14ac:dyDescent="0.2">
      <c r="A1160" s="26">
        <v>331</v>
      </c>
      <c r="B1160" s="27" t="s">
        <v>2169</v>
      </c>
      <c r="C1160" s="27" t="s">
        <v>116</v>
      </c>
      <c r="D1160" s="28">
        <v>0.01</v>
      </c>
      <c r="E1160" s="29">
        <v>29.1</v>
      </c>
      <c r="F1160" s="29">
        <v>4</v>
      </c>
      <c r="G1160" s="30" t="s">
        <v>87</v>
      </c>
      <c r="H1160" s="27" t="s">
        <v>71</v>
      </c>
      <c r="I1160" s="27" t="s">
        <v>41</v>
      </c>
      <c r="J1160" s="27" t="s">
        <v>42</v>
      </c>
      <c r="K1160" s="27" t="s">
        <v>73</v>
      </c>
      <c r="L1160" s="31" t="s">
        <v>2170</v>
      </c>
      <c r="M1160" s="32">
        <v>0.78</v>
      </c>
      <c r="N1160" s="27" t="s">
        <v>33</v>
      </c>
      <c r="O1160" s="27" t="s">
        <v>111</v>
      </c>
      <c r="P1160" s="27" t="s">
        <v>1356</v>
      </c>
      <c r="Q1160" s="27" t="s">
        <v>2171</v>
      </c>
      <c r="R1160" s="33">
        <v>3045</v>
      </c>
      <c r="S1160" s="34">
        <v>42108</v>
      </c>
      <c r="T1160" s="34">
        <v>42110</v>
      </c>
      <c r="U1160" s="29">
        <v>-22.82</v>
      </c>
      <c r="V1160" s="26">
        <v>8</v>
      </c>
      <c r="W1160" s="29">
        <v>243.32</v>
      </c>
      <c r="X1160" s="26">
        <v>89726</v>
      </c>
      <c r="Y1160" s="35">
        <v>29.09</v>
      </c>
      <c r="Z1160" s="1" t="s">
        <v>3014</v>
      </c>
      <c r="AA1160" s="36">
        <v>2.3280000000000003</v>
      </c>
      <c r="AB1160" s="54">
        <v>53.530399999999993</v>
      </c>
      <c r="AC1160" s="54">
        <v>23.723700000000001</v>
      </c>
      <c r="AD1160" s="36">
        <v>259.81200000000001</v>
      </c>
    </row>
    <row r="1161" spans="1:30" s="37" customFormat="1" ht="15.75" customHeight="1" x14ac:dyDescent="0.2">
      <c r="A1161" s="26">
        <v>1821</v>
      </c>
      <c r="B1161" s="27" t="s">
        <v>998</v>
      </c>
      <c r="C1161" s="27" t="s">
        <v>3094</v>
      </c>
      <c r="D1161" s="28">
        <v>0.08</v>
      </c>
      <c r="E1161" s="29">
        <v>175.99</v>
      </c>
      <c r="F1161" s="29">
        <v>8.99</v>
      </c>
      <c r="G1161" s="30" t="s">
        <v>87</v>
      </c>
      <c r="H1161" s="27" t="s">
        <v>40</v>
      </c>
      <c r="I1161" s="27" t="s">
        <v>41</v>
      </c>
      <c r="J1161" s="27" t="s">
        <v>135</v>
      </c>
      <c r="K1161" s="27" t="s">
        <v>73</v>
      </c>
      <c r="L1161" s="31" t="s">
        <v>1179</v>
      </c>
      <c r="M1161" s="32">
        <v>0.56999999999999995</v>
      </c>
      <c r="N1161" s="27" t="s">
        <v>33</v>
      </c>
      <c r="O1161" s="27" t="s">
        <v>111</v>
      </c>
      <c r="P1161" s="27" t="s">
        <v>112</v>
      </c>
      <c r="Q1161" s="27" t="s">
        <v>113</v>
      </c>
      <c r="R1161" s="33">
        <v>10177</v>
      </c>
      <c r="S1161" s="34">
        <v>42109</v>
      </c>
      <c r="T1161" s="34">
        <v>42110</v>
      </c>
      <c r="U1161" s="29">
        <v>-459.08280000000002</v>
      </c>
      <c r="V1161" s="26">
        <v>16</v>
      </c>
      <c r="W1161" s="29">
        <v>2290.69</v>
      </c>
      <c r="X1161" s="26">
        <v>47108</v>
      </c>
      <c r="Y1161" s="35">
        <v>226.57</v>
      </c>
      <c r="Z1161" s="1" t="s">
        <v>3014</v>
      </c>
      <c r="AA1161" s="36">
        <v>225.2672</v>
      </c>
      <c r="AB1161" s="54">
        <v>984.99670000000015</v>
      </c>
      <c r="AC1161" s="54">
        <v>81.605831249999994</v>
      </c>
      <c r="AD1161" s="36">
        <v>2515.5156000000002</v>
      </c>
    </row>
    <row r="1162" spans="1:30" s="37" customFormat="1" ht="15.75" customHeight="1" x14ac:dyDescent="0.2">
      <c r="A1162" s="26">
        <v>1559</v>
      </c>
      <c r="B1162" s="27" t="s">
        <v>2172</v>
      </c>
      <c r="C1162" s="27" t="s">
        <v>26</v>
      </c>
      <c r="D1162" s="28">
        <v>0.1</v>
      </c>
      <c r="E1162" s="29">
        <v>226.67</v>
      </c>
      <c r="F1162" s="29">
        <v>28.16</v>
      </c>
      <c r="G1162" s="30" t="s">
        <v>27</v>
      </c>
      <c r="H1162" s="27" t="s">
        <v>40</v>
      </c>
      <c r="I1162" s="27" t="s">
        <v>29</v>
      </c>
      <c r="J1162" s="27" t="s">
        <v>109</v>
      </c>
      <c r="K1162" s="27" t="s">
        <v>58</v>
      </c>
      <c r="L1162" s="31" t="s">
        <v>1376</v>
      </c>
      <c r="M1162" s="32">
        <v>0.59</v>
      </c>
      <c r="N1162" s="27" t="s">
        <v>33</v>
      </c>
      <c r="O1162" s="27" t="s">
        <v>34</v>
      </c>
      <c r="P1162" s="27" t="s">
        <v>242</v>
      </c>
      <c r="Q1162" s="27" t="s">
        <v>2173</v>
      </c>
      <c r="R1162" s="33">
        <v>24060</v>
      </c>
      <c r="S1162" s="34">
        <v>42109</v>
      </c>
      <c r="T1162" s="34">
        <v>42111</v>
      </c>
      <c r="U1162" s="29">
        <v>-390.76799999999997</v>
      </c>
      <c r="V1162" s="26">
        <v>5</v>
      </c>
      <c r="W1162" s="29">
        <v>1088.26</v>
      </c>
      <c r="X1162" s="26">
        <v>87424</v>
      </c>
      <c r="Y1162" s="35">
        <v>25.97</v>
      </c>
      <c r="Z1162" s="1" t="s">
        <v>3011</v>
      </c>
      <c r="AA1162" s="36">
        <v>113.33500000000001</v>
      </c>
      <c r="AB1162" s="54">
        <v>446.18660000000006</v>
      </c>
      <c r="AC1162" s="54">
        <v>128.41467999999998</v>
      </c>
      <c r="AD1162" s="36">
        <v>1337.5329999999999</v>
      </c>
    </row>
    <row r="1163" spans="1:30" s="37" customFormat="1" ht="15.75" customHeight="1" x14ac:dyDescent="0.2">
      <c r="A1163" s="26">
        <v>568</v>
      </c>
      <c r="B1163" s="27" t="s">
        <v>1482</v>
      </c>
      <c r="C1163" s="27" t="s">
        <v>3094</v>
      </c>
      <c r="D1163" s="28">
        <v>0.09</v>
      </c>
      <c r="E1163" s="29">
        <v>70.97</v>
      </c>
      <c r="F1163" s="29">
        <v>3.5</v>
      </c>
      <c r="G1163" s="30" t="s">
        <v>39</v>
      </c>
      <c r="H1163" s="27" t="s">
        <v>40</v>
      </c>
      <c r="I1163" s="27" t="s">
        <v>49</v>
      </c>
      <c r="J1163" s="27" t="s">
        <v>95</v>
      </c>
      <c r="K1163" s="27" t="s">
        <v>73</v>
      </c>
      <c r="L1163" s="31" t="s">
        <v>2177</v>
      </c>
      <c r="M1163" s="32">
        <v>0.59</v>
      </c>
      <c r="N1163" s="27" t="s">
        <v>33</v>
      </c>
      <c r="O1163" s="27" t="s">
        <v>34</v>
      </c>
      <c r="P1163" s="27" t="s">
        <v>35</v>
      </c>
      <c r="Q1163" s="27" t="s">
        <v>1483</v>
      </c>
      <c r="R1163" s="33">
        <v>39701</v>
      </c>
      <c r="S1163" s="34">
        <v>42109</v>
      </c>
      <c r="T1163" s="34">
        <v>42109</v>
      </c>
      <c r="U1163" s="29">
        <v>-99.567999999999998</v>
      </c>
      <c r="V1163" s="26">
        <v>12</v>
      </c>
      <c r="W1163" s="29">
        <v>805.99</v>
      </c>
      <c r="X1163" s="26">
        <v>88880</v>
      </c>
      <c r="Y1163" s="35">
        <v>4.9700000000000006</v>
      </c>
      <c r="Z1163" s="1" t="s">
        <v>3011</v>
      </c>
      <c r="AA1163" s="36">
        <v>76.647599999999997</v>
      </c>
      <c r="AB1163" s="54">
        <v>330.45590000000004</v>
      </c>
      <c r="AC1163" s="54">
        <v>39.627841666666669</v>
      </c>
      <c r="AD1163" s="36">
        <v>825.41039999999998</v>
      </c>
    </row>
    <row r="1164" spans="1:30" s="37" customFormat="1" ht="15.75" customHeight="1" x14ac:dyDescent="0.2">
      <c r="A1164" s="26">
        <v>1821</v>
      </c>
      <c r="B1164" s="27" t="s">
        <v>998</v>
      </c>
      <c r="C1164" s="27" t="s">
        <v>3094</v>
      </c>
      <c r="D1164" s="28">
        <v>7.0000000000000007E-2</v>
      </c>
      <c r="E1164" s="29">
        <v>18.649999999999999</v>
      </c>
      <c r="F1164" s="29">
        <v>3.77</v>
      </c>
      <c r="G1164" s="30" t="s">
        <v>39</v>
      </c>
      <c r="H1164" s="27" t="s">
        <v>40</v>
      </c>
      <c r="I1164" s="27" t="s">
        <v>29</v>
      </c>
      <c r="J1164" s="27" t="s">
        <v>126</v>
      </c>
      <c r="K1164" s="27" t="s">
        <v>43</v>
      </c>
      <c r="L1164" s="31" t="s">
        <v>2181</v>
      </c>
      <c r="M1164" s="32">
        <v>0.39</v>
      </c>
      <c r="N1164" s="27" t="s">
        <v>33</v>
      </c>
      <c r="O1164" s="27" t="s">
        <v>111</v>
      </c>
      <c r="P1164" s="27" t="s">
        <v>112</v>
      </c>
      <c r="Q1164" s="27" t="s">
        <v>113</v>
      </c>
      <c r="R1164" s="33">
        <v>10177</v>
      </c>
      <c r="S1164" s="34">
        <v>42109</v>
      </c>
      <c r="T1164" s="34">
        <v>42110</v>
      </c>
      <c r="U1164" s="29">
        <v>149.72</v>
      </c>
      <c r="V1164" s="26">
        <v>34</v>
      </c>
      <c r="W1164" s="29">
        <v>643.64</v>
      </c>
      <c r="X1164" s="26">
        <v>47108</v>
      </c>
      <c r="Y1164" s="35">
        <v>4.9700000000000006</v>
      </c>
      <c r="Z1164" s="1" t="s">
        <v>3014</v>
      </c>
      <c r="AA1164" s="36">
        <v>44.387</v>
      </c>
      <c r="AB1164" s="54">
        <v>392.62039999999996</v>
      </c>
      <c r="AC1164" s="54">
        <v>7.3829294117647057</v>
      </c>
      <c r="AD1164" s="36">
        <v>445.76299999999998</v>
      </c>
    </row>
    <row r="1165" spans="1:30" s="37" customFormat="1" ht="15.75" customHeight="1" x14ac:dyDescent="0.2">
      <c r="A1165" s="26">
        <v>1821</v>
      </c>
      <c r="B1165" s="27" t="s">
        <v>998</v>
      </c>
      <c r="C1165" s="27" t="s">
        <v>3094</v>
      </c>
      <c r="D1165" s="28">
        <v>0.1</v>
      </c>
      <c r="E1165" s="29">
        <v>9.99</v>
      </c>
      <c r="F1165" s="29">
        <v>4.78</v>
      </c>
      <c r="G1165" s="30" t="s">
        <v>87</v>
      </c>
      <c r="H1165" s="27" t="s">
        <v>40</v>
      </c>
      <c r="I1165" s="27" t="s">
        <v>49</v>
      </c>
      <c r="J1165" s="27" t="s">
        <v>88</v>
      </c>
      <c r="K1165" s="27" t="s">
        <v>73</v>
      </c>
      <c r="L1165" s="31" t="s">
        <v>1519</v>
      </c>
      <c r="M1165" s="32">
        <v>0.4</v>
      </c>
      <c r="N1165" s="27" t="s">
        <v>33</v>
      </c>
      <c r="O1165" s="27" t="s">
        <v>111</v>
      </c>
      <c r="P1165" s="27" t="s">
        <v>112</v>
      </c>
      <c r="Q1165" s="27" t="s">
        <v>113</v>
      </c>
      <c r="R1165" s="33">
        <v>10177</v>
      </c>
      <c r="S1165" s="34">
        <v>42109</v>
      </c>
      <c r="T1165" s="34">
        <v>42112</v>
      </c>
      <c r="U1165" s="29">
        <v>7.96</v>
      </c>
      <c r="V1165" s="26">
        <v>47</v>
      </c>
      <c r="W1165" s="29">
        <v>466.58</v>
      </c>
      <c r="X1165" s="26">
        <v>47108</v>
      </c>
      <c r="Y1165" s="35">
        <v>5.66</v>
      </c>
      <c r="Z1165" s="1" t="s">
        <v>3014</v>
      </c>
      <c r="AA1165" s="36">
        <v>46.953000000000003</v>
      </c>
      <c r="AB1165" s="54">
        <v>279.94799999999998</v>
      </c>
      <c r="AC1165" s="54">
        <v>3.970893617021277</v>
      </c>
      <c r="AD1165" s="36">
        <v>406.887</v>
      </c>
    </row>
    <row r="1166" spans="1:30" s="37" customFormat="1" ht="15.75" customHeight="1" x14ac:dyDescent="0.2">
      <c r="A1166" s="26">
        <v>553</v>
      </c>
      <c r="B1166" s="27" t="s">
        <v>851</v>
      </c>
      <c r="C1166" s="27" t="s">
        <v>48</v>
      </c>
      <c r="D1166" s="28">
        <v>0.01</v>
      </c>
      <c r="E1166" s="29">
        <v>4.9800000000000004</v>
      </c>
      <c r="F1166" s="29">
        <v>7.44</v>
      </c>
      <c r="G1166" s="30" t="s">
        <v>39</v>
      </c>
      <c r="H1166" s="27" t="s">
        <v>94</v>
      </c>
      <c r="I1166" s="27" t="s">
        <v>49</v>
      </c>
      <c r="J1166" s="27" t="s">
        <v>88</v>
      </c>
      <c r="K1166" s="27" t="s">
        <v>73</v>
      </c>
      <c r="L1166" s="31" t="s">
        <v>2174</v>
      </c>
      <c r="M1166" s="32">
        <v>0.36</v>
      </c>
      <c r="N1166" s="27" t="s">
        <v>33</v>
      </c>
      <c r="O1166" s="27" t="s">
        <v>60</v>
      </c>
      <c r="P1166" s="27" t="s">
        <v>90</v>
      </c>
      <c r="Q1166" s="27" t="s">
        <v>100</v>
      </c>
      <c r="R1166" s="33">
        <v>90008</v>
      </c>
      <c r="S1166" s="34">
        <v>42109</v>
      </c>
      <c r="T1166" s="34">
        <v>42118</v>
      </c>
      <c r="U1166" s="29">
        <v>-179.59200000000001</v>
      </c>
      <c r="V1166" s="26">
        <v>63</v>
      </c>
      <c r="W1166" s="29">
        <v>330.21</v>
      </c>
      <c r="X1166" s="26">
        <v>8165</v>
      </c>
      <c r="Y1166" s="35">
        <v>70.88</v>
      </c>
      <c r="Z1166" s="1" t="s">
        <v>3013</v>
      </c>
      <c r="AA1166" s="36">
        <v>3.1374000000000004</v>
      </c>
      <c r="AB1166" s="54">
        <v>211.33439999999999</v>
      </c>
      <c r="AC1166" s="54">
        <v>1.8869142857142855</v>
      </c>
      <c r="AD1166" s="36">
        <v>499.22460000000001</v>
      </c>
    </row>
    <row r="1167" spans="1:30" s="37" customFormat="1" ht="15.75" customHeight="1" x14ac:dyDescent="0.2">
      <c r="A1167" s="26">
        <v>1821</v>
      </c>
      <c r="B1167" s="27" t="s">
        <v>998</v>
      </c>
      <c r="C1167" s="27" t="s">
        <v>3094</v>
      </c>
      <c r="D1167" s="28">
        <v>0.06</v>
      </c>
      <c r="E1167" s="29">
        <v>17.98</v>
      </c>
      <c r="F1167" s="29">
        <v>8.51</v>
      </c>
      <c r="G1167" s="30" t="s">
        <v>39</v>
      </c>
      <c r="H1167" s="27" t="s">
        <v>40</v>
      </c>
      <c r="I1167" s="27" t="s">
        <v>41</v>
      </c>
      <c r="J1167" s="27" t="s">
        <v>57</v>
      </c>
      <c r="K1167" s="27" t="s">
        <v>144</v>
      </c>
      <c r="L1167" s="31" t="s">
        <v>1880</v>
      </c>
      <c r="M1167" s="32">
        <v>0.4</v>
      </c>
      <c r="N1167" s="27" t="s">
        <v>33</v>
      </c>
      <c r="O1167" s="27" t="s">
        <v>111</v>
      </c>
      <c r="P1167" s="27" t="s">
        <v>112</v>
      </c>
      <c r="Q1167" s="27" t="s">
        <v>113</v>
      </c>
      <c r="R1167" s="33">
        <v>10177</v>
      </c>
      <c r="S1167" s="34">
        <v>42109</v>
      </c>
      <c r="T1167" s="34">
        <v>42111</v>
      </c>
      <c r="U1167" s="29">
        <v>-52.492319999999999</v>
      </c>
      <c r="V1167" s="26">
        <v>13</v>
      </c>
      <c r="W1167" s="29">
        <v>244.31</v>
      </c>
      <c r="X1167" s="26">
        <v>47108</v>
      </c>
      <c r="Y1167" s="35">
        <v>15.15</v>
      </c>
      <c r="Z1167" s="1" t="s">
        <v>3014</v>
      </c>
      <c r="AA1167" s="36">
        <v>14.0244</v>
      </c>
      <c r="AB1167" s="54">
        <v>146.58599999999998</v>
      </c>
      <c r="AC1167" s="54">
        <v>7.5172307692307703</v>
      </c>
      <c r="AD1167" s="36">
        <v>274.26792</v>
      </c>
    </row>
    <row r="1168" spans="1:30" s="37" customFormat="1" ht="15.75" customHeight="1" x14ac:dyDescent="0.2">
      <c r="A1168" s="26">
        <v>1632</v>
      </c>
      <c r="B1168" s="27" t="s">
        <v>521</v>
      </c>
      <c r="C1168" s="27" t="s">
        <v>38</v>
      </c>
      <c r="D1168" s="28">
        <v>0.02</v>
      </c>
      <c r="E1168" s="29">
        <v>25.99</v>
      </c>
      <c r="F1168" s="29">
        <v>5.37</v>
      </c>
      <c r="G1168" s="30" t="s">
        <v>39</v>
      </c>
      <c r="H1168" s="27" t="s">
        <v>71</v>
      </c>
      <c r="I1168" s="27" t="s">
        <v>49</v>
      </c>
      <c r="J1168" s="27" t="s">
        <v>50</v>
      </c>
      <c r="K1168" s="27" t="s">
        <v>73</v>
      </c>
      <c r="L1168" s="31" t="s">
        <v>1226</v>
      </c>
      <c r="M1168" s="32">
        <v>0.56000000000000005</v>
      </c>
      <c r="N1168" s="27" t="s">
        <v>33</v>
      </c>
      <c r="O1168" s="27" t="s">
        <v>34</v>
      </c>
      <c r="P1168" s="27" t="s">
        <v>35</v>
      </c>
      <c r="Q1168" s="27" t="s">
        <v>523</v>
      </c>
      <c r="R1168" s="33">
        <v>39401</v>
      </c>
      <c r="S1168" s="34">
        <v>42109</v>
      </c>
      <c r="T1168" s="34">
        <v>42111</v>
      </c>
      <c r="U1168" s="29">
        <v>-88.158000000000001</v>
      </c>
      <c r="V1168" s="26">
        <v>9</v>
      </c>
      <c r="W1168" s="29">
        <v>243.24</v>
      </c>
      <c r="X1168" s="26">
        <v>90533</v>
      </c>
      <c r="Y1168" s="35">
        <v>17.920000000000002</v>
      </c>
      <c r="Z1168" s="1" t="s">
        <v>3011</v>
      </c>
      <c r="AA1168" s="36">
        <v>4.6781999999999995</v>
      </c>
      <c r="AB1168" s="54">
        <v>107.0256</v>
      </c>
      <c r="AC1168" s="54">
        <v>15.134933333333334</v>
      </c>
      <c r="AD1168" s="36">
        <v>321.34980000000002</v>
      </c>
    </row>
    <row r="1169" spans="1:30" s="37" customFormat="1" ht="15.75" customHeight="1" x14ac:dyDescent="0.2">
      <c r="A1169" s="26">
        <v>1818</v>
      </c>
      <c r="B1169" s="27" t="s">
        <v>2179</v>
      </c>
      <c r="C1169" s="27" t="s">
        <v>3094</v>
      </c>
      <c r="D1169" s="28">
        <v>0.1</v>
      </c>
      <c r="E1169" s="29">
        <v>9.99</v>
      </c>
      <c r="F1169" s="29">
        <v>4.78</v>
      </c>
      <c r="G1169" s="30" t="s">
        <v>87</v>
      </c>
      <c r="H1169" s="27" t="s">
        <v>40</v>
      </c>
      <c r="I1169" s="27" t="s">
        <v>49</v>
      </c>
      <c r="J1169" s="27" t="s">
        <v>88</v>
      </c>
      <c r="K1169" s="27" t="s">
        <v>73</v>
      </c>
      <c r="L1169" s="31" t="s">
        <v>1519</v>
      </c>
      <c r="M1169" s="32">
        <v>0.4</v>
      </c>
      <c r="N1169" s="27" t="s">
        <v>33</v>
      </c>
      <c r="O1169" s="27" t="s">
        <v>53</v>
      </c>
      <c r="P1169" s="27" t="s">
        <v>289</v>
      </c>
      <c r="Q1169" s="27" t="s">
        <v>2180</v>
      </c>
      <c r="R1169" s="33">
        <v>48126</v>
      </c>
      <c r="S1169" s="34">
        <v>42109</v>
      </c>
      <c r="T1169" s="34">
        <v>42112</v>
      </c>
      <c r="U1169" s="29">
        <v>9.1539999999999999</v>
      </c>
      <c r="V1169" s="26">
        <v>12</v>
      </c>
      <c r="W1169" s="29">
        <v>119.13</v>
      </c>
      <c r="X1169" s="26">
        <v>85991</v>
      </c>
      <c r="Y1169" s="35">
        <v>9.89</v>
      </c>
      <c r="Z1169" s="1" t="s">
        <v>3012</v>
      </c>
      <c r="AA1169" s="36">
        <v>11.988000000000001</v>
      </c>
      <c r="AB1169" s="54">
        <v>71.477999999999994</v>
      </c>
      <c r="AC1169" s="54">
        <v>3.9710000000000001</v>
      </c>
      <c r="AD1169" s="36">
        <v>93.207999999999998</v>
      </c>
    </row>
    <row r="1170" spans="1:30" s="37" customFormat="1" ht="15.75" customHeight="1" x14ac:dyDescent="0.2">
      <c r="A1170" s="26">
        <v>1607</v>
      </c>
      <c r="B1170" s="27" t="s">
        <v>1035</v>
      </c>
      <c r="C1170" s="27" t="s">
        <v>3094</v>
      </c>
      <c r="D1170" s="28">
        <v>0.01</v>
      </c>
      <c r="E1170" s="29">
        <v>15.16</v>
      </c>
      <c r="F1170" s="29">
        <v>15.09</v>
      </c>
      <c r="G1170" s="30" t="s">
        <v>39</v>
      </c>
      <c r="H1170" s="27" t="s">
        <v>71</v>
      </c>
      <c r="I1170" s="27" t="s">
        <v>49</v>
      </c>
      <c r="J1170" s="27" t="s">
        <v>72</v>
      </c>
      <c r="K1170" s="27" t="s">
        <v>73</v>
      </c>
      <c r="L1170" s="31" t="s">
        <v>2178</v>
      </c>
      <c r="M1170" s="32">
        <v>0.39</v>
      </c>
      <c r="N1170" s="27" t="s">
        <v>33</v>
      </c>
      <c r="O1170" s="27" t="s">
        <v>111</v>
      </c>
      <c r="P1170" s="27" t="s">
        <v>112</v>
      </c>
      <c r="Q1170" s="27" t="s">
        <v>1037</v>
      </c>
      <c r="R1170" s="33">
        <v>11520</v>
      </c>
      <c r="S1170" s="34">
        <v>42109</v>
      </c>
      <c r="T1170" s="34">
        <v>42109</v>
      </c>
      <c r="U1170" s="29">
        <v>-200.85900000000001</v>
      </c>
      <c r="V1170" s="26">
        <v>7</v>
      </c>
      <c r="W1170" s="29">
        <v>110.93</v>
      </c>
      <c r="X1170" s="26">
        <v>87994</v>
      </c>
      <c r="Y1170" s="35">
        <v>18.579999999999998</v>
      </c>
      <c r="Z1170" s="1" t="s">
        <v>3014</v>
      </c>
      <c r="AA1170" s="36">
        <v>1.0612000000000001</v>
      </c>
      <c r="AB1170" s="54">
        <v>67.667299999999997</v>
      </c>
      <c r="AC1170" s="54">
        <v>6.1803857142857144</v>
      </c>
      <c r="AD1170" s="36">
        <v>295.63779999999997</v>
      </c>
    </row>
    <row r="1171" spans="1:30" s="37" customFormat="1" ht="15.75" customHeight="1" x14ac:dyDescent="0.2">
      <c r="A1171" s="26">
        <v>555</v>
      </c>
      <c r="B1171" s="27" t="s">
        <v>1300</v>
      </c>
      <c r="C1171" s="27" t="s">
        <v>48</v>
      </c>
      <c r="D1171" s="28">
        <v>0.01</v>
      </c>
      <c r="E1171" s="29">
        <v>4.9800000000000004</v>
      </c>
      <c r="F1171" s="29">
        <v>7.44</v>
      </c>
      <c r="G1171" s="30" t="s">
        <v>39</v>
      </c>
      <c r="H1171" s="27" t="s">
        <v>94</v>
      </c>
      <c r="I1171" s="27" t="s">
        <v>49</v>
      </c>
      <c r="J1171" s="27" t="s">
        <v>88</v>
      </c>
      <c r="K1171" s="27" t="s">
        <v>73</v>
      </c>
      <c r="L1171" s="31" t="s">
        <v>2174</v>
      </c>
      <c r="M1171" s="32">
        <v>0.36</v>
      </c>
      <c r="N1171" s="27" t="s">
        <v>33</v>
      </c>
      <c r="O1171" s="27" t="s">
        <v>60</v>
      </c>
      <c r="P1171" s="27" t="s">
        <v>146</v>
      </c>
      <c r="Q1171" s="27" t="s">
        <v>1301</v>
      </c>
      <c r="R1171" s="33">
        <v>84062</v>
      </c>
      <c r="S1171" s="34">
        <v>42109</v>
      </c>
      <c r="T1171" s="34">
        <v>42118</v>
      </c>
      <c r="U1171" s="29">
        <v>-161.6328</v>
      </c>
      <c r="V1171" s="26">
        <v>16</v>
      </c>
      <c r="W1171" s="29">
        <v>83.86</v>
      </c>
      <c r="X1171" s="26">
        <v>86191</v>
      </c>
      <c r="Y1171" s="35">
        <v>17.920000000000002</v>
      </c>
      <c r="Z1171" s="1" t="s">
        <v>3013</v>
      </c>
      <c r="AA1171" s="36">
        <v>0.79680000000000006</v>
      </c>
      <c r="AB1171" s="54">
        <v>53.670400000000001</v>
      </c>
      <c r="AC1171" s="54">
        <v>1.8868499999999999</v>
      </c>
      <c r="AD1171" s="36">
        <v>237.25600000000003</v>
      </c>
    </row>
    <row r="1172" spans="1:30" s="37" customFormat="1" ht="15.75" customHeight="1" x14ac:dyDescent="0.2">
      <c r="A1172" s="26">
        <v>2952</v>
      </c>
      <c r="B1172" s="27" t="s">
        <v>2175</v>
      </c>
      <c r="C1172" s="27" t="s">
        <v>116</v>
      </c>
      <c r="D1172" s="28">
        <v>0.08</v>
      </c>
      <c r="E1172" s="29">
        <v>5.74</v>
      </c>
      <c r="F1172" s="29">
        <v>5.01</v>
      </c>
      <c r="G1172" s="30" t="s">
        <v>87</v>
      </c>
      <c r="H1172" s="27" t="s">
        <v>94</v>
      </c>
      <c r="I1172" s="27" t="s">
        <v>49</v>
      </c>
      <c r="J1172" s="27" t="s">
        <v>72</v>
      </c>
      <c r="K1172" s="27" t="s">
        <v>73</v>
      </c>
      <c r="L1172" s="31" t="s">
        <v>1065</v>
      </c>
      <c r="M1172" s="32">
        <v>0.39</v>
      </c>
      <c r="N1172" s="27" t="s">
        <v>33</v>
      </c>
      <c r="O1172" s="27" t="s">
        <v>111</v>
      </c>
      <c r="P1172" s="27" t="s">
        <v>317</v>
      </c>
      <c r="Q1172" s="27" t="s">
        <v>2176</v>
      </c>
      <c r="R1172" s="33">
        <v>43123</v>
      </c>
      <c r="S1172" s="34">
        <v>42109</v>
      </c>
      <c r="T1172" s="34">
        <v>42111</v>
      </c>
      <c r="U1172" s="29">
        <v>-61.628039999999999</v>
      </c>
      <c r="V1172" s="26">
        <v>12</v>
      </c>
      <c r="W1172" s="29">
        <v>70.03</v>
      </c>
      <c r="X1172" s="26">
        <v>91398</v>
      </c>
      <c r="Y1172" s="35">
        <v>9.89</v>
      </c>
      <c r="Z1172" s="1" t="s">
        <v>3014</v>
      </c>
      <c r="AA1172" s="36">
        <v>5.5104000000000006</v>
      </c>
      <c r="AB1172" s="54">
        <v>42.718299999999999</v>
      </c>
      <c r="AC1172" s="54">
        <v>2.2759750000000003</v>
      </c>
      <c r="AD1172" s="36">
        <v>121.13764</v>
      </c>
    </row>
    <row r="1173" spans="1:30" s="37" customFormat="1" ht="15.75" customHeight="1" x14ac:dyDescent="0.2">
      <c r="A1173" s="26">
        <v>1818</v>
      </c>
      <c r="B1173" s="27" t="s">
        <v>2179</v>
      </c>
      <c r="C1173" s="27" t="s">
        <v>3094</v>
      </c>
      <c r="D1173" s="28">
        <v>0.06</v>
      </c>
      <c r="E1173" s="29">
        <v>17.98</v>
      </c>
      <c r="F1173" s="29">
        <v>8.51</v>
      </c>
      <c r="G1173" s="30" t="s">
        <v>39</v>
      </c>
      <c r="H1173" s="27" t="s">
        <v>40</v>
      </c>
      <c r="I1173" s="27" t="s">
        <v>41</v>
      </c>
      <c r="J1173" s="27" t="s">
        <v>57</v>
      </c>
      <c r="K1173" s="27" t="s">
        <v>144</v>
      </c>
      <c r="L1173" s="31" t="s">
        <v>1880</v>
      </c>
      <c r="M1173" s="32">
        <v>0.4</v>
      </c>
      <c r="N1173" s="27" t="s">
        <v>33</v>
      </c>
      <c r="O1173" s="27" t="s">
        <v>53</v>
      </c>
      <c r="P1173" s="27" t="s">
        <v>289</v>
      </c>
      <c r="Q1173" s="27" t="s">
        <v>2180</v>
      </c>
      <c r="R1173" s="33">
        <v>48126</v>
      </c>
      <c r="S1173" s="34">
        <v>42109</v>
      </c>
      <c r="T1173" s="34">
        <v>42111</v>
      </c>
      <c r="U1173" s="29">
        <v>-47.243088</v>
      </c>
      <c r="V1173" s="26">
        <v>3</v>
      </c>
      <c r="W1173" s="29">
        <v>56.38</v>
      </c>
      <c r="X1173" s="26">
        <v>85991</v>
      </c>
      <c r="Y1173" s="35">
        <v>175.91</v>
      </c>
      <c r="Z1173" s="1" t="s">
        <v>3012</v>
      </c>
      <c r="AA1173" s="36">
        <v>3.2363999999999997</v>
      </c>
      <c r="AB1173" s="54">
        <v>33.828000000000003</v>
      </c>
      <c r="AC1173" s="54">
        <v>7.5173333333333332</v>
      </c>
      <c r="AD1173" s="36">
        <v>91.876688000000001</v>
      </c>
    </row>
    <row r="1174" spans="1:30" s="37" customFormat="1" ht="15.75" customHeight="1" x14ac:dyDescent="0.2">
      <c r="A1174" s="26">
        <v>2139</v>
      </c>
      <c r="B1174" s="27" t="s">
        <v>2182</v>
      </c>
      <c r="C1174" s="27" t="s">
        <v>26</v>
      </c>
      <c r="D1174" s="28">
        <v>0.05</v>
      </c>
      <c r="E1174" s="29">
        <v>2550.14</v>
      </c>
      <c r="F1174" s="29">
        <v>29.7</v>
      </c>
      <c r="G1174" s="30" t="s">
        <v>27</v>
      </c>
      <c r="H1174" s="27" t="s">
        <v>94</v>
      </c>
      <c r="I1174" s="27" t="s">
        <v>41</v>
      </c>
      <c r="J1174" s="27" t="s">
        <v>57</v>
      </c>
      <c r="K1174" s="27" t="s">
        <v>58</v>
      </c>
      <c r="L1174" s="31" t="s">
        <v>1972</v>
      </c>
      <c r="M1174" s="32">
        <v>0.56999999999999995</v>
      </c>
      <c r="N1174" s="27" t="s">
        <v>33</v>
      </c>
      <c r="O1174" s="27" t="s">
        <v>53</v>
      </c>
      <c r="P1174" s="27" t="s">
        <v>357</v>
      </c>
      <c r="Q1174" s="27" t="s">
        <v>130</v>
      </c>
      <c r="R1174" s="33">
        <v>53094</v>
      </c>
      <c r="S1174" s="34">
        <v>42110</v>
      </c>
      <c r="T1174" s="34">
        <v>42111</v>
      </c>
      <c r="U1174" s="29">
        <v>-3971.0628000000002</v>
      </c>
      <c r="V1174" s="26">
        <v>2</v>
      </c>
      <c r="W1174" s="29">
        <v>4845.2700000000004</v>
      </c>
      <c r="X1174" s="26">
        <v>86003</v>
      </c>
      <c r="Y1174" s="35">
        <v>2550.0899999999997</v>
      </c>
      <c r="Z1174" s="1" t="s">
        <v>3012</v>
      </c>
      <c r="AA1174" s="36">
        <v>255.01400000000001</v>
      </c>
      <c r="AB1174" s="54">
        <v>2083.4661000000006</v>
      </c>
      <c r="AC1174" s="54">
        <v>1380.9019499999999</v>
      </c>
      <c r="AD1174" s="36">
        <v>8531.6188000000002</v>
      </c>
    </row>
    <row r="1175" spans="1:30" s="37" customFormat="1" ht="15.75" customHeight="1" x14ac:dyDescent="0.2">
      <c r="A1175" s="26">
        <v>1916</v>
      </c>
      <c r="B1175" s="27" t="s">
        <v>1394</v>
      </c>
      <c r="C1175" s="27" t="s">
        <v>38</v>
      </c>
      <c r="D1175" s="28">
        <v>0.01</v>
      </c>
      <c r="E1175" s="29">
        <v>125.99</v>
      </c>
      <c r="F1175" s="29">
        <v>8.99</v>
      </c>
      <c r="G1175" s="30" t="s">
        <v>39</v>
      </c>
      <c r="H1175" s="27" t="s">
        <v>71</v>
      </c>
      <c r="I1175" s="27" t="s">
        <v>41</v>
      </c>
      <c r="J1175" s="27" t="s">
        <v>135</v>
      </c>
      <c r="K1175" s="27" t="s">
        <v>73</v>
      </c>
      <c r="L1175" s="31" t="s">
        <v>1654</v>
      </c>
      <c r="M1175" s="32">
        <v>0.55000000000000004</v>
      </c>
      <c r="N1175" s="27" t="s">
        <v>33</v>
      </c>
      <c r="O1175" s="27" t="s">
        <v>34</v>
      </c>
      <c r="P1175" s="27" t="s">
        <v>45</v>
      </c>
      <c r="Q1175" s="27" t="s">
        <v>1396</v>
      </c>
      <c r="R1175" s="33">
        <v>72209</v>
      </c>
      <c r="S1175" s="34">
        <v>42110</v>
      </c>
      <c r="T1175" s="34">
        <v>42112</v>
      </c>
      <c r="U1175" s="29">
        <v>-45.472000000000001</v>
      </c>
      <c r="V1175" s="26">
        <v>9</v>
      </c>
      <c r="W1175" s="29">
        <v>1011.44</v>
      </c>
      <c r="X1175" s="26">
        <v>85895</v>
      </c>
      <c r="Y1175" s="35">
        <v>125.97999999999999</v>
      </c>
      <c r="Z1175" s="1" t="s">
        <v>3011</v>
      </c>
      <c r="AA1175" s="36">
        <v>11.3391</v>
      </c>
      <c r="AB1175" s="54">
        <v>455.14799999999997</v>
      </c>
      <c r="AC1175" s="54">
        <v>61.81022222222223</v>
      </c>
      <c r="AD1175" s="36">
        <v>1036.5829000000001</v>
      </c>
    </row>
    <row r="1176" spans="1:30" s="37" customFormat="1" ht="15.75" customHeight="1" x14ac:dyDescent="0.2">
      <c r="A1176" s="26">
        <v>653</v>
      </c>
      <c r="B1176" s="27" t="s">
        <v>2183</v>
      </c>
      <c r="C1176" s="27" t="s">
        <v>3094</v>
      </c>
      <c r="D1176" s="28">
        <v>0</v>
      </c>
      <c r="E1176" s="29">
        <v>2.78</v>
      </c>
      <c r="F1176" s="29">
        <v>1.49</v>
      </c>
      <c r="G1176" s="30" t="s">
        <v>87</v>
      </c>
      <c r="H1176" s="27" t="s">
        <v>40</v>
      </c>
      <c r="I1176" s="27" t="s">
        <v>49</v>
      </c>
      <c r="J1176" s="27" t="s">
        <v>72</v>
      </c>
      <c r="K1176" s="27" t="s">
        <v>73</v>
      </c>
      <c r="L1176" s="31" t="s">
        <v>2184</v>
      </c>
      <c r="M1176" s="32">
        <v>0.36</v>
      </c>
      <c r="N1176" s="27" t="s">
        <v>33</v>
      </c>
      <c r="O1176" s="27" t="s">
        <v>60</v>
      </c>
      <c r="P1176" s="27" t="s">
        <v>90</v>
      </c>
      <c r="Q1176" s="27" t="s">
        <v>2146</v>
      </c>
      <c r="R1176" s="33">
        <v>91730</v>
      </c>
      <c r="S1176" s="34">
        <v>42110</v>
      </c>
      <c r="T1176" s="34">
        <v>42111</v>
      </c>
      <c r="U1176" s="29">
        <v>20.6448</v>
      </c>
      <c r="V1176" s="26">
        <v>9</v>
      </c>
      <c r="W1176" s="29">
        <v>29.92</v>
      </c>
      <c r="X1176" s="26">
        <v>91213</v>
      </c>
      <c r="Y1176" s="35">
        <v>2.78</v>
      </c>
      <c r="Z1176" s="1" t="s">
        <v>3013</v>
      </c>
      <c r="AA1176" s="36">
        <v>0</v>
      </c>
      <c r="AB1176" s="54">
        <v>19.148800000000001</v>
      </c>
      <c r="AC1176" s="54">
        <v>1.1968000000000001</v>
      </c>
      <c r="AD1176" s="36">
        <v>7.7852000000000032</v>
      </c>
    </row>
    <row r="1177" spans="1:30" s="37" customFormat="1" ht="15.75" customHeight="1" x14ac:dyDescent="0.2">
      <c r="A1177" s="26">
        <v>2004</v>
      </c>
      <c r="B1177" s="27" t="s">
        <v>2196</v>
      </c>
      <c r="C1177" s="27" t="s">
        <v>116</v>
      </c>
      <c r="D1177" s="28">
        <v>0.04</v>
      </c>
      <c r="E1177" s="29">
        <v>6783.02</v>
      </c>
      <c r="F1177" s="29">
        <v>24.49</v>
      </c>
      <c r="G1177" s="30" t="s">
        <v>39</v>
      </c>
      <c r="H1177" s="27" t="s">
        <v>71</v>
      </c>
      <c r="I1177" s="27" t="s">
        <v>41</v>
      </c>
      <c r="J1177" s="27" t="s">
        <v>57</v>
      </c>
      <c r="K1177" s="27" t="s">
        <v>65</v>
      </c>
      <c r="L1177" s="31" t="s">
        <v>314</v>
      </c>
      <c r="M1177" s="32">
        <v>0.39</v>
      </c>
      <c r="N1177" s="27" t="s">
        <v>33</v>
      </c>
      <c r="O1177" s="27" t="s">
        <v>60</v>
      </c>
      <c r="P1177" s="27" t="s">
        <v>277</v>
      </c>
      <c r="Q1177" s="27" t="s">
        <v>916</v>
      </c>
      <c r="R1177" s="33">
        <v>59715</v>
      </c>
      <c r="S1177" s="34">
        <v>42111</v>
      </c>
      <c r="T1177" s="34">
        <v>42113</v>
      </c>
      <c r="U1177" s="29">
        <v>-13562.637408000001</v>
      </c>
      <c r="V1177" s="26">
        <v>1</v>
      </c>
      <c r="W1177" s="29">
        <v>6569.07</v>
      </c>
      <c r="X1177" s="26">
        <v>91277</v>
      </c>
      <c r="Y1177" s="35">
        <v>55.879999999999995</v>
      </c>
      <c r="Z1177" s="1" t="s">
        <v>3013</v>
      </c>
      <c r="AA1177" s="36">
        <v>271.32080000000002</v>
      </c>
      <c r="AB1177" s="54">
        <v>4007.1326999999997</v>
      </c>
      <c r="AC1177" s="54">
        <v>2561.9373000000001</v>
      </c>
      <c r="AD1177" s="36">
        <v>19835.896608000003</v>
      </c>
    </row>
    <row r="1178" spans="1:30" s="37" customFormat="1" ht="15.75" customHeight="1" x14ac:dyDescent="0.2">
      <c r="A1178" s="26">
        <v>2593</v>
      </c>
      <c r="B1178" s="27" t="s">
        <v>1595</v>
      </c>
      <c r="C1178" s="27" t="s">
        <v>48</v>
      </c>
      <c r="D1178" s="28">
        <v>0.02</v>
      </c>
      <c r="E1178" s="29">
        <v>419.19</v>
      </c>
      <c r="F1178" s="29">
        <v>19.989999999999998</v>
      </c>
      <c r="G1178" s="30" t="s">
        <v>39</v>
      </c>
      <c r="H1178" s="27" t="s">
        <v>94</v>
      </c>
      <c r="I1178" s="27" t="s">
        <v>49</v>
      </c>
      <c r="J1178" s="27" t="s">
        <v>78</v>
      </c>
      <c r="K1178" s="27" t="s">
        <v>73</v>
      </c>
      <c r="L1178" s="31" t="s">
        <v>2192</v>
      </c>
      <c r="M1178" s="32">
        <v>0.57999999999999996</v>
      </c>
      <c r="N1178" s="27" t="s">
        <v>33</v>
      </c>
      <c r="O1178" s="27" t="s">
        <v>34</v>
      </c>
      <c r="P1178" s="27" t="s">
        <v>75</v>
      </c>
      <c r="Q1178" s="27" t="s">
        <v>1597</v>
      </c>
      <c r="R1178" s="33">
        <v>30605</v>
      </c>
      <c r="S1178" s="34">
        <v>42111</v>
      </c>
      <c r="T1178" s="34">
        <v>42111</v>
      </c>
      <c r="U1178" s="29">
        <v>-39.606000000000002</v>
      </c>
      <c r="V1178" s="26">
        <v>10</v>
      </c>
      <c r="W1178" s="29">
        <v>4354.55</v>
      </c>
      <c r="X1178" s="26">
        <v>87772</v>
      </c>
      <c r="Y1178" s="35">
        <v>6.2299999999999995</v>
      </c>
      <c r="Z1178" s="1" t="s">
        <v>3011</v>
      </c>
      <c r="AA1178" s="36">
        <v>83.838000000000008</v>
      </c>
      <c r="AB1178" s="54">
        <v>1828.9110000000003</v>
      </c>
      <c r="AC1178" s="54">
        <v>252.56390000000002</v>
      </c>
      <c r="AD1178" s="36">
        <v>4290.3280000000004</v>
      </c>
    </row>
    <row r="1179" spans="1:30" s="37" customFormat="1" ht="15.75" customHeight="1" x14ac:dyDescent="0.2">
      <c r="A1179" s="26">
        <v>1889</v>
      </c>
      <c r="B1179" s="27" t="s">
        <v>2190</v>
      </c>
      <c r="C1179" s="27" t="s">
        <v>48</v>
      </c>
      <c r="D1179" s="28">
        <v>0.09</v>
      </c>
      <c r="E1179" s="29">
        <v>78.8</v>
      </c>
      <c r="F1179" s="29">
        <v>35</v>
      </c>
      <c r="G1179" s="30" t="s">
        <v>39</v>
      </c>
      <c r="H1179" s="27" t="s">
        <v>71</v>
      </c>
      <c r="I1179" s="27" t="s">
        <v>49</v>
      </c>
      <c r="J1179" s="27" t="s">
        <v>78</v>
      </c>
      <c r="K1179" s="27" t="s">
        <v>65</v>
      </c>
      <c r="L1179" s="31" t="s">
        <v>2191</v>
      </c>
      <c r="M1179" s="32">
        <v>0.83</v>
      </c>
      <c r="N1179" s="27" t="s">
        <v>33</v>
      </c>
      <c r="O1179" s="27" t="s">
        <v>111</v>
      </c>
      <c r="P1179" s="27" t="s">
        <v>317</v>
      </c>
      <c r="Q1179" s="27" t="s">
        <v>1307</v>
      </c>
      <c r="R1179" s="33">
        <v>45429</v>
      </c>
      <c r="S1179" s="34">
        <v>42111</v>
      </c>
      <c r="T1179" s="34">
        <v>42115</v>
      </c>
      <c r="U1179" s="29">
        <v>-1025.0172</v>
      </c>
      <c r="V1179" s="26">
        <v>14</v>
      </c>
      <c r="W1179" s="29">
        <v>1059.3800000000001</v>
      </c>
      <c r="X1179" s="26">
        <v>90631</v>
      </c>
      <c r="Y1179" s="35">
        <v>12.2</v>
      </c>
      <c r="Z1179" s="1" t="s">
        <v>3014</v>
      </c>
      <c r="AA1179" s="36">
        <v>99.287999999999997</v>
      </c>
      <c r="AB1179" s="54">
        <v>180.09460000000007</v>
      </c>
      <c r="AC1179" s="54">
        <v>62.806100000000001</v>
      </c>
      <c r="AD1179" s="36">
        <v>1950.1092000000001</v>
      </c>
    </row>
    <row r="1180" spans="1:30" s="37" customFormat="1" ht="15.75" customHeight="1" x14ac:dyDescent="0.2">
      <c r="A1180" s="26">
        <v>377</v>
      </c>
      <c r="B1180" s="27" t="s">
        <v>2193</v>
      </c>
      <c r="C1180" s="27" t="s">
        <v>116</v>
      </c>
      <c r="D1180" s="28">
        <v>0.03</v>
      </c>
      <c r="E1180" s="29">
        <v>25.98</v>
      </c>
      <c r="F1180" s="29">
        <v>5.37</v>
      </c>
      <c r="G1180" s="30" t="s">
        <v>39</v>
      </c>
      <c r="H1180" s="27" t="s">
        <v>40</v>
      </c>
      <c r="I1180" s="27" t="s">
        <v>49</v>
      </c>
      <c r="J1180" s="27" t="s">
        <v>95</v>
      </c>
      <c r="K1180" s="27" t="s">
        <v>144</v>
      </c>
      <c r="L1180" s="31" t="s">
        <v>2194</v>
      </c>
      <c r="M1180" s="32">
        <v>0.5</v>
      </c>
      <c r="N1180" s="27" t="s">
        <v>33</v>
      </c>
      <c r="O1180" s="27" t="s">
        <v>53</v>
      </c>
      <c r="P1180" s="27" t="s">
        <v>103</v>
      </c>
      <c r="Q1180" s="27" t="s">
        <v>2195</v>
      </c>
      <c r="R1180" s="33">
        <v>60510</v>
      </c>
      <c r="S1180" s="34">
        <v>42111</v>
      </c>
      <c r="T1180" s="34">
        <v>42111</v>
      </c>
      <c r="U1180" s="29">
        <v>250.0376</v>
      </c>
      <c r="V1180" s="26">
        <v>17</v>
      </c>
      <c r="W1180" s="29">
        <v>460.87</v>
      </c>
      <c r="X1180" s="26">
        <v>89579</v>
      </c>
      <c r="Y1180" s="35">
        <v>125.97999999999999</v>
      </c>
      <c r="Z1180" s="1" t="s">
        <v>3012</v>
      </c>
      <c r="AA1180" s="36">
        <v>13.2498</v>
      </c>
      <c r="AB1180" s="54">
        <v>230.435</v>
      </c>
      <c r="AC1180" s="54">
        <v>13.555</v>
      </c>
      <c r="AD1180" s="36">
        <v>192.21260000000001</v>
      </c>
    </row>
    <row r="1181" spans="1:30" s="37" customFormat="1" ht="15.75" customHeight="1" x14ac:dyDescent="0.2">
      <c r="A1181" s="26">
        <v>1041</v>
      </c>
      <c r="B1181" s="27" t="s">
        <v>2185</v>
      </c>
      <c r="C1181" s="27" t="s">
        <v>26</v>
      </c>
      <c r="D1181" s="28">
        <v>0.06</v>
      </c>
      <c r="E1181" s="29">
        <v>55.94</v>
      </c>
      <c r="F1181" s="29">
        <v>4</v>
      </c>
      <c r="G1181" s="30" t="s">
        <v>39</v>
      </c>
      <c r="H1181" s="27" t="s">
        <v>3095</v>
      </c>
      <c r="I1181" s="27" t="s">
        <v>41</v>
      </c>
      <c r="J1181" s="27" t="s">
        <v>42</v>
      </c>
      <c r="K1181" s="27" t="s">
        <v>73</v>
      </c>
      <c r="L1181" s="31" t="s">
        <v>1784</v>
      </c>
      <c r="M1181" s="32">
        <v>0.74</v>
      </c>
      <c r="N1181" s="27" t="s">
        <v>33</v>
      </c>
      <c r="O1181" s="27" t="s">
        <v>60</v>
      </c>
      <c r="P1181" s="27" t="s">
        <v>90</v>
      </c>
      <c r="Q1181" s="27" t="s">
        <v>2186</v>
      </c>
      <c r="R1181" s="33">
        <v>95695</v>
      </c>
      <c r="S1181" s="34">
        <v>42111</v>
      </c>
      <c r="T1181" s="34">
        <v>42112</v>
      </c>
      <c r="U1181" s="29">
        <v>-13.77</v>
      </c>
      <c r="V1181" s="26">
        <v>6</v>
      </c>
      <c r="W1181" s="29">
        <v>322.77</v>
      </c>
      <c r="X1181" s="26">
        <v>87846</v>
      </c>
      <c r="Y1181" s="35">
        <v>125.97999999999999</v>
      </c>
      <c r="Z1181" s="1" t="s">
        <v>3013</v>
      </c>
      <c r="AA1181" s="36">
        <v>20.138399999999997</v>
      </c>
      <c r="AB1181" s="54">
        <v>83.920199999999994</v>
      </c>
      <c r="AC1181" s="54">
        <v>39.808299999999996</v>
      </c>
      <c r="AD1181" s="36">
        <v>312.40159999999997</v>
      </c>
    </row>
    <row r="1182" spans="1:30" s="37" customFormat="1" ht="15.75" customHeight="1" x14ac:dyDescent="0.2">
      <c r="A1182" s="26">
        <v>2867</v>
      </c>
      <c r="B1182" s="27" t="s">
        <v>2189</v>
      </c>
      <c r="C1182" s="27" t="s">
        <v>38</v>
      </c>
      <c r="D1182" s="28">
        <v>0.01</v>
      </c>
      <c r="E1182" s="29">
        <v>125.99</v>
      </c>
      <c r="F1182" s="29">
        <v>8.99</v>
      </c>
      <c r="G1182" s="30" t="s">
        <v>39</v>
      </c>
      <c r="H1182" s="27" t="s">
        <v>94</v>
      </c>
      <c r="I1182" s="27" t="s">
        <v>41</v>
      </c>
      <c r="J1182" s="27" t="s">
        <v>135</v>
      </c>
      <c r="K1182" s="27" t="s">
        <v>73</v>
      </c>
      <c r="L1182" s="31" t="s">
        <v>353</v>
      </c>
      <c r="M1182" s="32">
        <v>0.59</v>
      </c>
      <c r="N1182" s="27" t="s">
        <v>33</v>
      </c>
      <c r="O1182" s="27" t="s">
        <v>111</v>
      </c>
      <c r="P1182" s="27" t="s">
        <v>374</v>
      </c>
      <c r="Q1182" s="27" t="s">
        <v>67</v>
      </c>
      <c r="R1182" s="33">
        <v>20016</v>
      </c>
      <c r="S1182" s="34">
        <v>42111</v>
      </c>
      <c r="T1182" s="34">
        <v>42112</v>
      </c>
      <c r="U1182" s="29">
        <v>-582.64800000000002</v>
      </c>
      <c r="V1182" s="26">
        <v>2</v>
      </c>
      <c r="W1182" s="29">
        <v>226.88</v>
      </c>
      <c r="X1182" s="26">
        <v>11013</v>
      </c>
      <c r="Y1182" s="35">
        <v>78.709999999999994</v>
      </c>
      <c r="Z1182" s="1" t="s">
        <v>3014</v>
      </c>
      <c r="AA1182" s="36">
        <v>2.5198</v>
      </c>
      <c r="AB1182" s="54">
        <v>93.020800000000008</v>
      </c>
      <c r="AC1182" s="54">
        <v>66.929599999999994</v>
      </c>
      <c r="AD1182" s="36">
        <v>798.01819999999998</v>
      </c>
    </row>
    <row r="1183" spans="1:30" s="37" customFormat="1" ht="15.75" customHeight="1" x14ac:dyDescent="0.2">
      <c r="A1183" s="26">
        <v>2868</v>
      </c>
      <c r="B1183" s="27" t="s">
        <v>322</v>
      </c>
      <c r="C1183" s="27" t="s">
        <v>38</v>
      </c>
      <c r="D1183" s="28">
        <v>0.01</v>
      </c>
      <c r="E1183" s="29">
        <v>125.99</v>
      </c>
      <c r="F1183" s="29">
        <v>8.99</v>
      </c>
      <c r="G1183" s="30" t="s">
        <v>39</v>
      </c>
      <c r="H1183" s="27" t="s">
        <v>94</v>
      </c>
      <c r="I1183" s="27" t="s">
        <v>41</v>
      </c>
      <c r="J1183" s="27" t="s">
        <v>135</v>
      </c>
      <c r="K1183" s="27" t="s">
        <v>73</v>
      </c>
      <c r="L1183" s="31" t="s">
        <v>353</v>
      </c>
      <c r="M1183" s="32">
        <v>0.59</v>
      </c>
      <c r="N1183" s="27" t="s">
        <v>33</v>
      </c>
      <c r="O1183" s="27" t="s">
        <v>60</v>
      </c>
      <c r="P1183" s="27" t="s">
        <v>67</v>
      </c>
      <c r="Q1183" s="27" t="s">
        <v>324</v>
      </c>
      <c r="R1183" s="33">
        <v>98026</v>
      </c>
      <c r="S1183" s="34">
        <v>42111</v>
      </c>
      <c r="T1183" s="34">
        <v>42112</v>
      </c>
      <c r="U1183" s="29">
        <v>-582.64800000000002</v>
      </c>
      <c r="V1183" s="26">
        <v>1</v>
      </c>
      <c r="W1183" s="29">
        <v>113.44</v>
      </c>
      <c r="X1183" s="26">
        <v>85827</v>
      </c>
      <c r="Y1183" s="35">
        <v>419.17</v>
      </c>
      <c r="Z1183" s="1" t="s">
        <v>3013</v>
      </c>
      <c r="AA1183" s="36">
        <v>1.2599</v>
      </c>
      <c r="AB1183" s="54">
        <v>46.510400000000004</v>
      </c>
      <c r="AC1183" s="54">
        <v>66.929599999999994</v>
      </c>
      <c r="AD1183" s="36">
        <v>685.83809999999994</v>
      </c>
    </row>
    <row r="1184" spans="1:30" s="37" customFormat="1" ht="15.75" customHeight="1" x14ac:dyDescent="0.2">
      <c r="A1184" s="26">
        <v>1041</v>
      </c>
      <c r="B1184" s="27" t="s">
        <v>2185</v>
      </c>
      <c r="C1184" s="27" t="s">
        <v>26</v>
      </c>
      <c r="D1184" s="28">
        <v>7.0000000000000007E-2</v>
      </c>
      <c r="E1184" s="29">
        <v>6.3</v>
      </c>
      <c r="F1184" s="29">
        <v>0.5</v>
      </c>
      <c r="G1184" s="30" t="s">
        <v>39</v>
      </c>
      <c r="H1184" s="27" t="s">
        <v>3095</v>
      </c>
      <c r="I1184" s="27" t="s">
        <v>49</v>
      </c>
      <c r="J1184" s="27" t="s">
        <v>152</v>
      </c>
      <c r="K1184" s="27" t="s">
        <v>73</v>
      </c>
      <c r="L1184" s="31" t="s">
        <v>826</v>
      </c>
      <c r="M1184" s="32">
        <v>0.39</v>
      </c>
      <c r="N1184" s="27" t="s">
        <v>33</v>
      </c>
      <c r="O1184" s="27" t="s">
        <v>60</v>
      </c>
      <c r="P1184" s="27" t="s">
        <v>90</v>
      </c>
      <c r="Q1184" s="27" t="s">
        <v>2186</v>
      </c>
      <c r="R1184" s="33">
        <v>95695</v>
      </c>
      <c r="S1184" s="34">
        <v>42111</v>
      </c>
      <c r="T1184" s="34">
        <v>42111</v>
      </c>
      <c r="U1184" s="29">
        <v>44.912100000000002</v>
      </c>
      <c r="V1184" s="26">
        <v>11</v>
      </c>
      <c r="W1184" s="29">
        <v>65.09</v>
      </c>
      <c r="X1184" s="26">
        <v>87846</v>
      </c>
      <c r="Y1184" s="35">
        <v>25.95</v>
      </c>
      <c r="Z1184" s="1" t="s">
        <v>3013</v>
      </c>
      <c r="AA1184" s="36">
        <v>4.851</v>
      </c>
      <c r="AB1184" s="54">
        <v>39.704900000000002</v>
      </c>
      <c r="AC1184" s="54">
        <v>2.3077363636363639</v>
      </c>
      <c r="AD1184" s="36">
        <v>14.826900000000002</v>
      </c>
    </row>
    <row r="1185" spans="1:30" s="37" customFormat="1" ht="15.75" customHeight="1" x14ac:dyDescent="0.2">
      <c r="A1185" s="26">
        <v>1350</v>
      </c>
      <c r="B1185" s="27" t="s">
        <v>2187</v>
      </c>
      <c r="C1185" s="27" t="s">
        <v>38</v>
      </c>
      <c r="D1185" s="28">
        <v>0</v>
      </c>
      <c r="E1185" s="29">
        <v>12.2</v>
      </c>
      <c r="F1185" s="29">
        <v>6.02</v>
      </c>
      <c r="G1185" s="30" t="s">
        <v>87</v>
      </c>
      <c r="H1185" s="27" t="s">
        <v>71</v>
      </c>
      <c r="I1185" s="27" t="s">
        <v>29</v>
      </c>
      <c r="J1185" s="27" t="s">
        <v>126</v>
      </c>
      <c r="K1185" s="27" t="s">
        <v>43</v>
      </c>
      <c r="L1185" s="31" t="s">
        <v>2156</v>
      </c>
      <c r="M1185" s="32">
        <v>0.43</v>
      </c>
      <c r="N1185" s="27" t="s">
        <v>33</v>
      </c>
      <c r="O1185" s="27" t="s">
        <v>34</v>
      </c>
      <c r="P1185" s="27" t="s">
        <v>123</v>
      </c>
      <c r="Q1185" s="27" t="s">
        <v>2188</v>
      </c>
      <c r="R1185" s="33">
        <v>33055</v>
      </c>
      <c r="S1185" s="34">
        <v>42111</v>
      </c>
      <c r="T1185" s="34">
        <v>42112</v>
      </c>
      <c r="U1185" s="29">
        <v>-172.298</v>
      </c>
      <c r="V1185" s="26">
        <v>4</v>
      </c>
      <c r="W1185" s="29">
        <v>56.24</v>
      </c>
      <c r="X1185" s="26">
        <v>88233</v>
      </c>
      <c r="Y1185" s="35">
        <v>4.1800000000000006</v>
      </c>
      <c r="Z1185" s="1" t="s">
        <v>3011</v>
      </c>
      <c r="AA1185" s="36">
        <v>0</v>
      </c>
      <c r="AB1185" s="54">
        <v>32.056800000000003</v>
      </c>
      <c r="AC1185" s="54">
        <v>6.0457999999999998</v>
      </c>
      <c r="AD1185" s="36">
        <v>222.518</v>
      </c>
    </row>
    <row r="1186" spans="1:30" s="37" customFormat="1" ht="15.75" customHeight="1" x14ac:dyDescent="0.2">
      <c r="A1186" s="26">
        <v>2004</v>
      </c>
      <c r="B1186" s="27" t="s">
        <v>2196</v>
      </c>
      <c r="C1186" s="27" t="s">
        <v>116</v>
      </c>
      <c r="D1186" s="28">
        <v>0.06</v>
      </c>
      <c r="E1186" s="29">
        <v>4.24</v>
      </c>
      <c r="F1186" s="29">
        <v>5.41</v>
      </c>
      <c r="G1186" s="30" t="s">
        <v>39</v>
      </c>
      <c r="H1186" s="27" t="s">
        <v>71</v>
      </c>
      <c r="I1186" s="27" t="s">
        <v>49</v>
      </c>
      <c r="J1186" s="27" t="s">
        <v>72</v>
      </c>
      <c r="K1186" s="27" t="s">
        <v>73</v>
      </c>
      <c r="L1186" s="31" t="s">
        <v>1671</v>
      </c>
      <c r="M1186" s="32">
        <v>0.35</v>
      </c>
      <c r="N1186" s="27" t="s">
        <v>33</v>
      </c>
      <c r="O1186" s="27" t="s">
        <v>60</v>
      </c>
      <c r="P1186" s="27" t="s">
        <v>277</v>
      </c>
      <c r="Q1186" s="27" t="s">
        <v>916</v>
      </c>
      <c r="R1186" s="33">
        <v>59715</v>
      </c>
      <c r="S1186" s="34">
        <v>42111</v>
      </c>
      <c r="T1186" s="34">
        <v>42113</v>
      </c>
      <c r="U1186" s="29">
        <v>-78.916679999999999</v>
      </c>
      <c r="V1186" s="26">
        <v>10</v>
      </c>
      <c r="W1186" s="29">
        <v>45</v>
      </c>
      <c r="X1186" s="26">
        <v>91277</v>
      </c>
      <c r="Y1186" s="35">
        <v>6782.9800000000005</v>
      </c>
      <c r="Z1186" s="1" t="s">
        <v>3013</v>
      </c>
      <c r="AA1186" s="36">
        <v>2.544</v>
      </c>
      <c r="AB1186" s="54">
        <v>29.25</v>
      </c>
      <c r="AC1186" s="54">
        <v>1.575</v>
      </c>
      <c r="AD1186" s="36">
        <v>115.96268000000001</v>
      </c>
    </row>
    <row r="1187" spans="1:30" s="37" customFormat="1" ht="15.75" customHeight="1" x14ac:dyDescent="0.2">
      <c r="A1187" s="26">
        <v>1959</v>
      </c>
      <c r="B1187" s="27" t="s">
        <v>709</v>
      </c>
      <c r="C1187" s="27" t="s">
        <v>48</v>
      </c>
      <c r="D1187" s="28">
        <v>0.02</v>
      </c>
      <c r="E1187" s="29">
        <v>48.04</v>
      </c>
      <c r="F1187" s="29">
        <v>5.79</v>
      </c>
      <c r="G1187" s="30" t="s">
        <v>39</v>
      </c>
      <c r="H1187" s="27" t="s">
        <v>71</v>
      </c>
      <c r="I1187" s="27" t="s">
        <v>49</v>
      </c>
      <c r="J1187" s="27" t="s">
        <v>88</v>
      </c>
      <c r="K1187" s="27" t="s">
        <v>73</v>
      </c>
      <c r="L1187" s="31" t="s">
        <v>2201</v>
      </c>
      <c r="M1187" s="32">
        <v>0.37</v>
      </c>
      <c r="N1187" s="27" t="s">
        <v>33</v>
      </c>
      <c r="O1187" s="27" t="s">
        <v>34</v>
      </c>
      <c r="P1187" s="27" t="s">
        <v>123</v>
      </c>
      <c r="Q1187" s="27" t="s">
        <v>128</v>
      </c>
      <c r="R1187" s="33">
        <v>33916</v>
      </c>
      <c r="S1187" s="34">
        <v>42112</v>
      </c>
      <c r="T1187" s="34">
        <v>42117</v>
      </c>
      <c r="U1187" s="29">
        <v>624.23900000000003</v>
      </c>
      <c r="V1187" s="26">
        <v>74</v>
      </c>
      <c r="W1187" s="29">
        <v>3598.82</v>
      </c>
      <c r="X1187" s="26">
        <v>26342</v>
      </c>
      <c r="Y1187" s="35">
        <v>55.97</v>
      </c>
      <c r="Z1187" s="1" t="s">
        <v>3011</v>
      </c>
      <c r="AA1187" s="36">
        <v>71.099199999999996</v>
      </c>
      <c r="AB1187" s="54">
        <v>2267.2566000000002</v>
      </c>
      <c r="AC1187" s="54">
        <v>17.9941</v>
      </c>
      <c r="AD1187" s="36">
        <v>2897.6918000000001</v>
      </c>
    </row>
    <row r="1188" spans="1:30" s="37" customFormat="1" ht="15.75" customHeight="1" x14ac:dyDescent="0.2">
      <c r="A1188" s="26">
        <v>2097</v>
      </c>
      <c r="B1188" s="27" t="s">
        <v>2208</v>
      </c>
      <c r="C1188" s="27" t="s">
        <v>116</v>
      </c>
      <c r="D1188" s="28">
        <v>0.1</v>
      </c>
      <c r="E1188" s="29">
        <v>300.97000000000003</v>
      </c>
      <c r="F1188" s="29">
        <v>7.18</v>
      </c>
      <c r="G1188" s="30" t="s">
        <v>39</v>
      </c>
      <c r="H1188" s="27" t="s">
        <v>71</v>
      </c>
      <c r="I1188" s="27" t="s">
        <v>41</v>
      </c>
      <c r="J1188" s="27" t="s">
        <v>42</v>
      </c>
      <c r="K1188" s="27" t="s">
        <v>73</v>
      </c>
      <c r="L1188" s="31" t="s">
        <v>2209</v>
      </c>
      <c r="M1188" s="32">
        <v>0.48</v>
      </c>
      <c r="N1188" s="27" t="s">
        <v>33</v>
      </c>
      <c r="O1188" s="27" t="s">
        <v>34</v>
      </c>
      <c r="P1188" s="27" t="s">
        <v>271</v>
      </c>
      <c r="Q1188" s="27" t="s">
        <v>272</v>
      </c>
      <c r="R1188" s="33">
        <v>29915</v>
      </c>
      <c r="S1188" s="34">
        <v>42112</v>
      </c>
      <c r="T1188" s="34">
        <v>42113</v>
      </c>
      <c r="U1188" s="29">
        <v>138.018</v>
      </c>
      <c r="V1188" s="26">
        <v>4</v>
      </c>
      <c r="W1188" s="29">
        <v>1094.33</v>
      </c>
      <c r="X1188" s="26">
        <v>87889</v>
      </c>
      <c r="Y1188" s="35">
        <v>65.949999999999989</v>
      </c>
      <c r="Z1188" s="1" t="s">
        <v>3011</v>
      </c>
      <c r="AA1188" s="36">
        <v>120.38800000000002</v>
      </c>
      <c r="AB1188" s="54">
        <v>569.05160000000001</v>
      </c>
      <c r="AC1188" s="54">
        <v>131.31959999999998</v>
      </c>
      <c r="AD1188" s="36">
        <v>828.74399999999991</v>
      </c>
    </row>
    <row r="1189" spans="1:30" s="37" customFormat="1" ht="15.75" customHeight="1" x14ac:dyDescent="0.2">
      <c r="A1189" s="26">
        <v>507</v>
      </c>
      <c r="B1189" s="27" t="s">
        <v>2197</v>
      </c>
      <c r="C1189" s="27" t="s">
        <v>26</v>
      </c>
      <c r="D1189" s="28">
        <v>0.04</v>
      </c>
      <c r="E1189" s="29">
        <v>65.989999999999995</v>
      </c>
      <c r="F1189" s="29">
        <v>8.99</v>
      </c>
      <c r="G1189" s="30" t="s">
        <v>39</v>
      </c>
      <c r="H1189" s="27" t="s">
        <v>94</v>
      </c>
      <c r="I1189" s="27" t="s">
        <v>41</v>
      </c>
      <c r="J1189" s="27" t="s">
        <v>135</v>
      </c>
      <c r="K1189" s="27" t="s">
        <v>73</v>
      </c>
      <c r="L1189" s="31" t="s">
        <v>1864</v>
      </c>
      <c r="M1189" s="32">
        <v>0.56000000000000005</v>
      </c>
      <c r="N1189" s="27" t="s">
        <v>33</v>
      </c>
      <c r="O1189" s="27" t="s">
        <v>34</v>
      </c>
      <c r="P1189" s="27" t="s">
        <v>388</v>
      </c>
      <c r="Q1189" s="27" t="s">
        <v>2198</v>
      </c>
      <c r="R1189" s="33">
        <v>42104</v>
      </c>
      <c r="S1189" s="34">
        <v>42112</v>
      </c>
      <c r="T1189" s="34">
        <v>42113</v>
      </c>
      <c r="U1189" s="29">
        <v>131.334</v>
      </c>
      <c r="V1189" s="26">
        <v>17</v>
      </c>
      <c r="W1189" s="29">
        <v>946.29</v>
      </c>
      <c r="X1189" s="26">
        <v>87357</v>
      </c>
      <c r="Y1189" s="35">
        <v>130.95999999999998</v>
      </c>
      <c r="Z1189" s="1" t="s">
        <v>3011</v>
      </c>
      <c r="AA1189" s="36">
        <v>44.873199999999997</v>
      </c>
      <c r="AB1189" s="54">
        <v>416.36759999999992</v>
      </c>
      <c r="AC1189" s="54">
        <v>31.171905882352945</v>
      </c>
      <c r="AD1189" s="36">
        <v>761.0927999999999</v>
      </c>
    </row>
    <row r="1190" spans="1:30" s="37" customFormat="1" ht="15.75" customHeight="1" x14ac:dyDescent="0.2">
      <c r="A1190" s="26">
        <v>1962</v>
      </c>
      <c r="B1190" s="27" t="s">
        <v>2202</v>
      </c>
      <c r="C1190" s="27" t="s">
        <v>48</v>
      </c>
      <c r="D1190" s="28">
        <v>0.02</v>
      </c>
      <c r="E1190" s="29">
        <v>48.04</v>
      </c>
      <c r="F1190" s="29">
        <v>5.79</v>
      </c>
      <c r="G1190" s="30" t="s">
        <v>39</v>
      </c>
      <c r="H1190" s="27" t="s">
        <v>71</v>
      </c>
      <c r="I1190" s="27" t="s">
        <v>49</v>
      </c>
      <c r="J1190" s="27" t="s">
        <v>88</v>
      </c>
      <c r="K1190" s="27" t="s">
        <v>73</v>
      </c>
      <c r="L1190" s="31" t="s">
        <v>2201</v>
      </c>
      <c r="M1190" s="32">
        <v>0.37</v>
      </c>
      <c r="N1190" s="27" t="s">
        <v>33</v>
      </c>
      <c r="O1190" s="27" t="s">
        <v>53</v>
      </c>
      <c r="P1190" s="27" t="s">
        <v>289</v>
      </c>
      <c r="Q1190" s="27" t="s">
        <v>2203</v>
      </c>
      <c r="R1190" s="33">
        <v>48601</v>
      </c>
      <c r="S1190" s="34">
        <v>42112</v>
      </c>
      <c r="T1190" s="34">
        <v>42117</v>
      </c>
      <c r="U1190" s="29">
        <v>604.01909999999998</v>
      </c>
      <c r="V1190" s="26">
        <v>18</v>
      </c>
      <c r="W1190" s="29">
        <v>875.39</v>
      </c>
      <c r="X1190" s="26">
        <v>88857</v>
      </c>
      <c r="Y1190" s="35">
        <v>9.9700000000000006</v>
      </c>
      <c r="Z1190" s="1" t="s">
        <v>3012</v>
      </c>
      <c r="AA1190" s="36">
        <v>17.2944</v>
      </c>
      <c r="AB1190" s="54">
        <v>551.49569999999994</v>
      </c>
      <c r="AC1190" s="54">
        <v>17.994127777777777</v>
      </c>
      <c r="AD1190" s="36">
        <v>248.28650000000005</v>
      </c>
    </row>
    <row r="1191" spans="1:30" s="37" customFormat="1" ht="15.75" customHeight="1" x14ac:dyDescent="0.2">
      <c r="A1191" s="26">
        <v>665</v>
      </c>
      <c r="B1191" s="27" t="s">
        <v>551</v>
      </c>
      <c r="C1191" s="27" t="s">
        <v>26</v>
      </c>
      <c r="D1191" s="28">
        <v>0.02</v>
      </c>
      <c r="E1191" s="29">
        <v>130.97999999999999</v>
      </c>
      <c r="F1191" s="29">
        <v>30</v>
      </c>
      <c r="G1191" s="30" t="s">
        <v>27</v>
      </c>
      <c r="H1191" s="27" t="s">
        <v>94</v>
      </c>
      <c r="I1191" s="27" t="s">
        <v>29</v>
      </c>
      <c r="J1191" s="27" t="s">
        <v>109</v>
      </c>
      <c r="K1191" s="27" t="s">
        <v>58</v>
      </c>
      <c r="L1191" s="31" t="s">
        <v>2199</v>
      </c>
      <c r="M1191" s="32">
        <v>0.78</v>
      </c>
      <c r="N1191" s="27" t="s">
        <v>33</v>
      </c>
      <c r="O1191" s="27" t="s">
        <v>34</v>
      </c>
      <c r="P1191" s="27" t="s">
        <v>400</v>
      </c>
      <c r="Q1191" s="27" t="s">
        <v>552</v>
      </c>
      <c r="R1191" s="33">
        <v>37130</v>
      </c>
      <c r="S1191" s="34">
        <v>42112</v>
      </c>
      <c r="T1191" s="34">
        <v>42113</v>
      </c>
      <c r="U1191" s="29">
        <v>90.762</v>
      </c>
      <c r="V1191" s="26">
        <v>6</v>
      </c>
      <c r="W1191" s="29">
        <v>793.39</v>
      </c>
      <c r="X1191" s="26">
        <v>88678</v>
      </c>
      <c r="Y1191" s="35">
        <v>48.019999999999996</v>
      </c>
      <c r="Z1191" s="1" t="s">
        <v>3011</v>
      </c>
      <c r="AA1191" s="36">
        <v>15.717599999999997</v>
      </c>
      <c r="AB1191" s="54">
        <v>174.54579999999999</v>
      </c>
      <c r="AC1191" s="54">
        <v>103.1407</v>
      </c>
      <c r="AD1191" s="36">
        <v>656.91039999999998</v>
      </c>
    </row>
    <row r="1192" spans="1:30" s="37" customFormat="1" ht="15.75" customHeight="1" x14ac:dyDescent="0.2">
      <c r="A1192" s="26">
        <v>507</v>
      </c>
      <c r="B1192" s="27" t="s">
        <v>2197</v>
      </c>
      <c r="C1192" s="27" t="s">
        <v>26</v>
      </c>
      <c r="D1192" s="28">
        <v>0.01</v>
      </c>
      <c r="E1192" s="29">
        <v>55.98</v>
      </c>
      <c r="F1192" s="29">
        <v>4.8600000000000003</v>
      </c>
      <c r="G1192" s="30" t="s">
        <v>87</v>
      </c>
      <c r="H1192" s="27" t="s">
        <v>94</v>
      </c>
      <c r="I1192" s="27" t="s">
        <v>49</v>
      </c>
      <c r="J1192" s="27" t="s">
        <v>88</v>
      </c>
      <c r="K1192" s="27" t="s">
        <v>73</v>
      </c>
      <c r="L1192" s="31" t="s">
        <v>1715</v>
      </c>
      <c r="M1192" s="32">
        <v>0.36</v>
      </c>
      <c r="N1192" s="27" t="s">
        <v>33</v>
      </c>
      <c r="O1192" s="27" t="s">
        <v>34</v>
      </c>
      <c r="P1192" s="27" t="s">
        <v>388</v>
      </c>
      <c r="Q1192" s="27" t="s">
        <v>2198</v>
      </c>
      <c r="R1192" s="33">
        <v>42104</v>
      </c>
      <c r="S1192" s="34">
        <v>42112</v>
      </c>
      <c r="T1192" s="34">
        <v>42114</v>
      </c>
      <c r="U1192" s="29">
        <v>32.940899999999999</v>
      </c>
      <c r="V1192" s="26">
        <v>11</v>
      </c>
      <c r="W1192" s="29">
        <v>646.97</v>
      </c>
      <c r="X1192" s="26">
        <v>87357</v>
      </c>
      <c r="Y1192" s="35">
        <v>6.64</v>
      </c>
      <c r="Z1192" s="1" t="s">
        <v>3011</v>
      </c>
      <c r="AA1192" s="36">
        <v>6.1577999999999999</v>
      </c>
      <c r="AB1192" s="54">
        <v>414.06080000000003</v>
      </c>
      <c r="AC1192" s="54">
        <v>21.173563636363639</v>
      </c>
      <c r="AD1192" s="36">
        <v>603.01130000000001</v>
      </c>
    </row>
    <row r="1193" spans="1:30" s="37" customFormat="1" ht="15.75" customHeight="1" x14ac:dyDescent="0.2">
      <c r="A1193" s="26">
        <v>2655</v>
      </c>
      <c r="B1193" s="27" t="s">
        <v>2076</v>
      </c>
      <c r="C1193" s="27" t="s">
        <v>116</v>
      </c>
      <c r="D1193" s="28">
        <v>0.09</v>
      </c>
      <c r="E1193" s="29">
        <v>89.99</v>
      </c>
      <c r="F1193" s="29">
        <v>42</v>
      </c>
      <c r="G1193" s="30" t="s">
        <v>27</v>
      </c>
      <c r="H1193" s="27" t="s">
        <v>40</v>
      </c>
      <c r="I1193" s="27" t="s">
        <v>29</v>
      </c>
      <c r="J1193" s="27" t="s">
        <v>109</v>
      </c>
      <c r="K1193" s="27" t="s">
        <v>58</v>
      </c>
      <c r="L1193" s="31" t="s">
        <v>1211</v>
      </c>
      <c r="M1193" s="32">
        <v>0.66</v>
      </c>
      <c r="N1193" s="27" t="s">
        <v>33</v>
      </c>
      <c r="O1193" s="27" t="s">
        <v>34</v>
      </c>
      <c r="P1193" s="27" t="s">
        <v>75</v>
      </c>
      <c r="Q1193" s="27" t="s">
        <v>361</v>
      </c>
      <c r="R1193" s="33">
        <v>30318</v>
      </c>
      <c r="S1193" s="34">
        <v>42112</v>
      </c>
      <c r="T1193" s="34">
        <v>42112</v>
      </c>
      <c r="U1193" s="29">
        <v>223.416</v>
      </c>
      <c r="V1193" s="26">
        <v>6</v>
      </c>
      <c r="W1193" s="29">
        <v>511.25</v>
      </c>
      <c r="X1193" s="26">
        <v>86063</v>
      </c>
      <c r="Y1193" s="35">
        <v>48.019999999999996</v>
      </c>
      <c r="Z1193" s="1" t="s">
        <v>3011</v>
      </c>
      <c r="AA1193" s="36">
        <v>48.5946</v>
      </c>
      <c r="AB1193" s="54">
        <v>173.82499999999999</v>
      </c>
      <c r="AC1193" s="54">
        <v>56.237499999999997</v>
      </c>
      <c r="AD1193" s="36">
        <v>197.23939999999999</v>
      </c>
    </row>
    <row r="1194" spans="1:30" s="37" customFormat="1" ht="15.75" customHeight="1" x14ac:dyDescent="0.2">
      <c r="A1194" s="26">
        <v>1959</v>
      </c>
      <c r="B1194" s="27" t="s">
        <v>709</v>
      </c>
      <c r="C1194" s="27" t="s">
        <v>48</v>
      </c>
      <c r="D1194" s="28">
        <v>0.02</v>
      </c>
      <c r="E1194" s="29">
        <v>9.99</v>
      </c>
      <c r="F1194" s="29">
        <v>11.59</v>
      </c>
      <c r="G1194" s="30" t="s">
        <v>39</v>
      </c>
      <c r="H1194" s="27" t="s">
        <v>71</v>
      </c>
      <c r="I1194" s="27" t="s">
        <v>49</v>
      </c>
      <c r="J1194" s="27" t="s">
        <v>88</v>
      </c>
      <c r="K1194" s="27" t="s">
        <v>73</v>
      </c>
      <c r="L1194" s="31" t="s">
        <v>2200</v>
      </c>
      <c r="M1194" s="32">
        <v>0.4</v>
      </c>
      <c r="N1194" s="27" t="s">
        <v>33</v>
      </c>
      <c r="O1194" s="27" t="s">
        <v>34</v>
      </c>
      <c r="P1194" s="27" t="s">
        <v>123</v>
      </c>
      <c r="Q1194" s="27" t="s">
        <v>128</v>
      </c>
      <c r="R1194" s="33">
        <v>33916</v>
      </c>
      <c r="S1194" s="34">
        <v>42112</v>
      </c>
      <c r="T1194" s="34">
        <v>42121</v>
      </c>
      <c r="U1194" s="29">
        <v>-171.15770000000001</v>
      </c>
      <c r="V1194" s="26">
        <v>43</v>
      </c>
      <c r="W1194" s="29">
        <v>475.42</v>
      </c>
      <c r="X1194" s="26">
        <v>26342</v>
      </c>
      <c r="Y1194" s="35">
        <v>6.64</v>
      </c>
      <c r="Z1194" s="1" t="s">
        <v>3011</v>
      </c>
      <c r="AA1194" s="36">
        <v>8.5914000000000001</v>
      </c>
      <c r="AB1194" s="54">
        <v>285.25200000000001</v>
      </c>
      <c r="AC1194" s="54">
        <v>4.4225116279069772</v>
      </c>
      <c r="AD1194" s="36">
        <v>626.3963</v>
      </c>
    </row>
    <row r="1195" spans="1:30" s="37" customFormat="1" ht="15.75" customHeight="1" x14ac:dyDescent="0.2">
      <c r="A1195" s="26">
        <v>2098</v>
      </c>
      <c r="B1195" s="27" t="s">
        <v>2210</v>
      </c>
      <c r="C1195" s="27" t="s">
        <v>116</v>
      </c>
      <c r="D1195" s="28">
        <v>0.06</v>
      </c>
      <c r="E1195" s="29">
        <v>39.89</v>
      </c>
      <c r="F1195" s="29">
        <v>3.04</v>
      </c>
      <c r="G1195" s="30" t="s">
        <v>39</v>
      </c>
      <c r="H1195" s="27" t="s">
        <v>71</v>
      </c>
      <c r="I1195" s="27" t="s">
        <v>29</v>
      </c>
      <c r="J1195" s="27" t="s">
        <v>126</v>
      </c>
      <c r="K1195" s="27" t="s">
        <v>51</v>
      </c>
      <c r="L1195" s="31" t="s">
        <v>2211</v>
      </c>
      <c r="M1195" s="32">
        <v>0.53</v>
      </c>
      <c r="N1195" s="27" t="s">
        <v>33</v>
      </c>
      <c r="O1195" s="27" t="s">
        <v>34</v>
      </c>
      <c r="P1195" s="27" t="s">
        <v>271</v>
      </c>
      <c r="Q1195" s="27" t="s">
        <v>2212</v>
      </c>
      <c r="R1195" s="33">
        <v>29464</v>
      </c>
      <c r="S1195" s="34">
        <v>42112</v>
      </c>
      <c r="T1195" s="34">
        <v>42114</v>
      </c>
      <c r="U1195" s="29">
        <v>38.874000000000002</v>
      </c>
      <c r="V1195" s="26">
        <v>10</v>
      </c>
      <c r="W1195" s="29">
        <v>389.97</v>
      </c>
      <c r="X1195" s="26">
        <v>87889</v>
      </c>
      <c r="Y1195" s="35">
        <v>52.89</v>
      </c>
      <c r="Z1195" s="1" t="s">
        <v>3011</v>
      </c>
      <c r="AA1195" s="36">
        <v>23.933999999999997</v>
      </c>
      <c r="AB1195" s="54">
        <v>183.2859</v>
      </c>
      <c r="AC1195" s="54">
        <v>20.668410000000002</v>
      </c>
      <c r="AD1195" s="36">
        <v>324.12200000000001</v>
      </c>
    </row>
    <row r="1196" spans="1:30" s="37" customFormat="1" ht="15.75" customHeight="1" x14ac:dyDescent="0.2">
      <c r="A1196" s="26">
        <v>1827</v>
      </c>
      <c r="B1196" s="27" t="s">
        <v>1266</v>
      </c>
      <c r="C1196" s="27" t="s">
        <v>116</v>
      </c>
      <c r="D1196" s="28">
        <v>0.03</v>
      </c>
      <c r="E1196" s="29">
        <v>85.99</v>
      </c>
      <c r="F1196" s="29">
        <v>0.99</v>
      </c>
      <c r="G1196" s="30" t="s">
        <v>39</v>
      </c>
      <c r="H1196" s="27" t="s">
        <v>94</v>
      </c>
      <c r="I1196" s="27" t="s">
        <v>41</v>
      </c>
      <c r="J1196" s="27" t="s">
        <v>135</v>
      </c>
      <c r="K1196" s="27" t="s">
        <v>51</v>
      </c>
      <c r="L1196" s="31" t="s">
        <v>1176</v>
      </c>
      <c r="M1196" s="32">
        <v>0.55000000000000004</v>
      </c>
      <c r="N1196" s="27" t="s">
        <v>33</v>
      </c>
      <c r="O1196" s="27" t="s">
        <v>53</v>
      </c>
      <c r="P1196" s="27" t="s">
        <v>213</v>
      </c>
      <c r="Q1196" s="27" t="s">
        <v>928</v>
      </c>
      <c r="R1196" s="33">
        <v>52601</v>
      </c>
      <c r="S1196" s="34">
        <v>42112</v>
      </c>
      <c r="T1196" s="34">
        <v>42114</v>
      </c>
      <c r="U1196" s="29">
        <v>264.16649999999998</v>
      </c>
      <c r="V1196" s="26">
        <v>5</v>
      </c>
      <c r="W1196" s="29">
        <v>382.85</v>
      </c>
      <c r="X1196" s="26">
        <v>86958</v>
      </c>
      <c r="Y1196" s="35">
        <v>100.91000000000001</v>
      </c>
      <c r="Z1196" s="1" t="s">
        <v>3012</v>
      </c>
      <c r="AA1196" s="36">
        <v>12.898499999999999</v>
      </c>
      <c r="AB1196" s="54">
        <v>172.2825</v>
      </c>
      <c r="AC1196" s="54">
        <v>42.113500000000009</v>
      </c>
      <c r="AD1196" s="36">
        <v>104.79500000000002</v>
      </c>
    </row>
    <row r="1197" spans="1:30" s="37" customFormat="1" ht="15.75" customHeight="1" x14ac:dyDescent="0.2">
      <c r="A1197" s="26">
        <v>1826</v>
      </c>
      <c r="B1197" s="27" t="s">
        <v>2204</v>
      </c>
      <c r="C1197" s="27" t="s">
        <v>116</v>
      </c>
      <c r="D1197" s="28">
        <v>0.1</v>
      </c>
      <c r="E1197" s="29">
        <v>52.99</v>
      </c>
      <c r="F1197" s="29">
        <v>19.989999999999998</v>
      </c>
      <c r="G1197" s="30" t="s">
        <v>87</v>
      </c>
      <c r="H1197" s="27" t="s">
        <v>94</v>
      </c>
      <c r="I1197" s="27" t="s">
        <v>49</v>
      </c>
      <c r="J1197" s="27" t="s">
        <v>78</v>
      </c>
      <c r="K1197" s="27" t="s">
        <v>73</v>
      </c>
      <c r="L1197" s="31" t="s">
        <v>2205</v>
      </c>
      <c r="M1197" s="32">
        <v>0.81</v>
      </c>
      <c r="N1197" s="27" t="s">
        <v>33</v>
      </c>
      <c r="O1197" s="27" t="s">
        <v>53</v>
      </c>
      <c r="P1197" s="27" t="s">
        <v>213</v>
      </c>
      <c r="Q1197" s="27" t="s">
        <v>2206</v>
      </c>
      <c r="R1197" s="33">
        <v>52722</v>
      </c>
      <c r="S1197" s="34">
        <v>42112</v>
      </c>
      <c r="T1197" s="34">
        <v>42113</v>
      </c>
      <c r="U1197" s="29">
        <v>-517.16999999999996</v>
      </c>
      <c r="V1197" s="26">
        <v>7</v>
      </c>
      <c r="W1197" s="29">
        <v>337.59</v>
      </c>
      <c r="X1197" s="26">
        <v>86958</v>
      </c>
      <c r="Y1197" s="35">
        <v>85.96</v>
      </c>
      <c r="Z1197" s="1" t="s">
        <v>3012</v>
      </c>
      <c r="AA1197" s="36">
        <v>37.093000000000004</v>
      </c>
      <c r="AB1197" s="54">
        <v>64.142099999999971</v>
      </c>
      <c r="AC1197" s="54">
        <v>39.063985714285714</v>
      </c>
      <c r="AD1197" s="36">
        <v>797.67699999999991</v>
      </c>
    </row>
    <row r="1198" spans="1:30" s="37" customFormat="1" ht="15.75" customHeight="1" x14ac:dyDescent="0.2">
      <c r="A1198" s="26">
        <v>1827</v>
      </c>
      <c r="B1198" s="27" t="s">
        <v>1266</v>
      </c>
      <c r="C1198" s="27" t="s">
        <v>116</v>
      </c>
      <c r="D1198" s="28">
        <v>7.0000000000000007E-2</v>
      </c>
      <c r="E1198" s="29">
        <v>100.98</v>
      </c>
      <c r="F1198" s="29">
        <v>57.38</v>
      </c>
      <c r="G1198" s="30" t="s">
        <v>27</v>
      </c>
      <c r="H1198" s="27" t="s">
        <v>94</v>
      </c>
      <c r="I1198" s="27" t="s">
        <v>29</v>
      </c>
      <c r="J1198" s="27" t="s">
        <v>117</v>
      </c>
      <c r="K1198" s="27" t="s">
        <v>31</v>
      </c>
      <c r="L1198" s="31" t="s">
        <v>2207</v>
      </c>
      <c r="M1198" s="32">
        <v>0.78</v>
      </c>
      <c r="N1198" s="27" t="s">
        <v>33</v>
      </c>
      <c r="O1198" s="27" t="s">
        <v>53</v>
      </c>
      <c r="P1198" s="27" t="s">
        <v>213</v>
      </c>
      <c r="Q1198" s="27" t="s">
        <v>928</v>
      </c>
      <c r="R1198" s="33">
        <v>52601</v>
      </c>
      <c r="S1198" s="34">
        <v>42112</v>
      </c>
      <c r="T1198" s="34">
        <v>42115</v>
      </c>
      <c r="U1198" s="29">
        <v>-429.86</v>
      </c>
      <c r="V1198" s="26">
        <v>2</v>
      </c>
      <c r="W1198" s="29">
        <v>215.32</v>
      </c>
      <c r="X1198" s="26">
        <v>86958</v>
      </c>
      <c r="Y1198" s="35">
        <v>300.87</v>
      </c>
      <c r="Z1198" s="1" t="s">
        <v>3012</v>
      </c>
      <c r="AA1198" s="36">
        <v>14.137200000000002</v>
      </c>
      <c r="AB1198" s="54">
        <v>47.370399999999989</v>
      </c>
      <c r="AC1198" s="54">
        <v>83.974800000000002</v>
      </c>
      <c r="AD1198" s="36">
        <v>573.66280000000006</v>
      </c>
    </row>
    <row r="1199" spans="1:30" s="37" customFormat="1" ht="15.75" customHeight="1" x14ac:dyDescent="0.2">
      <c r="A1199" s="26">
        <v>1959</v>
      </c>
      <c r="B1199" s="27" t="s">
        <v>709</v>
      </c>
      <c r="C1199" s="27" t="s">
        <v>48</v>
      </c>
      <c r="D1199" s="28">
        <v>0.04</v>
      </c>
      <c r="E1199" s="29">
        <v>6.68</v>
      </c>
      <c r="F1199" s="29">
        <v>4.91</v>
      </c>
      <c r="G1199" s="30" t="s">
        <v>39</v>
      </c>
      <c r="H1199" s="27" t="s">
        <v>71</v>
      </c>
      <c r="I1199" s="27" t="s">
        <v>49</v>
      </c>
      <c r="J1199" s="27" t="s">
        <v>88</v>
      </c>
      <c r="K1199" s="27" t="s">
        <v>73</v>
      </c>
      <c r="L1199" s="31" t="s">
        <v>276</v>
      </c>
      <c r="M1199" s="32">
        <v>0.37</v>
      </c>
      <c r="N1199" s="27" t="s">
        <v>33</v>
      </c>
      <c r="O1199" s="27" t="s">
        <v>34</v>
      </c>
      <c r="P1199" s="27" t="s">
        <v>123</v>
      </c>
      <c r="Q1199" s="27" t="s">
        <v>128</v>
      </c>
      <c r="R1199" s="33">
        <v>33916</v>
      </c>
      <c r="S1199" s="34">
        <v>42112</v>
      </c>
      <c r="T1199" s="34">
        <v>42119</v>
      </c>
      <c r="U1199" s="29">
        <v>-14.3241</v>
      </c>
      <c r="V1199" s="26">
        <v>5</v>
      </c>
      <c r="W1199" s="29">
        <v>41.22</v>
      </c>
      <c r="X1199" s="26">
        <v>26342</v>
      </c>
      <c r="Y1199" s="35">
        <v>39.83</v>
      </c>
      <c r="Z1199" s="1" t="s">
        <v>3011</v>
      </c>
      <c r="AA1199" s="36">
        <v>1.3359999999999999</v>
      </c>
      <c r="AB1199" s="54">
        <v>25.968599999999999</v>
      </c>
      <c r="AC1199" s="54">
        <v>3.0502799999999999</v>
      </c>
      <c r="AD1199" s="36">
        <v>49.298099999999998</v>
      </c>
    </row>
    <row r="1200" spans="1:30" s="37" customFormat="1" ht="15.75" customHeight="1" x14ac:dyDescent="0.2">
      <c r="A1200" s="26">
        <v>1962</v>
      </c>
      <c r="B1200" s="27" t="s">
        <v>2202</v>
      </c>
      <c r="C1200" s="27" t="s">
        <v>48</v>
      </c>
      <c r="D1200" s="28">
        <v>0.04</v>
      </c>
      <c r="E1200" s="29">
        <v>6.68</v>
      </c>
      <c r="F1200" s="29">
        <v>4.91</v>
      </c>
      <c r="G1200" s="30" t="s">
        <v>39</v>
      </c>
      <c r="H1200" s="27" t="s">
        <v>71</v>
      </c>
      <c r="I1200" s="27" t="s">
        <v>49</v>
      </c>
      <c r="J1200" s="27" t="s">
        <v>88</v>
      </c>
      <c r="K1200" s="27" t="s">
        <v>73</v>
      </c>
      <c r="L1200" s="31" t="s">
        <v>276</v>
      </c>
      <c r="M1200" s="32">
        <v>0.37</v>
      </c>
      <c r="N1200" s="27" t="s">
        <v>33</v>
      </c>
      <c r="O1200" s="27" t="s">
        <v>53</v>
      </c>
      <c r="P1200" s="27" t="s">
        <v>289</v>
      </c>
      <c r="Q1200" s="27" t="s">
        <v>2203</v>
      </c>
      <c r="R1200" s="33">
        <v>48601</v>
      </c>
      <c r="S1200" s="34">
        <v>42112</v>
      </c>
      <c r="T1200" s="34">
        <v>42119</v>
      </c>
      <c r="U1200" s="29">
        <v>-11.631600000000001</v>
      </c>
      <c r="V1200" s="26">
        <v>1</v>
      </c>
      <c r="W1200" s="29">
        <v>8.24</v>
      </c>
      <c r="X1200" s="26">
        <v>88857</v>
      </c>
      <c r="Y1200" s="35">
        <v>89.899999999999991</v>
      </c>
      <c r="Z1200" s="1" t="s">
        <v>3012</v>
      </c>
      <c r="AA1200" s="36">
        <v>0.26719999999999999</v>
      </c>
      <c r="AB1200" s="54">
        <v>5.1912000000000003</v>
      </c>
      <c r="AC1200" s="54">
        <v>3.0488</v>
      </c>
      <c r="AD1200" s="36">
        <v>14.694400000000002</v>
      </c>
    </row>
    <row r="1201" spans="1:30" s="37" customFormat="1" ht="15.75" customHeight="1" x14ac:dyDescent="0.2">
      <c r="A1201" s="26">
        <v>3155</v>
      </c>
      <c r="B1201" s="27" t="s">
        <v>642</v>
      </c>
      <c r="C1201" s="27" t="s">
        <v>26</v>
      </c>
      <c r="D1201" s="28">
        <v>0.05</v>
      </c>
      <c r="E1201" s="29">
        <v>159.99</v>
      </c>
      <c r="F1201" s="29">
        <v>5.5</v>
      </c>
      <c r="G1201" s="30" t="s">
        <v>39</v>
      </c>
      <c r="H1201" s="27" t="s">
        <v>40</v>
      </c>
      <c r="I1201" s="27" t="s">
        <v>41</v>
      </c>
      <c r="J1201" s="27" t="s">
        <v>42</v>
      </c>
      <c r="K1201" s="27" t="s">
        <v>73</v>
      </c>
      <c r="L1201" s="31" t="s">
        <v>2213</v>
      </c>
      <c r="M1201" s="32">
        <v>0.49</v>
      </c>
      <c r="N1201" s="27" t="s">
        <v>33</v>
      </c>
      <c r="O1201" s="27" t="s">
        <v>34</v>
      </c>
      <c r="P1201" s="27" t="s">
        <v>123</v>
      </c>
      <c r="Q1201" s="27" t="s">
        <v>332</v>
      </c>
      <c r="R1201" s="33">
        <v>32771</v>
      </c>
      <c r="S1201" s="34">
        <v>42113</v>
      </c>
      <c r="T1201" s="34">
        <v>42115</v>
      </c>
      <c r="U1201" s="29">
        <v>12.263999999999999</v>
      </c>
      <c r="V1201" s="26">
        <v>23</v>
      </c>
      <c r="W1201" s="29">
        <v>3600.65</v>
      </c>
      <c r="X1201" s="26">
        <v>86902</v>
      </c>
      <c r="Y1201" s="35">
        <v>159.94</v>
      </c>
      <c r="Z1201" s="1" t="s">
        <v>3011</v>
      </c>
      <c r="AA1201" s="36">
        <v>183.98850000000002</v>
      </c>
      <c r="AB1201" s="54">
        <v>1836.3315</v>
      </c>
      <c r="AC1201" s="54">
        <v>76.709500000000006</v>
      </c>
      <c r="AD1201" s="36">
        <v>3398.8975</v>
      </c>
    </row>
    <row r="1202" spans="1:30" s="37" customFormat="1" ht="15.75" customHeight="1" x14ac:dyDescent="0.2">
      <c r="A1202" s="26">
        <v>1940</v>
      </c>
      <c r="B1202" s="27" t="s">
        <v>1795</v>
      </c>
      <c r="C1202" s="27" t="s">
        <v>48</v>
      </c>
      <c r="D1202" s="28">
        <v>0.08</v>
      </c>
      <c r="E1202" s="29">
        <v>122.99</v>
      </c>
      <c r="F1202" s="29">
        <v>70.2</v>
      </c>
      <c r="G1202" s="30" t="s">
        <v>27</v>
      </c>
      <c r="H1202" s="27" t="s">
        <v>94</v>
      </c>
      <c r="I1202" s="27" t="s">
        <v>29</v>
      </c>
      <c r="J1202" s="27" t="s">
        <v>109</v>
      </c>
      <c r="K1202" s="27" t="s">
        <v>58</v>
      </c>
      <c r="L1202" s="31" t="s">
        <v>804</v>
      </c>
      <c r="M1202" s="32">
        <v>0.74</v>
      </c>
      <c r="N1202" s="27" t="s">
        <v>33</v>
      </c>
      <c r="O1202" s="27" t="s">
        <v>60</v>
      </c>
      <c r="P1202" s="27" t="s">
        <v>146</v>
      </c>
      <c r="Q1202" s="27" t="s">
        <v>147</v>
      </c>
      <c r="R1202" s="33">
        <v>84020</v>
      </c>
      <c r="S1202" s="34">
        <v>42113</v>
      </c>
      <c r="T1202" s="34">
        <v>42118</v>
      </c>
      <c r="U1202" s="29">
        <v>-1867.97</v>
      </c>
      <c r="V1202" s="26">
        <v>10</v>
      </c>
      <c r="W1202" s="29">
        <v>1216.52</v>
      </c>
      <c r="X1202" s="26">
        <v>88871</v>
      </c>
      <c r="Y1202" s="35">
        <v>155.98000000000002</v>
      </c>
      <c r="Z1202" s="1" t="s">
        <v>3013</v>
      </c>
      <c r="AA1202" s="36">
        <v>98.391999999999996</v>
      </c>
      <c r="AB1202" s="54">
        <v>316.29520000000002</v>
      </c>
      <c r="AC1202" s="54">
        <v>90.022480000000002</v>
      </c>
      <c r="AD1202" s="36">
        <v>2915.8980000000001</v>
      </c>
    </row>
    <row r="1203" spans="1:30" s="37" customFormat="1" ht="15.75" customHeight="1" x14ac:dyDescent="0.2">
      <c r="A1203" s="26">
        <v>2212</v>
      </c>
      <c r="B1203" s="27" t="s">
        <v>2217</v>
      </c>
      <c r="C1203" s="27" t="s">
        <v>38</v>
      </c>
      <c r="D1203" s="28">
        <v>0.09</v>
      </c>
      <c r="E1203" s="29">
        <v>199.99</v>
      </c>
      <c r="F1203" s="29">
        <v>24.49</v>
      </c>
      <c r="G1203" s="30" t="s">
        <v>87</v>
      </c>
      <c r="H1203" s="27" t="s">
        <v>71</v>
      </c>
      <c r="I1203" s="27" t="s">
        <v>41</v>
      </c>
      <c r="J1203" s="27" t="s">
        <v>64</v>
      </c>
      <c r="K1203" s="27" t="s">
        <v>65</v>
      </c>
      <c r="L1203" s="31" t="s">
        <v>747</v>
      </c>
      <c r="M1203" s="32">
        <v>0.46</v>
      </c>
      <c r="N1203" s="27" t="s">
        <v>33</v>
      </c>
      <c r="O1203" s="27" t="s">
        <v>111</v>
      </c>
      <c r="P1203" s="27" t="s">
        <v>418</v>
      </c>
      <c r="Q1203" s="27" t="s">
        <v>2218</v>
      </c>
      <c r="R1203" s="33">
        <v>21228</v>
      </c>
      <c r="S1203" s="34">
        <v>42113</v>
      </c>
      <c r="T1203" s="34">
        <v>42115</v>
      </c>
      <c r="U1203" s="29">
        <v>631.33000000000004</v>
      </c>
      <c r="V1203" s="26">
        <v>5</v>
      </c>
      <c r="W1203" s="29">
        <v>990.25</v>
      </c>
      <c r="X1203" s="26">
        <v>88029</v>
      </c>
      <c r="Y1203" s="35">
        <v>5.9700000000000006</v>
      </c>
      <c r="Z1203" s="1" t="s">
        <v>3014</v>
      </c>
      <c r="AA1203" s="36">
        <v>89.995499999999993</v>
      </c>
      <c r="AB1203" s="54">
        <v>534.73500000000001</v>
      </c>
      <c r="AC1203" s="54">
        <v>91.103000000000009</v>
      </c>
      <c r="AD1203" s="36">
        <v>244.43449999999996</v>
      </c>
    </row>
    <row r="1204" spans="1:30" s="37" customFormat="1" ht="15.75" customHeight="1" x14ac:dyDescent="0.2">
      <c r="A1204" s="26">
        <v>1836</v>
      </c>
      <c r="B1204" s="27" t="s">
        <v>2214</v>
      </c>
      <c r="C1204" s="27" t="s">
        <v>38</v>
      </c>
      <c r="D1204" s="28">
        <v>0.01</v>
      </c>
      <c r="E1204" s="29">
        <v>155.99</v>
      </c>
      <c r="F1204" s="29">
        <v>8.99</v>
      </c>
      <c r="G1204" s="30" t="s">
        <v>87</v>
      </c>
      <c r="H1204" s="27" t="s">
        <v>94</v>
      </c>
      <c r="I1204" s="27" t="s">
        <v>41</v>
      </c>
      <c r="J1204" s="27" t="s">
        <v>135</v>
      </c>
      <c r="K1204" s="27" t="s">
        <v>73</v>
      </c>
      <c r="L1204" s="31" t="s">
        <v>1297</v>
      </c>
      <c r="M1204" s="32">
        <v>0.57999999999999996</v>
      </c>
      <c r="N1204" s="27" t="s">
        <v>33</v>
      </c>
      <c r="O1204" s="27" t="s">
        <v>60</v>
      </c>
      <c r="P1204" s="27" t="s">
        <v>90</v>
      </c>
      <c r="Q1204" s="27" t="s">
        <v>941</v>
      </c>
      <c r="R1204" s="33">
        <v>94110</v>
      </c>
      <c r="S1204" s="34">
        <v>42113</v>
      </c>
      <c r="T1204" s="34">
        <v>42114</v>
      </c>
      <c r="U1204" s="29">
        <v>-219.07908</v>
      </c>
      <c r="V1204" s="26">
        <v>5</v>
      </c>
      <c r="W1204" s="29">
        <v>675.83</v>
      </c>
      <c r="X1204" s="26">
        <v>86600</v>
      </c>
      <c r="Y1204" s="35">
        <v>199.9</v>
      </c>
      <c r="Z1204" s="1" t="s">
        <v>3013</v>
      </c>
      <c r="AA1204" s="36">
        <v>7.7995000000000001</v>
      </c>
      <c r="AB1204" s="54">
        <v>283.84860000000003</v>
      </c>
      <c r="AC1204" s="54">
        <v>78.39627999999999</v>
      </c>
      <c r="AD1204" s="36">
        <v>878.11958000000004</v>
      </c>
    </row>
    <row r="1205" spans="1:30" s="37" customFormat="1" ht="15.75" customHeight="1" x14ac:dyDescent="0.2">
      <c r="A1205" s="26">
        <v>152</v>
      </c>
      <c r="B1205" s="27" t="s">
        <v>505</v>
      </c>
      <c r="C1205" s="27" t="s">
        <v>48</v>
      </c>
      <c r="D1205" s="28">
        <v>0.01</v>
      </c>
      <c r="E1205" s="29">
        <v>79.52</v>
      </c>
      <c r="F1205" s="29">
        <v>48.2</v>
      </c>
      <c r="G1205" s="30" t="s">
        <v>39</v>
      </c>
      <c r="H1205" s="27" t="s">
        <v>71</v>
      </c>
      <c r="I1205" s="27" t="s">
        <v>29</v>
      </c>
      <c r="J1205" s="27" t="s">
        <v>126</v>
      </c>
      <c r="K1205" s="27" t="s">
        <v>144</v>
      </c>
      <c r="L1205" s="31" t="s">
        <v>2219</v>
      </c>
      <c r="M1205" s="32">
        <v>0.74</v>
      </c>
      <c r="N1205" s="27" t="s">
        <v>33</v>
      </c>
      <c r="O1205" s="27" t="s">
        <v>34</v>
      </c>
      <c r="P1205" s="27" t="s">
        <v>400</v>
      </c>
      <c r="Q1205" s="27" t="s">
        <v>507</v>
      </c>
      <c r="R1205" s="33">
        <v>37918</v>
      </c>
      <c r="S1205" s="34">
        <v>42113</v>
      </c>
      <c r="T1205" s="34">
        <v>42120</v>
      </c>
      <c r="U1205" s="29">
        <v>-40.683999999999997</v>
      </c>
      <c r="V1205" s="26">
        <v>8</v>
      </c>
      <c r="W1205" s="29">
        <v>667.84</v>
      </c>
      <c r="X1205" s="26">
        <v>89522</v>
      </c>
      <c r="Y1205" s="35">
        <v>79.509999999999991</v>
      </c>
      <c r="Z1205" s="1" t="s">
        <v>3011</v>
      </c>
      <c r="AA1205" s="36">
        <v>6.3616000000000001</v>
      </c>
      <c r="AB1205" s="54">
        <v>173.63840000000002</v>
      </c>
      <c r="AC1205" s="54">
        <v>61.775200000000005</v>
      </c>
      <c r="AD1205" s="36">
        <v>653.9624</v>
      </c>
    </row>
    <row r="1206" spans="1:30" s="37" customFormat="1" ht="15.75" customHeight="1" x14ac:dyDescent="0.2">
      <c r="A1206" s="26">
        <v>1940</v>
      </c>
      <c r="B1206" s="27" t="s">
        <v>1795</v>
      </c>
      <c r="C1206" s="27" t="s">
        <v>48</v>
      </c>
      <c r="D1206" s="28">
        <v>0</v>
      </c>
      <c r="E1206" s="29">
        <v>78.650000000000006</v>
      </c>
      <c r="F1206" s="29">
        <v>13.99</v>
      </c>
      <c r="G1206" s="30" t="s">
        <v>39</v>
      </c>
      <c r="H1206" s="27" t="s">
        <v>94</v>
      </c>
      <c r="I1206" s="27" t="s">
        <v>49</v>
      </c>
      <c r="J1206" s="27" t="s">
        <v>95</v>
      </c>
      <c r="K1206" s="27" t="s">
        <v>144</v>
      </c>
      <c r="L1206" s="31" t="s">
        <v>1714</v>
      </c>
      <c r="M1206" s="32">
        <v>0.52</v>
      </c>
      <c r="N1206" s="27" t="s">
        <v>33</v>
      </c>
      <c r="O1206" s="27" t="s">
        <v>60</v>
      </c>
      <c r="P1206" s="27" t="s">
        <v>146</v>
      </c>
      <c r="Q1206" s="27" t="s">
        <v>147</v>
      </c>
      <c r="R1206" s="33">
        <v>84020</v>
      </c>
      <c r="S1206" s="34">
        <v>42113</v>
      </c>
      <c r="T1206" s="34">
        <v>42120</v>
      </c>
      <c r="U1206" s="29">
        <v>386.00670000000002</v>
      </c>
      <c r="V1206" s="26">
        <v>7</v>
      </c>
      <c r="W1206" s="29">
        <v>559.42999999999995</v>
      </c>
      <c r="X1206" s="26">
        <v>88871</v>
      </c>
      <c r="Y1206" s="35">
        <v>3.52</v>
      </c>
      <c r="Z1206" s="1" t="s">
        <v>3013</v>
      </c>
      <c r="AA1206" s="36">
        <v>0</v>
      </c>
      <c r="AB1206" s="54">
        <v>268.52639999999997</v>
      </c>
      <c r="AC1206" s="54">
        <v>41.557657142857146</v>
      </c>
      <c r="AD1206" s="36">
        <v>159.43329999999992</v>
      </c>
    </row>
    <row r="1207" spans="1:30" s="37" customFormat="1" ht="15.75" customHeight="1" x14ac:dyDescent="0.2">
      <c r="A1207" s="26">
        <v>1933</v>
      </c>
      <c r="B1207" s="27" t="s">
        <v>2220</v>
      </c>
      <c r="C1207" s="27" t="s">
        <v>48</v>
      </c>
      <c r="D1207" s="28">
        <v>0.06</v>
      </c>
      <c r="E1207" s="29">
        <v>3.58</v>
      </c>
      <c r="F1207" s="29">
        <v>1.63</v>
      </c>
      <c r="G1207" s="30" t="s">
        <v>39</v>
      </c>
      <c r="H1207" s="27" t="s">
        <v>94</v>
      </c>
      <c r="I1207" s="27" t="s">
        <v>49</v>
      </c>
      <c r="J1207" s="27" t="s">
        <v>176</v>
      </c>
      <c r="K1207" s="27" t="s">
        <v>51</v>
      </c>
      <c r="L1207" s="31" t="s">
        <v>2221</v>
      </c>
      <c r="M1207" s="32">
        <v>0.36</v>
      </c>
      <c r="N1207" s="27" t="s">
        <v>33</v>
      </c>
      <c r="O1207" s="27" t="s">
        <v>53</v>
      </c>
      <c r="P1207" s="27" t="s">
        <v>187</v>
      </c>
      <c r="Q1207" s="27" t="s">
        <v>2222</v>
      </c>
      <c r="R1207" s="33">
        <v>75043</v>
      </c>
      <c r="S1207" s="34">
        <v>42113</v>
      </c>
      <c r="T1207" s="34">
        <v>42117</v>
      </c>
      <c r="U1207" s="29">
        <v>14</v>
      </c>
      <c r="V1207" s="26">
        <v>10</v>
      </c>
      <c r="W1207" s="29">
        <v>34.76</v>
      </c>
      <c r="X1207" s="26">
        <v>86687</v>
      </c>
      <c r="Y1207" s="35">
        <v>78.650000000000006</v>
      </c>
      <c r="Z1207" s="1" t="s">
        <v>3012</v>
      </c>
      <c r="AA1207" s="36">
        <v>2.1479999999999997</v>
      </c>
      <c r="AB1207" s="54">
        <v>22.246399999999998</v>
      </c>
      <c r="AC1207" s="54">
        <v>1.25136</v>
      </c>
      <c r="AD1207" s="36">
        <v>16.981999999999999</v>
      </c>
    </row>
    <row r="1208" spans="1:30" s="37" customFormat="1" ht="15.75" customHeight="1" x14ac:dyDescent="0.2">
      <c r="A1208" s="26">
        <v>2066</v>
      </c>
      <c r="B1208" s="27" t="s">
        <v>1872</v>
      </c>
      <c r="C1208" s="27" t="s">
        <v>48</v>
      </c>
      <c r="D1208" s="28">
        <v>0.1</v>
      </c>
      <c r="E1208" s="29">
        <v>4.24</v>
      </c>
      <c r="F1208" s="29">
        <v>5.41</v>
      </c>
      <c r="G1208" s="30" t="s">
        <v>39</v>
      </c>
      <c r="H1208" s="27" t="s">
        <v>94</v>
      </c>
      <c r="I1208" s="27" t="s">
        <v>49</v>
      </c>
      <c r="J1208" s="27" t="s">
        <v>72</v>
      </c>
      <c r="K1208" s="27" t="s">
        <v>73</v>
      </c>
      <c r="L1208" s="31" t="s">
        <v>1671</v>
      </c>
      <c r="M1208" s="32">
        <v>0.35</v>
      </c>
      <c r="N1208" s="27" t="s">
        <v>33</v>
      </c>
      <c r="O1208" s="27" t="s">
        <v>34</v>
      </c>
      <c r="P1208" s="27" t="s">
        <v>97</v>
      </c>
      <c r="Q1208" s="27" t="s">
        <v>1874</v>
      </c>
      <c r="R1208" s="33">
        <v>28079</v>
      </c>
      <c r="S1208" s="34">
        <v>42113</v>
      </c>
      <c r="T1208" s="34">
        <v>42117</v>
      </c>
      <c r="U1208" s="29">
        <v>-61.6</v>
      </c>
      <c r="V1208" s="26">
        <v>8</v>
      </c>
      <c r="W1208" s="29">
        <v>34.159999999999997</v>
      </c>
      <c r="X1208" s="26">
        <v>85835</v>
      </c>
      <c r="Y1208" s="35">
        <v>122.91</v>
      </c>
      <c r="Z1208" s="1" t="s">
        <v>3011</v>
      </c>
      <c r="AA1208" s="36">
        <v>3.3920000000000003</v>
      </c>
      <c r="AB1208" s="54">
        <v>22.203999999999997</v>
      </c>
      <c r="AC1208" s="54">
        <v>1.4944999999999997</v>
      </c>
      <c r="AD1208" s="36">
        <v>86.957999999999998</v>
      </c>
    </row>
    <row r="1209" spans="1:30" s="37" customFormat="1" ht="15.75" customHeight="1" x14ac:dyDescent="0.2">
      <c r="A1209" s="26">
        <v>1837</v>
      </c>
      <c r="B1209" s="27" t="s">
        <v>2215</v>
      </c>
      <c r="C1209" s="27" t="s">
        <v>38</v>
      </c>
      <c r="D1209" s="28">
        <v>0.01</v>
      </c>
      <c r="E1209" s="29">
        <v>5.98</v>
      </c>
      <c r="F1209" s="29">
        <v>5.46</v>
      </c>
      <c r="G1209" s="30" t="s">
        <v>39</v>
      </c>
      <c r="H1209" s="27" t="s">
        <v>94</v>
      </c>
      <c r="I1209" s="27" t="s">
        <v>49</v>
      </c>
      <c r="J1209" s="27" t="s">
        <v>88</v>
      </c>
      <c r="K1209" s="27" t="s">
        <v>73</v>
      </c>
      <c r="L1209" s="31" t="s">
        <v>1156</v>
      </c>
      <c r="M1209" s="32">
        <v>0.36</v>
      </c>
      <c r="N1209" s="27" t="s">
        <v>33</v>
      </c>
      <c r="O1209" s="27" t="s">
        <v>60</v>
      </c>
      <c r="P1209" s="27" t="s">
        <v>90</v>
      </c>
      <c r="Q1209" s="27" t="s">
        <v>2216</v>
      </c>
      <c r="R1209" s="33">
        <v>91776</v>
      </c>
      <c r="S1209" s="34">
        <v>42113</v>
      </c>
      <c r="T1209" s="34">
        <v>42115</v>
      </c>
      <c r="U1209" s="29">
        <v>-18.878399999999999</v>
      </c>
      <c r="V1209" s="26">
        <v>4</v>
      </c>
      <c r="W1209" s="29">
        <v>28</v>
      </c>
      <c r="X1209" s="26">
        <v>86600</v>
      </c>
      <c r="Y1209" s="35">
        <v>4.1400000000000006</v>
      </c>
      <c r="Z1209" s="1" t="s">
        <v>3013</v>
      </c>
      <c r="AA1209" s="36">
        <v>0.23920000000000002</v>
      </c>
      <c r="AB1209" s="54">
        <v>17.920000000000002</v>
      </c>
      <c r="AC1209" s="54">
        <v>2.52</v>
      </c>
      <c r="AD1209" s="36">
        <v>41.179199999999994</v>
      </c>
    </row>
    <row r="1210" spans="1:30" s="37" customFormat="1" ht="15.75" customHeight="1" x14ac:dyDescent="0.2">
      <c r="A1210" s="26">
        <v>2547</v>
      </c>
      <c r="B1210" s="27" t="s">
        <v>2223</v>
      </c>
      <c r="C1210" s="27" t="s">
        <v>48</v>
      </c>
      <c r="D1210" s="28">
        <v>7.0000000000000007E-2</v>
      </c>
      <c r="E1210" s="29">
        <v>6.48</v>
      </c>
      <c r="F1210" s="29">
        <v>9.5399999999999991</v>
      </c>
      <c r="G1210" s="30" t="s">
        <v>39</v>
      </c>
      <c r="H1210" s="27" t="s">
        <v>3095</v>
      </c>
      <c r="I1210" s="27" t="s">
        <v>49</v>
      </c>
      <c r="J1210" s="27" t="s">
        <v>88</v>
      </c>
      <c r="K1210" s="27" t="s">
        <v>73</v>
      </c>
      <c r="L1210" s="31" t="s">
        <v>2224</v>
      </c>
      <c r="M1210" s="32">
        <v>0.37</v>
      </c>
      <c r="N1210" s="27" t="s">
        <v>33</v>
      </c>
      <c r="O1210" s="27" t="s">
        <v>34</v>
      </c>
      <c r="P1210" s="27" t="s">
        <v>242</v>
      </c>
      <c r="Q1210" s="27" t="s">
        <v>2225</v>
      </c>
      <c r="R1210" s="33">
        <v>23464</v>
      </c>
      <c r="S1210" s="34">
        <v>42113</v>
      </c>
      <c r="T1210" s="34">
        <v>42113</v>
      </c>
      <c r="U1210" s="29">
        <v>2.2320000000000002</v>
      </c>
      <c r="V1210" s="26">
        <v>1</v>
      </c>
      <c r="W1210" s="29">
        <v>10.86</v>
      </c>
      <c r="X1210" s="26">
        <v>87916</v>
      </c>
      <c r="Y1210" s="35">
        <v>6.41</v>
      </c>
      <c r="Z1210" s="1" t="s">
        <v>3011</v>
      </c>
      <c r="AA1210" s="36">
        <v>0.45360000000000006</v>
      </c>
      <c r="AB1210" s="54">
        <v>6.8418000000000001</v>
      </c>
      <c r="AC1210" s="54">
        <v>4.0181999999999993</v>
      </c>
      <c r="AD1210" s="36">
        <v>-1.3655999999999988</v>
      </c>
    </row>
    <row r="1211" spans="1:30" s="37" customFormat="1" ht="15.75" customHeight="1" x14ac:dyDescent="0.2">
      <c r="A1211" s="26">
        <v>2117</v>
      </c>
      <c r="B1211" s="27" t="s">
        <v>2231</v>
      </c>
      <c r="C1211" s="27" t="s">
        <v>38</v>
      </c>
      <c r="D1211" s="28">
        <v>0.03</v>
      </c>
      <c r="E1211" s="29">
        <v>320.98</v>
      </c>
      <c r="F1211" s="29">
        <v>24.49</v>
      </c>
      <c r="G1211" s="30" t="s">
        <v>39</v>
      </c>
      <c r="H1211" s="27" t="s">
        <v>71</v>
      </c>
      <c r="I1211" s="27" t="s">
        <v>29</v>
      </c>
      <c r="J1211" s="27" t="s">
        <v>109</v>
      </c>
      <c r="K1211" s="27" t="s">
        <v>65</v>
      </c>
      <c r="L1211" s="31" t="s">
        <v>2232</v>
      </c>
      <c r="M1211" s="32">
        <v>0.55000000000000004</v>
      </c>
      <c r="N1211" s="27" t="s">
        <v>33</v>
      </c>
      <c r="O1211" s="27" t="s">
        <v>53</v>
      </c>
      <c r="P1211" s="27" t="s">
        <v>187</v>
      </c>
      <c r="Q1211" s="27" t="s">
        <v>1027</v>
      </c>
      <c r="R1211" s="33">
        <v>75401</v>
      </c>
      <c r="S1211" s="34">
        <v>42114</v>
      </c>
      <c r="T1211" s="34">
        <v>42116</v>
      </c>
      <c r="U1211" s="29">
        <v>4554.4346999999998</v>
      </c>
      <c r="V1211" s="26">
        <v>20</v>
      </c>
      <c r="W1211" s="29">
        <v>6600.63</v>
      </c>
      <c r="X1211" s="26">
        <v>90891</v>
      </c>
      <c r="Y1211" s="35">
        <v>315.95000000000005</v>
      </c>
      <c r="Z1211" s="1" t="s">
        <v>3012</v>
      </c>
      <c r="AA1211" s="36">
        <v>192.58800000000002</v>
      </c>
      <c r="AB1211" s="54">
        <v>2970.2834999999995</v>
      </c>
      <c r="AC1211" s="54">
        <v>181.517325</v>
      </c>
      <c r="AD1211" s="36">
        <v>1829.1173000000008</v>
      </c>
    </row>
    <row r="1212" spans="1:30" s="37" customFormat="1" ht="15.75" customHeight="1" x14ac:dyDescent="0.2">
      <c r="A1212" s="26">
        <v>3380</v>
      </c>
      <c r="B1212" s="27" t="s">
        <v>2226</v>
      </c>
      <c r="C1212" s="27" t="s">
        <v>26</v>
      </c>
      <c r="D1212" s="28">
        <v>0.03</v>
      </c>
      <c r="E1212" s="29">
        <v>315.98</v>
      </c>
      <c r="F1212" s="29">
        <v>19.989999999999998</v>
      </c>
      <c r="G1212" s="30" t="s">
        <v>39</v>
      </c>
      <c r="H1212" s="27" t="s">
        <v>71</v>
      </c>
      <c r="I1212" s="27" t="s">
        <v>49</v>
      </c>
      <c r="J1212" s="27" t="s">
        <v>72</v>
      </c>
      <c r="K1212" s="27" t="s">
        <v>73</v>
      </c>
      <c r="L1212" s="31" t="s">
        <v>2227</v>
      </c>
      <c r="M1212" s="32">
        <v>0.38</v>
      </c>
      <c r="N1212" s="27" t="s">
        <v>33</v>
      </c>
      <c r="O1212" s="27" t="s">
        <v>34</v>
      </c>
      <c r="P1212" s="27" t="s">
        <v>75</v>
      </c>
      <c r="Q1212" s="27" t="s">
        <v>2228</v>
      </c>
      <c r="R1212" s="33">
        <v>30240</v>
      </c>
      <c r="S1212" s="34">
        <v>42114</v>
      </c>
      <c r="T1212" s="34">
        <v>42116</v>
      </c>
      <c r="U1212" s="29">
        <v>-4.4800000000000004</v>
      </c>
      <c r="V1212" s="26">
        <v>18</v>
      </c>
      <c r="W1212" s="29">
        <v>5572.18</v>
      </c>
      <c r="X1212" s="26">
        <v>88838</v>
      </c>
      <c r="Y1212" s="35">
        <v>63.91</v>
      </c>
      <c r="Z1212" s="1" t="s">
        <v>3011</v>
      </c>
      <c r="AA1212" s="36">
        <v>170.6292</v>
      </c>
      <c r="AB1212" s="54">
        <v>3454.7516000000001</v>
      </c>
      <c r="AC1212" s="54">
        <v>117.63491111111112</v>
      </c>
      <c r="AD1212" s="36">
        <v>5386.0408000000007</v>
      </c>
    </row>
    <row r="1213" spans="1:30" s="37" customFormat="1" ht="15.75" customHeight="1" x14ac:dyDescent="0.2">
      <c r="A1213" s="26">
        <v>241</v>
      </c>
      <c r="B1213" s="27" t="s">
        <v>2240</v>
      </c>
      <c r="C1213" s="27" t="s">
        <v>116</v>
      </c>
      <c r="D1213" s="28">
        <v>0.06</v>
      </c>
      <c r="E1213" s="29">
        <v>259.70999999999998</v>
      </c>
      <c r="F1213" s="29">
        <v>66.67</v>
      </c>
      <c r="G1213" s="30" t="s">
        <v>27</v>
      </c>
      <c r="H1213" s="27" t="s">
        <v>3095</v>
      </c>
      <c r="I1213" s="27" t="s">
        <v>29</v>
      </c>
      <c r="J1213" s="27" t="s">
        <v>30</v>
      </c>
      <c r="K1213" s="27" t="s">
        <v>31</v>
      </c>
      <c r="L1213" s="31" t="s">
        <v>1026</v>
      </c>
      <c r="M1213" s="32">
        <v>0.61</v>
      </c>
      <c r="N1213" s="27" t="s">
        <v>33</v>
      </c>
      <c r="O1213" s="27" t="s">
        <v>60</v>
      </c>
      <c r="P1213" s="27" t="s">
        <v>61</v>
      </c>
      <c r="Q1213" s="27" t="s">
        <v>2241</v>
      </c>
      <c r="R1213" s="33">
        <v>81503</v>
      </c>
      <c r="S1213" s="34">
        <v>42114</v>
      </c>
      <c r="T1213" s="34">
        <v>42115</v>
      </c>
      <c r="U1213" s="29">
        <v>785.63</v>
      </c>
      <c r="V1213" s="26">
        <v>11</v>
      </c>
      <c r="W1213" s="29">
        <v>2809.87</v>
      </c>
      <c r="X1213" s="26">
        <v>90479</v>
      </c>
      <c r="Y1213" s="35">
        <v>5.8900000000000006</v>
      </c>
      <c r="Z1213" s="1" t="s">
        <v>3013</v>
      </c>
      <c r="AA1213" s="36">
        <v>171.40859999999998</v>
      </c>
      <c r="AB1213" s="54">
        <v>1095.8493000000001</v>
      </c>
      <c r="AC1213" s="54">
        <v>155.82006363636364</v>
      </c>
      <c r="AD1213" s="36">
        <v>1786.1614</v>
      </c>
    </row>
    <row r="1214" spans="1:30" s="37" customFormat="1" ht="15.75" customHeight="1" x14ac:dyDescent="0.2">
      <c r="A1214" s="26">
        <v>2117</v>
      </c>
      <c r="B1214" s="27" t="s">
        <v>2231</v>
      </c>
      <c r="C1214" s="27" t="s">
        <v>38</v>
      </c>
      <c r="D1214" s="28">
        <v>0.06</v>
      </c>
      <c r="E1214" s="29">
        <v>125.99</v>
      </c>
      <c r="F1214" s="29">
        <v>8.8000000000000007</v>
      </c>
      <c r="G1214" s="30" t="s">
        <v>39</v>
      </c>
      <c r="H1214" s="27" t="s">
        <v>71</v>
      </c>
      <c r="I1214" s="27" t="s">
        <v>41</v>
      </c>
      <c r="J1214" s="27" t="s">
        <v>135</v>
      </c>
      <c r="K1214" s="27" t="s">
        <v>73</v>
      </c>
      <c r="L1214" s="31" t="s">
        <v>2233</v>
      </c>
      <c r="M1214" s="32">
        <v>0.59</v>
      </c>
      <c r="N1214" s="27" t="s">
        <v>33</v>
      </c>
      <c r="O1214" s="27" t="s">
        <v>53</v>
      </c>
      <c r="P1214" s="27" t="s">
        <v>187</v>
      </c>
      <c r="Q1214" s="27" t="s">
        <v>1027</v>
      </c>
      <c r="R1214" s="33">
        <v>75401</v>
      </c>
      <c r="S1214" s="34">
        <v>42114</v>
      </c>
      <c r="T1214" s="34">
        <v>42115</v>
      </c>
      <c r="U1214" s="29">
        <v>618.19308000000001</v>
      </c>
      <c r="V1214" s="26">
        <v>18</v>
      </c>
      <c r="W1214" s="29">
        <v>1811.99</v>
      </c>
      <c r="X1214" s="26">
        <v>90891</v>
      </c>
      <c r="Y1214" s="35">
        <v>3.66</v>
      </c>
      <c r="Z1214" s="1" t="s">
        <v>3012</v>
      </c>
      <c r="AA1214" s="36">
        <v>136.0692</v>
      </c>
      <c r="AB1214" s="54">
        <v>742.91590000000008</v>
      </c>
      <c r="AC1214" s="54">
        <v>59.393005555555547</v>
      </c>
      <c r="AD1214" s="36">
        <v>1048.9277200000001</v>
      </c>
    </row>
    <row r="1215" spans="1:30" s="37" customFormat="1" ht="15.75" customHeight="1" x14ac:dyDescent="0.2">
      <c r="A1215" s="26">
        <v>970</v>
      </c>
      <c r="B1215" s="27" t="s">
        <v>2242</v>
      </c>
      <c r="C1215" s="27" t="s">
        <v>116</v>
      </c>
      <c r="D1215" s="28">
        <v>0</v>
      </c>
      <c r="E1215" s="29">
        <v>170.98</v>
      </c>
      <c r="F1215" s="29">
        <v>35.89</v>
      </c>
      <c r="G1215" s="30" t="s">
        <v>27</v>
      </c>
      <c r="H1215" s="27" t="s">
        <v>40</v>
      </c>
      <c r="I1215" s="27" t="s">
        <v>29</v>
      </c>
      <c r="J1215" s="27" t="s">
        <v>117</v>
      </c>
      <c r="K1215" s="27" t="s">
        <v>31</v>
      </c>
      <c r="L1215" s="31" t="s">
        <v>1469</v>
      </c>
      <c r="M1215" s="32">
        <v>0.66</v>
      </c>
      <c r="N1215" s="27" t="s">
        <v>33</v>
      </c>
      <c r="O1215" s="27" t="s">
        <v>34</v>
      </c>
      <c r="P1215" s="27" t="s">
        <v>242</v>
      </c>
      <c r="Q1215" s="27" t="s">
        <v>2243</v>
      </c>
      <c r="R1215" s="33">
        <v>24281</v>
      </c>
      <c r="S1215" s="34">
        <v>42114</v>
      </c>
      <c r="T1215" s="34">
        <v>42115</v>
      </c>
      <c r="U1215" s="29">
        <v>-102.66200000000001</v>
      </c>
      <c r="V1215" s="26">
        <v>8</v>
      </c>
      <c r="W1215" s="29">
        <v>1452.18</v>
      </c>
      <c r="X1215" s="26">
        <v>86173</v>
      </c>
      <c r="Y1215" s="35">
        <v>320.95000000000005</v>
      </c>
      <c r="Z1215" s="1" t="s">
        <v>3011</v>
      </c>
      <c r="AA1215" s="36">
        <v>0</v>
      </c>
      <c r="AB1215" s="54">
        <v>493.74119999999999</v>
      </c>
      <c r="AC1215" s="54">
        <v>119.80485000000002</v>
      </c>
      <c r="AD1215" s="36">
        <v>1518.952</v>
      </c>
    </row>
    <row r="1216" spans="1:30" s="37" customFormat="1" ht="15.75" customHeight="1" x14ac:dyDescent="0.2">
      <c r="A1216" s="26">
        <v>3084</v>
      </c>
      <c r="B1216" s="27" t="s">
        <v>2234</v>
      </c>
      <c r="C1216" s="27" t="s">
        <v>38</v>
      </c>
      <c r="D1216" s="28">
        <v>0</v>
      </c>
      <c r="E1216" s="29">
        <v>65.989999999999995</v>
      </c>
      <c r="F1216" s="29">
        <v>5.99</v>
      </c>
      <c r="G1216" s="30" t="s">
        <v>87</v>
      </c>
      <c r="H1216" s="27" t="s">
        <v>3095</v>
      </c>
      <c r="I1216" s="27" t="s">
        <v>41</v>
      </c>
      <c r="J1216" s="27" t="s">
        <v>135</v>
      </c>
      <c r="K1216" s="27" t="s">
        <v>73</v>
      </c>
      <c r="L1216" s="31" t="s">
        <v>298</v>
      </c>
      <c r="M1216" s="32">
        <v>0.57999999999999996</v>
      </c>
      <c r="N1216" s="27" t="s">
        <v>33</v>
      </c>
      <c r="O1216" s="27" t="s">
        <v>60</v>
      </c>
      <c r="P1216" s="27" t="s">
        <v>67</v>
      </c>
      <c r="Q1216" s="27" t="s">
        <v>487</v>
      </c>
      <c r="R1216" s="33">
        <v>98503</v>
      </c>
      <c r="S1216" s="34">
        <v>42114</v>
      </c>
      <c r="T1216" s="34">
        <v>42116</v>
      </c>
      <c r="U1216" s="29">
        <v>313.81200000000001</v>
      </c>
      <c r="V1216" s="26">
        <v>14</v>
      </c>
      <c r="W1216" s="29">
        <v>798.89</v>
      </c>
      <c r="X1216" s="26">
        <v>89879</v>
      </c>
      <c r="Y1216" s="35">
        <v>125.92999999999999</v>
      </c>
      <c r="Z1216" s="1" t="s">
        <v>3013</v>
      </c>
      <c r="AA1216" s="36">
        <v>0</v>
      </c>
      <c r="AB1216" s="54">
        <v>335.53380000000004</v>
      </c>
      <c r="AC1216" s="54">
        <v>33.096871428571426</v>
      </c>
      <c r="AD1216" s="36">
        <v>479.08799999999997</v>
      </c>
    </row>
    <row r="1217" spans="1:30" s="37" customFormat="1" ht="15.75" customHeight="1" x14ac:dyDescent="0.2">
      <c r="A1217" s="26">
        <v>3380</v>
      </c>
      <c r="B1217" s="27" t="s">
        <v>2226</v>
      </c>
      <c r="C1217" s="27" t="s">
        <v>26</v>
      </c>
      <c r="D1217" s="28">
        <v>0.03</v>
      </c>
      <c r="E1217" s="29">
        <v>63.94</v>
      </c>
      <c r="F1217" s="29">
        <v>14.48</v>
      </c>
      <c r="G1217" s="30" t="s">
        <v>39</v>
      </c>
      <c r="H1217" s="27" t="s">
        <v>71</v>
      </c>
      <c r="I1217" s="27" t="s">
        <v>29</v>
      </c>
      <c r="J1217" s="27" t="s">
        <v>126</v>
      </c>
      <c r="K1217" s="27" t="s">
        <v>73</v>
      </c>
      <c r="L1217" s="31" t="s">
        <v>1994</v>
      </c>
      <c r="M1217" s="32">
        <v>0.46</v>
      </c>
      <c r="N1217" s="27" t="s">
        <v>33</v>
      </c>
      <c r="O1217" s="27" t="s">
        <v>34</v>
      </c>
      <c r="P1217" s="27" t="s">
        <v>75</v>
      </c>
      <c r="Q1217" s="27" t="s">
        <v>2228</v>
      </c>
      <c r="R1217" s="33">
        <v>30240</v>
      </c>
      <c r="S1217" s="34">
        <v>42114</v>
      </c>
      <c r="T1217" s="34">
        <v>42115</v>
      </c>
      <c r="U1217" s="29">
        <v>43.691699999999997</v>
      </c>
      <c r="V1217" s="26">
        <v>8</v>
      </c>
      <c r="W1217" s="29">
        <v>522.46</v>
      </c>
      <c r="X1217" s="26">
        <v>88838</v>
      </c>
      <c r="Y1217" s="35">
        <v>65.989999999999995</v>
      </c>
      <c r="Z1217" s="1" t="s">
        <v>3011</v>
      </c>
      <c r="AA1217" s="36">
        <v>15.345599999999999</v>
      </c>
      <c r="AB1217" s="54">
        <v>282.12840000000006</v>
      </c>
      <c r="AC1217" s="54">
        <v>30.041450000000005</v>
      </c>
      <c r="AD1217" s="36">
        <v>448.94270000000006</v>
      </c>
    </row>
    <row r="1218" spans="1:30" s="37" customFormat="1" ht="15.75" customHeight="1" x14ac:dyDescent="0.2">
      <c r="A1218" s="26">
        <v>56</v>
      </c>
      <c r="B1218" s="27" t="s">
        <v>2235</v>
      </c>
      <c r="C1218" s="27" t="s">
        <v>116</v>
      </c>
      <c r="D1218" s="28">
        <v>0.06</v>
      </c>
      <c r="E1218" s="29">
        <v>3.8</v>
      </c>
      <c r="F1218" s="29">
        <v>1.49</v>
      </c>
      <c r="G1218" s="30" t="s">
        <v>39</v>
      </c>
      <c r="H1218" s="27" t="s">
        <v>40</v>
      </c>
      <c r="I1218" s="27" t="s">
        <v>49</v>
      </c>
      <c r="J1218" s="27" t="s">
        <v>72</v>
      </c>
      <c r="K1218" s="27" t="s">
        <v>73</v>
      </c>
      <c r="L1218" s="31" t="s">
        <v>1192</v>
      </c>
      <c r="M1218" s="32">
        <v>0.38</v>
      </c>
      <c r="N1218" s="27" t="s">
        <v>33</v>
      </c>
      <c r="O1218" s="27" t="s">
        <v>111</v>
      </c>
      <c r="P1218" s="27" t="s">
        <v>112</v>
      </c>
      <c r="Q1218" s="27" t="s">
        <v>2236</v>
      </c>
      <c r="R1218" s="33">
        <v>14150</v>
      </c>
      <c r="S1218" s="34">
        <v>42114</v>
      </c>
      <c r="T1218" s="34">
        <v>42115</v>
      </c>
      <c r="U1218" s="29">
        <v>19.6282</v>
      </c>
      <c r="V1218" s="26">
        <v>20</v>
      </c>
      <c r="W1218" s="29">
        <v>73.55</v>
      </c>
      <c r="X1218" s="26">
        <v>88075</v>
      </c>
      <c r="Y1218" s="35">
        <v>3.7399999999999998</v>
      </c>
      <c r="Z1218" s="1" t="s">
        <v>3014</v>
      </c>
      <c r="AA1218" s="36">
        <v>4.5599999999999996</v>
      </c>
      <c r="AB1218" s="54">
        <v>45.600999999999999</v>
      </c>
      <c r="AC1218" s="54">
        <v>1.3974499999999999</v>
      </c>
      <c r="AD1218" s="36">
        <v>47.8718</v>
      </c>
    </row>
    <row r="1219" spans="1:30" s="37" customFormat="1" ht="15.75" customHeight="1" x14ac:dyDescent="0.2">
      <c r="A1219" s="26">
        <v>240</v>
      </c>
      <c r="B1219" s="27" t="s">
        <v>2237</v>
      </c>
      <c r="C1219" s="27" t="s">
        <v>116</v>
      </c>
      <c r="D1219" s="28">
        <v>0.1</v>
      </c>
      <c r="E1219" s="29">
        <v>19.98</v>
      </c>
      <c r="F1219" s="29">
        <v>5.77</v>
      </c>
      <c r="G1219" s="30" t="s">
        <v>87</v>
      </c>
      <c r="H1219" s="27" t="s">
        <v>3095</v>
      </c>
      <c r="I1219" s="27" t="s">
        <v>49</v>
      </c>
      <c r="J1219" s="27" t="s">
        <v>88</v>
      </c>
      <c r="K1219" s="27" t="s">
        <v>73</v>
      </c>
      <c r="L1219" s="31" t="s">
        <v>2238</v>
      </c>
      <c r="M1219" s="32">
        <v>0.38</v>
      </c>
      <c r="N1219" s="27" t="s">
        <v>33</v>
      </c>
      <c r="O1219" s="27" t="s">
        <v>60</v>
      </c>
      <c r="P1219" s="27" t="s">
        <v>61</v>
      </c>
      <c r="Q1219" s="27" t="s">
        <v>2239</v>
      </c>
      <c r="R1219" s="33">
        <v>80817</v>
      </c>
      <c r="S1219" s="34">
        <v>42114</v>
      </c>
      <c r="T1219" s="34">
        <v>42114</v>
      </c>
      <c r="U1219" s="29">
        <v>35.090000000000003</v>
      </c>
      <c r="V1219" s="26">
        <v>3</v>
      </c>
      <c r="W1219" s="29">
        <v>57.41</v>
      </c>
      <c r="X1219" s="26">
        <v>90479</v>
      </c>
      <c r="Y1219" s="35">
        <v>1.7</v>
      </c>
      <c r="Z1219" s="1" t="s">
        <v>3013</v>
      </c>
      <c r="AA1219" s="36">
        <v>5.9940000000000007</v>
      </c>
      <c r="AB1219" s="54">
        <v>35.594200000000001</v>
      </c>
      <c r="AC1219" s="54">
        <v>7.2719333333333331</v>
      </c>
      <c r="AD1219" s="36">
        <v>10.555999999999997</v>
      </c>
    </row>
    <row r="1220" spans="1:30" s="37" customFormat="1" ht="15.75" customHeight="1" x14ac:dyDescent="0.2">
      <c r="A1220" s="26">
        <v>1259</v>
      </c>
      <c r="B1220" s="27" t="s">
        <v>2229</v>
      </c>
      <c r="C1220" s="27" t="s">
        <v>38</v>
      </c>
      <c r="D1220" s="28">
        <v>0.03</v>
      </c>
      <c r="E1220" s="29">
        <v>3.69</v>
      </c>
      <c r="F1220" s="29">
        <v>2.5</v>
      </c>
      <c r="G1220" s="30" t="s">
        <v>87</v>
      </c>
      <c r="H1220" s="27" t="s">
        <v>71</v>
      </c>
      <c r="I1220" s="27" t="s">
        <v>49</v>
      </c>
      <c r="J1220" s="27" t="s">
        <v>345</v>
      </c>
      <c r="K1220" s="27" t="s">
        <v>73</v>
      </c>
      <c r="L1220" s="31" t="s">
        <v>2230</v>
      </c>
      <c r="M1220" s="32">
        <v>0.39</v>
      </c>
      <c r="N1220" s="27" t="s">
        <v>33</v>
      </c>
      <c r="O1220" s="27" t="s">
        <v>34</v>
      </c>
      <c r="P1220" s="27" t="s">
        <v>388</v>
      </c>
      <c r="Q1220" s="27" t="s">
        <v>1586</v>
      </c>
      <c r="R1220" s="33">
        <v>40422</v>
      </c>
      <c r="S1220" s="34">
        <v>42114</v>
      </c>
      <c r="T1220" s="34">
        <v>42114</v>
      </c>
      <c r="U1220" s="29">
        <v>-2196.6840000000002</v>
      </c>
      <c r="V1220" s="26">
        <v>9</v>
      </c>
      <c r="W1220" s="29">
        <v>38.65</v>
      </c>
      <c r="X1220" s="26">
        <v>86534</v>
      </c>
      <c r="Y1220" s="35">
        <v>19.88</v>
      </c>
      <c r="Z1220" s="1" t="s">
        <v>3011</v>
      </c>
      <c r="AA1220" s="36">
        <v>0.99629999999999996</v>
      </c>
      <c r="AB1220" s="54">
        <v>23.576499999999999</v>
      </c>
      <c r="AC1220" s="54">
        <v>1.6748333333333334</v>
      </c>
      <c r="AD1220" s="36">
        <v>2231.8377000000005</v>
      </c>
    </row>
    <row r="1221" spans="1:30" s="37" customFormat="1" ht="15.75" customHeight="1" x14ac:dyDescent="0.2">
      <c r="A1221" s="26">
        <v>56</v>
      </c>
      <c r="B1221" s="27" t="s">
        <v>2235</v>
      </c>
      <c r="C1221" s="27" t="s">
        <v>116</v>
      </c>
      <c r="D1221" s="28">
        <v>0.06</v>
      </c>
      <c r="E1221" s="29">
        <v>1.76</v>
      </c>
      <c r="F1221" s="29">
        <v>0.7</v>
      </c>
      <c r="G1221" s="30" t="s">
        <v>39</v>
      </c>
      <c r="H1221" s="27" t="s">
        <v>40</v>
      </c>
      <c r="I1221" s="27" t="s">
        <v>49</v>
      </c>
      <c r="J1221" s="27" t="s">
        <v>50</v>
      </c>
      <c r="K1221" s="27" t="s">
        <v>51</v>
      </c>
      <c r="L1221" s="31" t="s">
        <v>1663</v>
      </c>
      <c r="M1221" s="32">
        <v>0.56000000000000005</v>
      </c>
      <c r="N1221" s="27" t="s">
        <v>33</v>
      </c>
      <c r="O1221" s="27" t="s">
        <v>111</v>
      </c>
      <c r="P1221" s="27" t="s">
        <v>112</v>
      </c>
      <c r="Q1221" s="27" t="s">
        <v>2236</v>
      </c>
      <c r="R1221" s="33">
        <v>14150</v>
      </c>
      <c r="S1221" s="34">
        <v>42114</v>
      </c>
      <c r="T1221" s="34">
        <v>42115</v>
      </c>
      <c r="U1221" s="29">
        <v>-1.6524000000000001</v>
      </c>
      <c r="V1221" s="26">
        <v>17</v>
      </c>
      <c r="W1221" s="29">
        <v>29.57</v>
      </c>
      <c r="X1221" s="26">
        <v>88075</v>
      </c>
      <c r="Y1221" s="35">
        <v>259.64999999999998</v>
      </c>
      <c r="Z1221" s="1" t="s">
        <v>3014</v>
      </c>
      <c r="AA1221" s="36">
        <v>1.7951999999999999</v>
      </c>
      <c r="AB1221" s="54">
        <v>13.010799999999998</v>
      </c>
      <c r="AC1221" s="54">
        <v>0.97407058823529424</v>
      </c>
      <c r="AD1221" s="36">
        <v>28.7272</v>
      </c>
    </row>
    <row r="1222" spans="1:30" s="37" customFormat="1" ht="15.75" customHeight="1" x14ac:dyDescent="0.2">
      <c r="A1222" s="26">
        <v>151</v>
      </c>
      <c r="B1222" s="27" t="s">
        <v>703</v>
      </c>
      <c r="C1222" s="27" t="s">
        <v>38</v>
      </c>
      <c r="D1222" s="28">
        <v>0.09</v>
      </c>
      <c r="E1222" s="29">
        <v>5.98</v>
      </c>
      <c r="F1222" s="29">
        <v>2.5</v>
      </c>
      <c r="G1222" s="30" t="s">
        <v>39</v>
      </c>
      <c r="H1222" s="27" t="s">
        <v>71</v>
      </c>
      <c r="I1222" s="27" t="s">
        <v>49</v>
      </c>
      <c r="J1222" s="27" t="s">
        <v>345</v>
      </c>
      <c r="K1222" s="27" t="s">
        <v>73</v>
      </c>
      <c r="L1222" s="31" t="s">
        <v>1270</v>
      </c>
      <c r="M1222" s="32">
        <v>0.36</v>
      </c>
      <c r="N1222" s="27" t="s">
        <v>33</v>
      </c>
      <c r="O1222" s="27" t="s">
        <v>34</v>
      </c>
      <c r="P1222" s="27" t="s">
        <v>400</v>
      </c>
      <c r="Q1222" s="27" t="s">
        <v>705</v>
      </c>
      <c r="R1222" s="33">
        <v>37664</v>
      </c>
      <c r="S1222" s="34">
        <v>42114</v>
      </c>
      <c r="T1222" s="34">
        <v>42116</v>
      </c>
      <c r="U1222" s="29">
        <v>13.896000000000001</v>
      </c>
      <c r="V1222" s="26">
        <v>5</v>
      </c>
      <c r="W1222" s="29">
        <v>28.11</v>
      </c>
      <c r="X1222" s="26">
        <v>89523</v>
      </c>
      <c r="Y1222" s="35">
        <v>170.98</v>
      </c>
      <c r="Z1222" s="1" t="s">
        <v>3011</v>
      </c>
      <c r="AA1222" s="36">
        <v>2.6909999999999998</v>
      </c>
      <c r="AB1222" s="54">
        <v>17.990400000000001</v>
      </c>
      <c r="AC1222" s="54">
        <v>2.0239199999999999</v>
      </c>
      <c r="AD1222" s="36">
        <v>9.0229999999999997</v>
      </c>
    </row>
    <row r="1223" spans="1:30" s="37" customFormat="1" ht="15.75" customHeight="1" x14ac:dyDescent="0.2">
      <c r="A1223" s="26">
        <v>627</v>
      </c>
      <c r="B1223" s="27" t="s">
        <v>2253</v>
      </c>
      <c r="C1223" s="27" t="s">
        <v>116</v>
      </c>
      <c r="D1223" s="28">
        <v>0.02</v>
      </c>
      <c r="E1223" s="29">
        <v>419.19</v>
      </c>
      <c r="F1223" s="29">
        <v>19.989999999999998</v>
      </c>
      <c r="G1223" s="30" t="s">
        <v>39</v>
      </c>
      <c r="H1223" s="27" t="s">
        <v>94</v>
      </c>
      <c r="I1223" s="27" t="s">
        <v>49</v>
      </c>
      <c r="J1223" s="27" t="s">
        <v>78</v>
      </c>
      <c r="K1223" s="27" t="s">
        <v>73</v>
      </c>
      <c r="L1223" s="31" t="s">
        <v>2192</v>
      </c>
      <c r="M1223" s="32">
        <v>0.57999999999999996</v>
      </c>
      <c r="N1223" s="27" t="s">
        <v>33</v>
      </c>
      <c r="O1223" s="27" t="s">
        <v>111</v>
      </c>
      <c r="P1223" s="27" t="s">
        <v>317</v>
      </c>
      <c r="Q1223" s="27" t="s">
        <v>2254</v>
      </c>
      <c r="R1223" s="33">
        <v>43952</v>
      </c>
      <c r="S1223" s="34">
        <v>42115</v>
      </c>
      <c r="T1223" s="34">
        <v>42116</v>
      </c>
      <c r="U1223" s="29">
        <v>6610.2</v>
      </c>
      <c r="V1223" s="26">
        <v>22</v>
      </c>
      <c r="W1223" s="29">
        <v>9580</v>
      </c>
      <c r="X1223" s="26">
        <v>90469</v>
      </c>
      <c r="Y1223" s="35">
        <v>363.2</v>
      </c>
      <c r="Z1223" s="1" t="s">
        <v>3014</v>
      </c>
      <c r="AA1223" s="36">
        <v>184.4436</v>
      </c>
      <c r="AB1223" s="54">
        <v>4023.6000000000004</v>
      </c>
      <c r="AC1223" s="54">
        <v>252.56363636363633</v>
      </c>
      <c r="AD1223" s="36">
        <v>2765.3664000000008</v>
      </c>
    </row>
    <row r="1224" spans="1:30" s="37" customFormat="1" ht="15.75" customHeight="1" x14ac:dyDescent="0.2">
      <c r="A1224" s="26">
        <v>2548</v>
      </c>
      <c r="B1224" s="27" t="s">
        <v>1984</v>
      </c>
      <c r="C1224" s="27" t="s">
        <v>48</v>
      </c>
      <c r="D1224" s="28">
        <v>0.04</v>
      </c>
      <c r="E1224" s="29">
        <v>212.6</v>
      </c>
      <c r="F1224" s="29">
        <v>110.2</v>
      </c>
      <c r="G1224" s="30" t="s">
        <v>27</v>
      </c>
      <c r="H1224" s="27" t="s">
        <v>3095</v>
      </c>
      <c r="I1224" s="27" t="s">
        <v>29</v>
      </c>
      <c r="J1224" s="27" t="s">
        <v>30</v>
      </c>
      <c r="K1224" s="27" t="s">
        <v>31</v>
      </c>
      <c r="L1224" s="31" t="s">
        <v>163</v>
      </c>
      <c r="M1224" s="32">
        <v>0.73</v>
      </c>
      <c r="N1224" s="27" t="s">
        <v>33</v>
      </c>
      <c r="O1224" s="27" t="s">
        <v>60</v>
      </c>
      <c r="P1224" s="27" t="s">
        <v>90</v>
      </c>
      <c r="Q1224" s="27" t="s">
        <v>100</v>
      </c>
      <c r="R1224" s="33">
        <v>90068</v>
      </c>
      <c r="S1224" s="34">
        <v>42115</v>
      </c>
      <c r="T1224" s="34">
        <v>42119</v>
      </c>
      <c r="U1224" s="29">
        <v>-513.79042000000004</v>
      </c>
      <c r="V1224" s="26">
        <v>33</v>
      </c>
      <c r="W1224" s="29">
        <v>7384.18</v>
      </c>
      <c r="X1224" s="26">
        <v>40997</v>
      </c>
      <c r="Y1224" s="35">
        <v>40.93</v>
      </c>
      <c r="Z1224" s="1" t="s">
        <v>3013</v>
      </c>
      <c r="AA1224" s="36">
        <v>280.63200000000001</v>
      </c>
      <c r="AB1224" s="54">
        <v>1993.7286000000001</v>
      </c>
      <c r="AC1224" s="54">
        <v>163.34701212121212</v>
      </c>
      <c r="AD1224" s="36">
        <v>7507.1384200000002</v>
      </c>
    </row>
    <row r="1225" spans="1:30" s="37" customFormat="1" ht="15.75" customHeight="1" x14ac:dyDescent="0.2">
      <c r="A1225" s="26">
        <v>3283</v>
      </c>
      <c r="B1225" s="27" t="s">
        <v>2244</v>
      </c>
      <c r="C1225" s="27" t="s">
        <v>26</v>
      </c>
      <c r="D1225" s="28">
        <v>0.05</v>
      </c>
      <c r="E1225" s="29">
        <v>363.25</v>
      </c>
      <c r="F1225" s="29">
        <v>19.989999999999998</v>
      </c>
      <c r="G1225" s="30" t="s">
        <v>87</v>
      </c>
      <c r="H1225" s="27" t="s">
        <v>94</v>
      </c>
      <c r="I1225" s="27" t="s">
        <v>49</v>
      </c>
      <c r="J1225" s="27" t="s">
        <v>95</v>
      </c>
      <c r="K1225" s="27" t="s">
        <v>73</v>
      </c>
      <c r="L1225" s="31" t="s">
        <v>199</v>
      </c>
      <c r="M1225" s="32">
        <v>0.56999999999999995</v>
      </c>
      <c r="N1225" s="27" t="s">
        <v>33</v>
      </c>
      <c r="O1225" s="27" t="s">
        <v>34</v>
      </c>
      <c r="P1225" s="27" t="s">
        <v>123</v>
      </c>
      <c r="Q1225" s="27" t="s">
        <v>2245</v>
      </c>
      <c r="R1225" s="33">
        <v>33156</v>
      </c>
      <c r="S1225" s="34">
        <v>42115</v>
      </c>
      <c r="T1225" s="34">
        <v>42115</v>
      </c>
      <c r="U1225" s="29">
        <v>-269.75549999999998</v>
      </c>
      <c r="V1225" s="26">
        <v>5</v>
      </c>
      <c r="W1225" s="29">
        <v>1867.04</v>
      </c>
      <c r="X1225" s="26">
        <v>90752</v>
      </c>
      <c r="Y1225" s="35">
        <v>4.9000000000000004</v>
      </c>
      <c r="Z1225" s="1" t="s">
        <v>3011</v>
      </c>
      <c r="AA1225" s="36">
        <v>90.8125</v>
      </c>
      <c r="AB1225" s="54">
        <v>802.82720000000006</v>
      </c>
      <c r="AC1225" s="54">
        <v>212.84255999999999</v>
      </c>
      <c r="AD1225" s="36">
        <v>2025.9929999999999</v>
      </c>
    </row>
    <row r="1226" spans="1:30" s="37" customFormat="1" ht="15.75" customHeight="1" x14ac:dyDescent="0.2">
      <c r="A1226" s="26">
        <v>2549</v>
      </c>
      <c r="B1226" s="27" t="s">
        <v>2251</v>
      </c>
      <c r="C1226" s="27" t="s">
        <v>48</v>
      </c>
      <c r="D1226" s="28">
        <v>0.04</v>
      </c>
      <c r="E1226" s="29">
        <v>212.6</v>
      </c>
      <c r="F1226" s="29">
        <v>110.2</v>
      </c>
      <c r="G1226" s="30" t="s">
        <v>27</v>
      </c>
      <c r="H1226" s="27" t="s">
        <v>3095</v>
      </c>
      <c r="I1226" s="27" t="s">
        <v>29</v>
      </c>
      <c r="J1226" s="27" t="s">
        <v>30</v>
      </c>
      <c r="K1226" s="27" t="s">
        <v>31</v>
      </c>
      <c r="L1226" s="31" t="s">
        <v>163</v>
      </c>
      <c r="M1226" s="32">
        <v>0.73</v>
      </c>
      <c r="N1226" s="27" t="s">
        <v>33</v>
      </c>
      <c r="O1226" s="27" t="s">
        <v>111</v>
      </c>
      <c r="P1226" s="27" t="s">
        <v>317</v>
      </c>
      <c r="Q1226" s="27" t="s">
        <v>2252</v>
      </c>
      <c r="R1226" s="33">
        <v>43213</v>
      </c>
      <c r="S1226" s="34">
        <v>42115</v>
      </c>
      <c r="T1226" s="34">
        <v>42119</v>
      </c>
      <c r="U1226" s="29">
        <v>-513.79042000000004</v>
      </c>
      <c r="V1226" s="26">
        <v>8</v>
      </c>
      <c r="W1226" s="29">
        <v>1790.1</v>
      </c>
      <c r="X1226" s="26">
        <v>88657</v>
      </c>
      <c r="Y1226" s="35">
        <v>119.89999999999999</v>
      </c>
      <c r="Z1226" s="1" t="s">
        <v>3014</v>
      </c>
      <c r="AA1226" s="36">
        <v>68.031999999999996</v>
      </c>
      <c r="AB1226" s="54">
        <v>483.327</v>
      </c>
      <c r="AC1226" s="54">
        <v>163.34662499999999</v>
      </c>
      <c r="AD1226" s="36">
        <v>2125.6584199999998</v>
      </c>
    </row>
    <row r="1227" spans="1:30" s="37" customFormat="1" ht="15.75" customHeight="1" x14ac:dyDescent="0.2">
      <c r="A1227" s="26">
        <v>2548</v>
      </c>
      <c r="B1227" s="27" t="s">
        <v>1984</v>
      </c>
      <c r="C1227" s="27" t="s">
        <v>48</v>
      </c>
      <c r="D1227" s="28">
        <v>0.05</v>
      </c>
      <c r="E1227" s="29">
        <v>22.99</v>
      </c>
      <c r="F1227" s="29">
        <v>8.99</v>
      </c>
      <c r="G1227" s="30" t="s">
        <v>39</v>
      </c>
      <c r="H1227" s="27" t="s">
        <v>3095</v>
      </c>
      <c r="I1227" s="27" t="s">
        <v>49</v>
      </c>
      <c r="J1227" s="27" t="s">
        <v>50</v>
      </c>
      <c r="K1227" s="27" t="s">
        <v>43</v>
      </c>
      <c r="L1227" s="31" t="s">
        <v>2250</v>
      </c>
      <c r="M1227" s="32">
        <v>0.56999999999999995</v>
      </c>
      <c r="N1227" s="27" t="s">
        <v>33</v>
      </c>
      <c r="O1227" s="27" t="s">
        <v>60</v>
      </c>
      <c r="P1227" s="27" t="s">
        <v>90</v>
      </c>
      <c r="Q1227" s="27" t="s">
        <v>100</v>
      </c>
      <c r="R1227" s="33">
        <v>90068</v>
      </c>
      <c r="S1227" s="34">
        <v>42115</v>
      </c>
      <c r="T1227" s="34">
        <v>42122</v>
      </c>
      <c r="U1227" s="29">
        <v>18.27</v>
      </c>
      <c r="V1227" s="26">
        <v>37</v>
      </c>
      <c r="W1227" s="29">
        <v>881.74</v>
      </c>
      <c r="X1227" s="26">
        <v>40997</v>
      </c>
      <c r="Y1227" s="35">
        <v>42.919999999999995</v>
      </c>
      <c r="Z1227" s="1" t="s">
        <v>3013</v>
      </c>
      <c r="AA1227" s="36">
        <v>42.531500000000001</v>
      </c>
      <c r="AB1227" s="54">
        <v>379.14820000000003</v>
      </c>
      <c r="AC1227" s="54">
        <v>13.58356216216216</v>
      </c>
      <c r="AD1227" s="36">
        <v>811.94849999999997</v>
      </c>
    </row>
    <row r="1228" spans="1:30" s="37" customFormat="1" ht="15.75" customHeight="1" x14ac:dyDescent="0.2">
      <c r="A1228" s="26">
        <v>2260</v>
      </c>
      <c r="B1228" s="27" t="s">
        <v>1196</v>
      </c>
      <c r="C1228" s="27" t="s">
        <v>38</v>
      </c>
      <c r="D1228" s="28">
        <v>0.09</v>
      </c>
      <c r="E1228" s="29">
        <v>119.99</v>
      </c>
      <c r="F1228" s="29">
        <v>14</v>
      </c>
      <c r="G1228" s="30" t="s">
        <v>27</v>
      </c>
      <c r="H1228" s="27" t="s">
        <v>94</v>
      </c>
      <c r="I1228" s="27" t="s">
        <v>41</v>
      </c>
      <c r="J1228" s="27" t="s">
        <v>57</v>
      </c>
      <c r="K1228" s="27" t="s">
        <v>58</v>
      </c>
      <c r="L1228" s="31" t="s">
        <v>2151</v>
      </c>
      <c r="M1228" s="32">
        <v>0.36</v>
      </c>
      <c r="N1228" s="27" t="s">
        <v>33</v>
      </c>
      <c r="O1228" s="27" t="s">
        <v>34</v>
      </c>
      <c r="P1228" s="27" t="s">
        <v>75</v>
      </c>
      <c r="Q1228" s="27" t="s">
        <v>1197</v>
      </c>
      <c r="R1228" s="33">
        <v>30161</v>
      </c>
      <c r="S1228" s="34">
        <v>42115</v>
      </c>
      <c r="T1228" s="34">
        <v>42117</v>
      </c>
      <c r="U1228" s="29">
        <v>1055.604</v>
      </c>
      <c r="V1228" s="26">
        <v>4</v>
      </c>
      <c r="W1228" s="29">
        <v>461.24</v>
      </c>
      <c r="X1228" s="26">
        <v>89602</v>
      </c>
      <c r="Y1228" s="35">
        <v>15.99</v>
      </c>
      <c r="Z1228" s="1" t="s">
        <v>3011</v>
      </c>
      <c r="AA1228" s="36">
        <v>43.196399999999997</v>
      </c>
      <c r="AB1228" s="54">
        <v>295.1936</v>
      </c>
      <c r="AC1228" s="54">
        <v>41.511600000000001</v>
      </c>
      <c r="AD1228" s="36">
        <v>-651.56040000000007</v>
      </c>
    </row>
    <row r="1229" spans="1:30" s="37" customFormat="1" ht="15.75" customHeight="1" x14ac:dyDescent="0.2">
      <c r="A1229" s="26">
        <v>535</v>
      </c>
      <c r="B1229" s="27" t="s">
        <v>2248</v>
      </c>
      <c r="C1229" s="27" t="s">
        <v>48</v>
      </c>
      <c r="D1229" s="28">
        <v>0</v>
      </c>
      <c r="E1229" s="29">
        <v>15.99</v>
      </c>
      <c r="F1229" s="29">
        <v>13.18</v>
      </c>
      <c r="G1229" s="30" t="s">
        <v>39</v>
      </c>
      <c r="H1229" s="27" t="s">
        <v>94</v>
      </c>
      <c r="I1229" s="27" t="s">
        <v>49</v>
      </c>
      <c r="J1229" s="27" t="s">
        <v>72</v>
      </c>
      <c r="K1229" s="27" t="s">
        <v>73</v>
      </c>
      <c r="L1229" s="31" t="s">
        <v>295</v>
      </c>
      <c r="M1229" s="32">
        <v>0.37</v>
      </c>
      <c r="N1229" s="27" t="s">
        <v>33</v>
      </c>
      <c r="O1229" s="27" t="s">
        <v>34</v>
      </c>
      <c r="P1229" s="27" t="s">
        <v>242</v>
      </c>
      <c r="Q1229" s="27" t="s">
        <v>1501</v>
      </c>
      <c r="R1229" s="33">
        <v>22025</v>
      </c>
      <c r="S1229" s="34">
        <v>42115</v>
      </c>
      <c r="T1229" s="34">
        <v>42119</v>
      </c>
      <c r="U1229" s="29">
        <v>46.488</v>
      </c>
      <c r="V1229" s="26">
        <v>23</v>
      </c>
      <c r="W1229" s="29">
        <v>403.25</v>
      </c>
      <c r="X1229" s="26">
        <v>88511</v>
      </c>
      <c r="Y1229" s="35">
        <v>30.93</v>
      </c>
      <c r="Z1229" s="1" t="s">
        <v>3011</v>
      </c>
      <c r="AA1229" s="36">
        <v>0</v>
      </c>
      <c r="AB1229" s="54">
        <v>254.04750000000001</v>
      </c>
      <c r="AC1229" s="54">
        <v>6.4870652173913053</v>
      </c>
      <c r="AD1229" s="36">
        <v>343.58199999999999</v>
      </c>
    </row>
    <row r="1230" spans="1:30" s="37" customFormat="1" ht="15.75" customHeight="1" x14ac:dyDescent="0.2">
      <c r="A1230" s="26">
        <v>2548</v>
      </c>
      <c r="B1230" s="27" t="s">
        <v>1984</v>
      </c>
      <c r="C1230" s="27" t="s">
        <v>48</v>
      </c>
      <c r="D1230" s="28">
        <v>0.05</v>
      </c>
      <c r="E1230" s="29">
        <v>30.98</v>
      </c>
      <c r="F1230" s="29">
        <v>9.18</v>
      </c>
      <c r="G1230" s="30" t="s">
        <v>87</v>
      </c>
      <c r="H1230" s="27" t="s">
        <v>3095</v>
      </c>
      <c r="I1230" s="27" t="s">
        <v>49</v>
      </c>
      <c r="J1230" s="27" t="s">
        <v>88</v>
      </c>
      <c r="K1230" s="27" t="s">
        <v>73</v>
      </c>
      <c r="L1230" s="31" t="s">
        <v>2249</v>
      </c>
      <c r="M1230" s="32">
        <v>0.4</v>
      </c>
      <c r="N1230" s="27" t="s">
        <v>33</v>
      </c>
      <c r="O1230" s="27" t="s">
        <v>60</v>
      </c>
      <c r="P1230" s="27" t="s">
        <v>90</v>
      </c>
      <c r="Q1230" s="27" t="s">
        <v>100</v>
      </c>
      <c r="R1230" s="33">
        <v>90068</v>
      </c>
      <c r="S1230" s="34">
        <v>42115</v>
      </c>
      <c r="T1230" s="34">
        <v>42115</v>
      </c>
      <c r="U1230" s="29">
        <v>61.47</v>
      </c>
      <c r="V1230" s="26">
        <v>12</v>
      </c>
      <c r="W1230" s="29">
        <v>382.29</v>
      </c>
      <c r="X1230" s="26">
        <v>40997</v>
      </c>
      <c r="Y1230" s="35">
        <v>22.939999999999998</v>
      </c>
      <c r="Z1230" s="1" t="s">
        <v>3013</v>
      </c>
      <c r="AA1230" s="36">
        <v>18.588000000000001</v>
      </c>
      <c r="AB1230" s="54">
        <v>229.374</v>
      </c>
      <c r="AC1230" s="54">
        <v>12.743000000000002</v>
      </c>
      <c r="AD1230" s="36">
        <v>293.05200000000002</v>
      </c>
    </row>
    <row r="1231" spans="1:30" s="37" customFormat="1" ht="15.75" customHeight="1" x14ac:dyDescent="0.2">
      <c r="A1231" s="26">
        <v>2038</v>
      </c>
      <c r="B1231" s="27" t="s">
        <v>2246</v>
      </c>
      <c r="C1231" s="27" t="s">
        <v>38</v>
      </c>
      <c r="D1231" s="28">
        <v>0.06</v>
      </c>
      <c r="E1231" s="29">
        <v>40.99</v>
      </c>
      <c r="F1231" s="29">
        <v>17.48</v>
      </c>
      <c r="G1231" s="30" t="s">
        <v>39</v>
      </c>
      <c r="H1231" s="27" t="s">
        <v>3095</v>
      </c>
      <c r="I1231" s="27" t="s">
        <v>49</v>
      </c>
      <c r="J1231" s="27" t="s">
        <v>88</v>
      </c>
      <c r="K1231" s="27" t="s">
        <v>73</v>
      </c>
      <c r="L1231" s="31" t="s">
        <v>1398</v>
      </c>
      <c r="M1231" s="32">
        <v>0.36</v>
      </c>
      <c r="N1231" s="27" t="s">
        <v>33</v>
      </c>
      <c r="O1231" s="27" t="s">
        <v>111</v>
      </c>
      <c r="P1231" s="27" t="s">
        <v>112</v>
      </c>
      <c r="Q1231" s="27" t="s">
        <v>68</v>
      </c>
      <c r="R1231" s="33">
        <v>10550</v>
      </c>
      <c r="S1231" s="34">
        <v>42115</v>
      </c>
      <c r="T1231" s="34">
        <v>42115</v>
      </c>
      <c r="U1231" s="29">
        <v>109.16</v>
      </c>
      <c r="V1231" s="26">
        <v>7</v>
      </c>
      <c r="W1231" s="29">
        <v>277.12</v>
      </c>
      <c r="X1231" s="26">
        <v>89334</v>
      </c>
      <c r="Y1231" s="35">
        <v>212.56</v>
      </c>
      <c r="Z1231" s="1" t="s">
        <v>3014</v>
      </c>
      <c r="AA1231" s="36">
        <v>17.215800000000002</v>
      </c>
      <c r="AB1231" s="54">
        <v>177.35679999999999</v>
      </c>
      <c r="AC1231" s="54">
        <v>14.251885714285713</v>
      </c>
      <c r="AD1231" s="36">
        <v>133.26420000000002</v>
      </c>
    </row>
    <row r="1232" spans="1:30" s="37" customFormat="1" ht="15.75" customHeight="1" x14ac:dyDescent="0.2">
      <c r="A1232" s="26">
        <v>2549</v>
      </c>
      <c r="B1232" s="27" t="s">
        <v>2251</v>
      </c>
      <c r="C1232" s="27" t="s">
        <v>48</v>
      </c>
      <c r="D1232" s="28">
        <v>0.05</v>
      </c>
      <c r="E1232" s="29">
        <v>22.99</v>
      </c>
      <c r="F1232" s="29">
        <v>8.99</v>
      </c>
      <c r="G1232" s="30" t="s">
        <v>39</v>
      </c>
      <c r="H1232" s="27" t="s">
        <v>3095</v>
      </c>
      <c r="I1232" s="27" t="s">
        <v>49</v>
      </c>
      <c r="J1232" s="27" t="s">
        <v>50</v>
      </c>
      <c r="K1232" s="27" t="s">
        <v>43</v>
      </c>
      <c r="L1232" s="31" t="s">
        <v>2250</v>
      </c>
      <c r="M1232" s="32">
        <v>0.56999999999999995</v>
      </c>
      <c r="N1232" s="27" t="s">
        <v>33</v>
      </c>
      <c r="O1232" s="27" t="s">
        <v>111</v>
      </c>
      <c r="P1232" s="27" t="s">
        <v>317</v>
      </c>
      <c r="Q1232" s="27" t="s">
        <v>2252</v>
      </c>
      <c r="R1232" s="33">
        <v>43213</v>
      </c>
      <c r="S1232" s="34">
        <v>42115</v>
      </c>
      <c r="T1232" s="34">
        <v>42122</v>
      </c>
      <c r="U1232" s="29">
        <v>18.27</v>
      </c>
      <c r="V1232" s="26">
        <v>9</v>
      </c>
      <c r="W1232" s="29">
        <v>214.48</v>
      </c>
      <c r="X1232" s="26">
        <v>88657</v>
      </c>
      <c r="Y1232" s="35">
        <v>30.93</v>
      </c>
      <c r="Z1232" s="1" t="s">
        <v>3014</v>
      </c>
      <c r="AA1232" s="36">
        <v>10.345499999999999</v>
      </c>
      <c r="AB1232" s="54">
        <v>92.226400000000012</v>
      </c>
      <c r="AC1232" s="54">
        <v>13.583733333333331</v>
      </c>
      <c r="AD1232" s="36">
        <v>176.87449999999998</v>
      </c>
    </row>
    <row r="1233" spans="1:30" s="37" customFormat="1" ht="15.75" customHeight="1" x14ac:dyDescent="0.2">
      <c r="A1233" s="26">
        <v>2549</v>
      </c>
      <c r="B1233" s="27" t="s">
        <v>2251</v>
      </c>
      <c r="C1233" s="27" t="s">
        <v>48</v>
      </c>
      <c r="D1233" s="28">
        <v>0.05</v>
      </c>
      <c r="E1233" s="29">
        <v>30.98</v>
      </c>
      <c r="F1233" s="29">
        <v>9.18</v>
      </c>
      <c r="G1233" s="30" t="s">
        <v>87</v>
      </c>
      <c r="H1233" s="27" t="s">
        <v>3095</v>
      </c>
      <c r="I1233" s="27" t="s">
        <v>49</v>
      </c>
      <c r="J1233" s="27" t="s">
        <v>88</v>
      </c>
      <c r="K1233" s="27" t="s">
        <v>73</v>
      </c>
      <c r="L1233" s="31" t="s">
        <v>2249</v>
      </c>
      <c r="M1233" s="32">
        <v>0.4</v>
      </c>
      <c r="N1233" s="27" t="s">
        <v>33</v>
      </c>
      <c r="O1233" s="27" t="s">
        <v>111</v>
      </c>
      <c r="P1233" s="27" t="s">
        <v>317</v>
      </c>
      <c r="Q1233" s="27" t="s">
        <v>2252</v>
      </c>
      <c r="R1233" s="33">
        <v>43213</v>
      </c>
      <c r="S1233" s="34">
        <v>42115</v>
      </c>
      <c r="T1233" s="34">
        <v>42115</v>
      </c>
      <c r="U1233" s="29">
        <v>61.47</v>
      </c>
      <c r="V1233" s="26">
        <v>3</v>
      </c>
      <c r="W1233" s="29">
        <v>95.57</v>
      </c>
      <c r="X1233" s="26">
        <v>88657</v>
      </c>
      <c r="Y1233" s="35">
        <v>22.939999999999998</v>
      </c>
      <c r="Z1233" s="1" t="s">
        <v>3014</v>
      </c>
      <c r="AA1233" s="36">
        <v>4.6470000000000002</v>
      </c>
      <c r="AB1233" s="54">
        <v>57.341999999999992</v>
      </c>
      <c r="AC1233" s="54">
        <v>12.742666666666667</v>
      </c>
      <c r="AD1233" s="36">
        <v>20.272999999999982</v>
      </c>
    </row>
    <row r="1234" spans="1:30" s="37" customFormat="1" ht="15.75" customHeight="1" x14ac:dyDescent="0.2">
      <c r="A1234" s="26">
        <v>2964</v>
      </c>
      <c r="B1234" s="27" t="s">
        <v>2247</v>
      </c>
      <c r="C1234" s="27" t="s">
        <v>38</v>
      </c>
      <c r="D1234" s="28">
        <v>0.06</v>
      </c>
      <c r="E1234" s="29">
        <v>42.98</v>
      </c>
      <c r="F1234" s="29">
        <v>4.62</v>
      </c>
      <c r="G1234" s="30" t="s">
        <v>39</v>
      </c>
      <c r="H1234" s="27" t="s">
        <v>40</v>
      </c>
      <c r="I1234" s="27" t="s">
        <v>49</v>
      </c>
      <c r="J1234" s="27" t="s">
        <v>95</v>
      </c>
      <c r="K1234" s="27" t="s">
        <v>73</v>
      </c>
      <c r="L1234" s="31" t="s">
        <v>280</v>
      </c>
      <c r="M1234" s="32">
        <v>0.56000000000000005</v>
      </c>
      <c r="N1234" s="27" t="s">
        <v>33</v>
      </c>
      <c r="O1234" s="27" t="s">
        <v>111</v>
      </c>
      <c r="P1234" s="27" t="s">
        <v>317</v>
      </c>
      <c r="Q1234" s="27" t="s">
        <v>68</v>
      </c>
      <c r="R1234" s="33">
        <v>43050</v>
      </c>
      <c r="S1234" s="34">
        <v>42115</v>
      </c>
      <c r="T1234" s="34">
        <v>42117</v>
      </c>
      <c r="U1234" s="29">
        <v>-24.63</v>
      </c>
      <c r="V1234" s="26">
        <v>1</v>
      </c>
      <c r="W1234" s="29">
        <v>47.04</v>
      </c>
      <c r="X1234" s="26">
        <v>88610</v>
      </c>
      <c r="Y1234" s="35">
        <v>212.56</v>
      </c>
      <c r="Z1234" s="1" t="s">
        <v>3014</v>
      </c>
      <c r="AA1234" s="36">
        <v>2.5787999999999998</v>
      </c>
      <c r="AB1234" s="54">
        <v>20.697599999999998</v>
      </c>
      <c r="AC1234" s="54">
        <v>26.342400000000001</v>
      </c>
      <c r="AD1234" s="36">
        <v>64.471199999999996</v>
      </c>
    </row>
    <row r="1235" spans="1:30" s="37" customFormat="1" ht="15.75" customHeight="1" x14ac:dyDescent="0.2">
      <c r="A1235" s="26">
        <v>2668</v>
      </c>
      <c r="B1235" s="27" t="s">
        <v>1896</v>
      </c>
      <c r="C1235" s="27" t="s">
        <v>3094</v>
      </c>
      <c r="D1235" s="28">
        <v>0.06</v>
      </c>
      <c r="E1235" s="29">
        <v>3.93</v>
      </c>
      <c r="F1235" s="29">
        <v>0.99</v>
      </c>
      <c r="G1235" s="30" t="s">
        <v>39</v>
      </c>
      <c r="H1235" s="27" t="s">
        <v>71</v>
      </c>
      <c r="I1235" s="27" t="s">
        <v>49</v>
      </c>
      <c r="J1235" s="27" t="s">
        <v>176</v>
      </c>
      <c r="K1235" s="27" t="s">
        <v>51</v>
      </c>
      <c r="L1235" s="31" t="s">
        <v>2255</v>
      </c>
      <c r="M1235" s="32">
        <v>0.39</v>
      </c>
      <c r="N1235" s="27" t="s">
        <v>33</v>
      </c>
      <c r="O1235" s="27" t="s">
        <v>53</v>
      </c>
      <c r="P1235" s="27" t="s">
        <v>1071</v>
      </c>
      <c r="Q1235" s="27" t="s">
        <v>1898</v>
      </c>
      <c r="R1235" s="33">
        <v>57701</v>
      </c>
      <c r="S1235" s="34">
        <v>42115</v>
      </c>
      <c r="T1235" s="34">
        <v>42117</v>
      </c>
      <c r="U1235" s="29">
        <v>10.782400000000001</v>
      </c>
      <c r="V1235" s="26">
        <v>6</v>
      </c>
      <c r="W1235" s="29">
        <v>24.18</v>
      </c>
      <c r="X1235" s="26">
        <v>87832</v>
      </c>
      <c r="Y1235" s="35">
        <v>419.17</v>
      </c>
      <c r="Z1235" s="1" t="s">
        <v>3012</v>
      </c>
      <c r="AA1235" s="36">
        <v>1.4148000000000001</v>
      </c>
      <c r="AB1235" s="54">
        <v>14.749799999999999</v>
      </c>
      <c r="AC1235" s="54">
        <v>1.5717000000000001</v>
      </c>
      <c r="AD1235" s="36">
        <v>10.992799999999999</v>
      </c>
    </row>
    <row r="1236" spans="1:30" s="37" customFormat="1" ht="15.75" customHeight="1" x14ac:dyDescent="0.2">
      <c r="A1236" s="26">
        <v>2260</v>
      </c>
      <c r="B1236" s="27" t="s">
        <v>1196</v>
      </c>
      <c r="C1236" s="27" t="s">
        <v>38</v>
      </c>
      <c r="D1236" s="28">
        <v>0.08</v>
      </c>
      <c r="E1236" s="29">
        <v>4.9800000000000004</v>
      </c>
      <c r="F1236" s="29">
        <v>0.49</v>
      </c>
      <c r="G1236" s="30" t="s">
        <v>39</v>
      </c>
      <c r="H1236" s="27" t="s">
        <v>94</v>
      </c>
      <c r="I1236" s="27" t="s">
        <v>49</v>
      </c>
      <c r="J1236" s="27" t="s">
        <v>152</v>
      </c>
      <c r="K1236" s="27" t="s">
        <v>73</v>
      </c>
      <c r="L1236" s="31" t="s">
        <v>1103</v>
      </c>
      <c r="M1236" s="32">
        <v>0.39</v>
      </c>
      <c r="N1236" s="27" t="s">
        <v>33</v>
      </c>
      <c r="O1236" s="27" t="s">
        <v>34</v>
      </c>
      <c r="P1236" s="27" t="s">
        <v>75</v>
      </c>
      <c r="Q1236" s="27" t="s">
        <v>1197</v>
      </c>
      <c r="R1236" s="33">
        <v>30161</v>
      </c>
      <c r="S1236" s="34">
        <v>42115</v>
      </c>
      <c r="T1236" s="34">
        <v>42116</v>
      </c>
      <c r="U1236" s="29">
        <v>4949.9160000000002</v>
      </c>
      <c r="V1236" s="26">
        <v>1</v>
      </c>
      <c r="W1236" s="29">
        <v>4.95</v>
      </c>
      <c r="X1236" s="26">
        <v>89602</v>
      </c>
      <c r="Y1236" s="35">
        <v>3.87</v>
      </c>
      <c r="Z1236" s="1" t="s">
        <v>3011</v>
      </c>
      <c r="AA1236" s="36">
        <v>0.39840000000000003</v>
      </c>
      <c r="AB1236" s="54">
        <v>3.0194999999999999</v>
      </c>
      <c r="AC1236" s="54">
        <v>1.9305000000000001</v>
      </c>
      <c r="AD1236" s="36">
        <v>-4945.8544000000002</v>
      </c>
    </row>
    <row r="1237" spans="1:30" s="37" customFormat="1" ht="15.75" customHeight="1" x14ac:dyDescent="0.2">
      <c r="A1237" s="26">
        <v>2938</v>
      </c>
      <c r="B1237" s="27" t="s">
        <v>2258</v>
      </c>
      <c r="C1237" s="27" t="s">
        <v>38</v>
      </c>
      <c r="D1237" s="28">
        <v>0.03</v>
      </c>
      <c r="E1237" s="29">
        <v>47.9</v>
      </c>
      <c r="F1237" s="29">
        <v>5.86</v>
      </c>
      <c r="G1237" s="30" t="s">
        <v>39</v>
      </c>
      <c r="H1237" s="27" t="s">
        <v>3095</v>
      </c>
      <c r="I1237" s="27" t="s">
        <v>49</v>
      </c>
      <c r="J1237" s="27" t="s">
        <v>88</v>
      </c>
      <c r="K1237" s="27" t="s">
        <v>73</v>
      </c>
      <c r="L1237" s="31" t="s">
        <v>1309</v>
      </c>
      <c r="M1237" s="32">
        <v>0.37</v>
      </c>
      <c r="N1237" s="27" t="s">
        <v>33</v>
      </c>
      <c r="O1237" s="27" t="s">
        <v>111</v>
      </c>
      <c r="P1237" s="27" t="s">
        <v>403</v>
      </c>
      <c r="Q1237" s="27" t="s">
        <v>2259</v>
      </c>
      <c r="R1237" s="33">
        <v>2180</v>
      </c>
      <c r="S1237" s="34">
        <v>42116</v>
      </c>
      <c r="T1237" s="34">
        <v>42119</v>
      </c>
      <c r="U1237" s="29">
        <v>642.99030000000005</v>
      </c>
      <c r="V1237" s="26">
        <v>20</v>
      </c>
      <c r="W1237" s="29">
        <v>931.87</v>
      </c>
      <c r="X1237" s="26">
        <v>87620</v>
      </c>
      <c r="Y1237" s="35">
        <v>35.43</v>
      </c>
      <c r="Z1237" s="1" t="s">
        <v>3014</v>
      </c>
      <c r="AA1237" s="36">
        <v>28.739999999999995</v>
      </c>
      <c r="AB1237" s="54">
        <v>587.07810000000006</v>
      </c>
      <c r="AC1237" s="54">
        <v>17.239594999999998</v>
      </c>
      <c r="AD1237" s="36">
        <v>254.27969999999993</v>
      </c>
    </row>
    <row r="1238" spans="1:30" s="37" customFormat="1" ht="15.75" customHeight="1" x14ac:dyDescent="0.2">
      <c r="A1238" s="26">
        <v>2737</v>
      </c>
      <c r="B1238" s="27" t="s">
        <v>2270</v>
      </c>
      <c r="C1238" s="27" t="s">
        <v>3094</v>
      </c>
      <c r="D1238" s="28">
        <v>0.05</v>
      </c>
      <c r="E1238" s="29">
        <v>100.98</v>
      </c>
      <c r="F1238" s="29">
        <v>7.18</v>
      </c>
      <c r="G1238" s="30" t="s">
        <v>39</v>
      </c>
      <c r="H1238" s="27" t="s">
        <v>3095</v>
      </c>
      <c r="I1238" s="27" t="s">
        <v>41</v>
      </c>
      <c r="J1238" s="27" t="s">
        <v>42</v>
      </c>
      <c r="K1238" s="27" t="s">
        <v>73</v>
      </c>
      <c r="L1238" s="31" t="s">
        <v>669</v>
      </c>
      <c r="M1238" s="32">
        <v>0.4</v>
      </c>
      <c r="N1238" s="27" t="s">
        <v>33</v>
      </c>
      <c r="O1238" s="27" t="s">
        <v>111</v>
      </c>
      <c r="P1238" s="27" t="s">
        <v>633</v>
      </c>
      <c r="Q1238" s="27" t="s">
        <v>1946</v>
      </c>
      <c r="R1238" s="33">
        <v>5701</v>
      </c>
      <c r="S1238" s="34">
        <v>42116</v>
      </c>
      <c r="T1238" s="34">
        <v>42118</v>
      </c>
      <c r="U1238" s="29">
        <v>566.60730000000001</v>
      </c>
      <c r="V1238" s="26">
        <v>8</v>
      </c>
      <c r="W1238" s="29">
        <v>821.17</v>
      </c>
      <c r="X1238" s="26">
        <v>89018</v>
      </c>
      <c r="Y1238" s="35">
        <v>47.87</v>
      </c>
      <c r="Z1238" s="1" t="s">
        <v>3014</v>
      </c>
      <c r="AA1238" s="36">
        <v>40.392000000000003</v>
      </c>
      <c r="AB1238" s="54">
        <v>492.70199999999994</v>
      </c>
      <c r="AC1238" s="54">
        <v>41.058500000000002</v>
      </c>
      <c r="AD1238" s="36">
        <v>206.99069999999995</v>
      </c>
    </row>
    <row r="1239" spans="1:30" s="37" customFormat="1" ht="15.75" customHeight="1" x14ac:dyDescent="0.2">
      <c r="A1239" s="26">
        <v>2760</v>
      </c>
      <c r="B1239" s="27" t="s">
        <v>2266</v>
      </c>
      <c r="C1239" s="27" t="s">
        <v>116</v>
      </c>
      <c r="D1239" s="28">
        <v>0.08</v>
      </c>
      <c r="E1239" s="29">
        <v>22.01</v>
      </c>
      <c r="F1239" s="29">
        <v>5.53</v>
      </c>
      <c r="G1239" s="30" t="s">
        <v>39</v>
      </c>
      <c r="H1239" s="27" t="s">
        <v>94</v>
      </c>
      <c r="I1239" s="27" t="s">
        <v>49</v>
      </c>
      <c r="J1239" s="27" t="s">
        <v>50</v>
      </c>
      <c r="K1239" s="27" t="s">
        <v>43</v>
      </c>
      <c r="L1239" s="31" t="s">
        <v>496</v>
      </c>
      <c r="M1239" s="32">
        <v>0.59</v>
      </c>
      <c r="N1239" s="27" t="s">
        <v>33</v>
      </c>
      <c r="O1239" s="27" t="s">
        <v>111</v>
      </c>
      <c r="P1239" s="27" t="s">
        <v>248</v>
      </c>
      <c r="Q1239" s="27" t="s">
        <v>2267</v>
      </c>
      <c r="R1239" s="33">
        <v>6708</v>
      </c>
      <c r="S1239" s="34">
        <v>42116</v>
      </c>
      <c r="T1239" s="34">
        <v>42118</v>
      </c>
      <c r="U1239" s="29">
        <v>105.7</v>
      </c>
      <c r="V1239" s="26">
        <v>11</v>
      </c>
      <c r="W1239" s="29">
        <v>241.97</v>
      </c>
      <c r="X1239" s="26">
        <v>90724</v>
      </c>
      <c r="Y1239" s="35">
        <v>4.5500000000000007</v>
      </c>
      <c r="Z1239" s="1" t="s">
        <v>3014</v>
      </c>
      <c r="AA1239" s="36">
        <v>19.3688</v>
      </c>
      <c r="AB1239" s="54">
        <v>99.207700000000003</v>
      </c>
      <c r="AC1239" s="54">
        <v>12.978390909090908</v>
      </c>
      <c r="AD1239" s="36">
        <v>111.37119999999999</v>
      </c>
    </row>
    <row r="1240" spans="1:30" s="37" customFormat="1" ht="15.75" customHeight="1" x14ac:dyDescent="0.2">
      <c r="A1240" s="26">
        <v>667</v>
      </c>
      <c r="B1240" s="27" t="s">
        <v>553</v>
      </c>
      <c r="C1240" s="27" t="s">
        <v>48</v>
      </c>
      <c r="D1240" s="28">
        <v>0.02</v>
      </c>
      <c r="E1240" s="29">
        <v>4.57</v>
      </c>
      <c r="F1240" s="29">
        <v>5.42</v>
      </c>
      <c r="G1240" s="30" t="s">
        <v>39</v>
      </c>
      <c r="H1240" s="27" t="s">
        <v>94</v>
      </c>
      <c r="I1240" s="27" t="s">
        <v>49</v>
      </c>
      <c r="J1240" s="27" t="s">
        <v>72</v>
      </c>
      <c r="K1240" s="27" t="s">
        <v>73</v>
      </c>
      <c r="L1240" s="31" t="s">
        <v>2261</v>
      </c>
      <c r="M1240" s="32">
        <v>0.37</v>
      </c>
      <c r="N1240" s="27" t="s">
        <v>33</v>
      </c>
      <c r="O1240" s="27" t="s">
        <v>53</v>
      </c>
      <c r="P1240" s="27" t="s">
        <v>187</v>
      </c>
      <c r="Q1240" s="27" t="s">
        <v>554</v>
      </c>
      <c r="R1240" s="33">
        <v>75203</v>
      </c>
      <c r="S1240" s="34">
        <v>42116</v>
      </c>
      <c r="T1240" s="34">
        <v>42120</v>
      </c>
      <c r="U1240" s="29">
        <v>-124.2805</v>
      </c>
      <c r="V1240" s="26">
        <v>45</v>
      </c>
      <c r="W1240" s="29">
        <v>221.06</v>
      </c>
      <c r="X1240" s="26">
        <v>48257</v>
      </c>
      <c r="Y1240" s="35">
        <v>4.5500000000000007</v>
      </c>
      <c r="Z1240" s="1" t="s">
        <v>3012</v>
      </c>
      <c r="AA1240" s="36">
        <v>4.1130000000000004</v>
      </c>
      <c r="AB1240" s="54">
        <v>139.26779999999999</v>
      </c>
      <c r="AC1240" s="54">
        <v>1.8176044444444446</v>
      </c>
      <c r="AD1240" s="36">
        <v>335.8075</v>
      </c>
    </row>
    <row r="1241" spans="1:30" s="37" customFormat="1" ht="15.75" customHeight="1" x14ac:dyDescent="0.2">
      <c r="A1241" s="26">
        <v>2764</v>
      </c>
      <c r="B1241" s="27" t="s">
        <v>2268</v>
      </c>
      <c r="C1241" s="27" t="s">
        <v>116</v>
      </c>
      <c r="D1241" s="28">
        <v>0.02</v>
      </c>
      <c r="E1241" s="29">
        <v>29.74</v>
      </c>
      <c r="F1241" s="29">
        <v>6.64</v>
      </c>
      <c r="G1241" s="30" t="s">
        <v>39</v>
      </c>
      <c r="H1241" s="27" t="s">
        <v>94</v>
      </c>
      <c r="I1241" s="27" t="s">
        <v>49</v>
      </c>
      <c r="J1241" s="27" t="s">
        <v>78</v>
      </c>
      <c r="K1241" s="27" t="s">
        <v>73</v>
      </c>
      <c r="L1241" s="31" t="s">
        <v>2269</v>
      </c>
      <c r="M1241" s="32">
        <v>0.7</v>
      </c>
      <c r="N1241" s="27" t="s">
        <v>33</v>
      </c>
      <c r="O1241" s="27" t="s">
        <v>111</v>
      </c>
      <c r="P1241" s="27" t="s">
        <v>397</v>
      </c>
      <c r="Q1241" s="27" t="s">
        <v>2005</v>
      </c>
      <c r="R1241" s="33">
        <v>7601</v>
      </c>
      <c r="S1241" s="34">
        <v>42116</v>
      </c>
      <c r="T1241" s="34">
        <v>42116</v>
      </c>
      <c r="U1241" s="29">
        <v>-21.06</v>
      </c>
      <c r="V1241" s="26">
        <v>4</v>
      </c>
      <c r="W1241" s="29">
        <v>120.81</v>
      </c>
      <c r="X1241" s="26">
        <v>90724</v>
      </c>
      <c r="Y1241" s="35">
        <v>5.3599999999999994</v>
      </c>
      <c r="Z1241" s="1" t="s">
        <v>3014</v>
      </c>
      <c r="AA1241" s="36">
        <v>2.3792</v>
      </c>
      <c r="AB1241" s="54">
        <v>36.243000000000009</v>
      </c>
      <c r="AC1241" s="54">
        <v>21.141749999999998</v>
      </c>
      <c r="AD1241" s="36">
        <v>132.85079999999999</v>
      </c>
    </row>
    <row r="1242" spans="1:30" s="37" customFormat="1" ht="15.75" customHeight="1" x14ac:dyDescent="0.2">
      <c r="A1242" s="26">
        <v>678</v>
      </c>
      <c r="B1242" s="27" t="s">
        <v>2264</v>
      </c>
      <c r="C1242" s="27" t="s">
        <v>116</v>
      </c>
      <c r="D1242" s="28">
        <v>0.04</v>
      </c>
      <c r="E1242" s="29">
        <v>15.42</v>
      </c>
      <c r="F1242" s="29">
        <v>10.68</v>
      </c>
      <c r="G1242" s="30" t="s">
        <v>87</v>
      </c>
      <c r="H1242" s="27" t="s">
        <v>94</v>
      </c>
      <c r="I1242" s="27" t="s">
        <v>49</v>
      </c>
      <c r="J1242" s="27" t="s">
        <v>78</v>
      </c>
      <c r="K1242" s="27" t="s">
        <v>73</v>
      </c>
      <c r="L1242" s="31" t="s">
        <v>2265</v>
      </c>
      <c r="M1242" s="32">
        <v>0.57999999999999996</v>
      </c>
      <c r="N1242" s="27" t="s">
        <v>33</v>
      </c>
      <c r="O1242" s="27" t="s">
        <v>34</v>
      </c>
      <c r="P1242" s="27" t="s">
        <v>242</v>
      </c>
      <c r="Q1242" s="27" t="s">
        <v>2243</v>
      </c>
      <c r="R1242" s="33">
        <v>24281</v>
      </c>
      <c r="S1242" s="34">
        <v>42116</v>
      </c>
      <c r="T1242" s="34">
        <v>42117</v>
      </c>
      <c r="U1242" s="29">
        <v>-109.70399999999999</v>
      </c>
      <c r="V1242" s="26">
        <v>5</v>
      </c>
      <c r="W1242" s="29">
        <v>81.14</v>
      </c>
      <c r="X1242" s="26">
        <v>88889</v>
      </c>
      <c r="Y1242" s="35">
        <v>15.38</v>
      </c>
      <c r="Z1242" s="1" t="s">
        <v>3011</v>
      </c>
      <c r="AA1242" s="36">
        <v>3.0840000000000001</v>
      </c>
      <c r="AB1242" s="54">
        <v>34.078800000000001</v>
      </c>
      <c r="AC1242" s="54">
        <v>9.4122400000000006</v>
      </c>
      <c r="AD1242" s="36">
        <v>177.07999999999998</v>
      </c>
    </row>
    <row r="1243" spans="1:30" s="37" customFormat="1" ht="15.75" customHeight="1" x14ac:dyDescent="0.2">
      <c r="A1243" s="26">
        <v>2932</v>
      </c>
      <c r="B1243" s="27" t="s">
        <v>2256</v>
      </c>
      <c r="C1243" s="27" t="s">
        <v>38</v>
      </c>
      <c r="D1243" s="28">
        <v>0.01</v>
      </c>
      <c r="E1243" s="29">
        <v>35.44</v>
      </c>
      <c r="F1243" s="29">
        <v>19.989999999999998</v>
      </c>
      <c r="G1243" s="30" t="s">
        <v>39</v>
      </c>
      <c r="H1243" s="27" t="s">
        <v>3095</v>
      </c>
      <c r="I1243" s="27" t="s">
        <v>49</v>
      </c>
      <c r="J1243" s="27" t="s">
        <v>88</v>
      </c>
      <c r="K1243" s="27" t="s">
        <v>73</v>
      </c>
      <c r="L1243" s="31" t="s">
        <v>2257</v>
      </c>
      <c r="M1243" s="32">
        <v>0.38</v>
      </c>
      <c r="N1243" s="27" t="s">
        <v>33</v>
      </c>
      <c r="O1243" s="27" t="s">
        <v>111</v>
      </c>
      <c r="P1243" s="27" t="s">
        <v>248</v>
      </c>
      <c r="Q1243" s="27" t="s">
        <v>1655</v>
      </c>
      <c r="R1243" s="33">
        <v>6614</v>
      </c>
      <c r="S1243" s="34">
        <v>42116</v>
      </c>
      <c r="T1243" s="34">
        <v>42117</v>
      </c>
      <c r="U1243" s="29">
        <v>-52.822800000000001</v>
      </c>
      <c r="V1243" s="26">
        <v>1</v>
      </c>
      <c r="W1243" s="29">
        <v>55.43</v>
      </c>
      <c r="X1243" s="26">
        <v>87620</v>
      </c>
      <c r="Y1243" s="35">
        <v>21.930000000000003</v>
      </c>
      <c r="Z1243" s="1" t="s">
        <v>3014</v>
      </c>
      <c r="AA1243" s="36">
        <v>0.35439999999999999</v>
      </c>
      <c r="AB1243" s="54">
        <v>34.366599999999998</v>
      </c>
      <c r="AC1243" s="54">
        <v>21.063400000000001</v>
      </c>
      <c r="AD1243" s="36">
        <v>87.9084</v>
      </c>
    </row>
    <row r="1244" spans="1:30" s="37" customFormat="1" ht="15.75" customHeight="1" x14ac:dyDescent="0.2">
      <c r="A1244" s="26">
        <v>666</v>
      </c>
      <c r="B1244" s="27" t="s">
        <v>2260</v>
      </c>
      <c r="C1244" s="27" t="s">
        <v>48</v>
      </c>
      <c r="D1244" s="28">
        <v>0.02</v>
      </c>
      <c r="E1244" s="29">
        <v>4.57</v>
      </c>
      <c r="F1244" s="29">
        <v>5.42</v>
      </c>
      <c r="G1244" s="30" t="s">
        <v>39</v>
      </c>
      <c r="H1244" s="27" t="s">
        <v>94</v>
      </c>
      <c r="I1244" s="27" t="s">
        <v>49</v>
      </c>
      <c r="J1244" s="27" t="s">
        <v>72</v>
      </c>
      <c r="K1244" s="27" t="s">
        <v>73</v>
      </c>
      <c r="L1244" s="31" t="s">
        <v>2261</v>
      </c>
      <c r="M1244" s="32">
        <v>0.37</v>
      </c>
      <c r="N1244" s="27" t="s">
        <v>33</v>
      </c>
      <c r="O1244" s="27" t="s">
        <v>34</v>
      </c>
      <c r="P1244" s="27" t="s">
        <v>400</v>
      </c>
      <c r="Q1244" s="27" t="s">
        <v>2262</v>
      </c>
      <c r="R1244" s="33">
        <v>37211</v>
      </c>
      <c r="S1244" s="34">
        <v>42116</v>
      </c>
      <c r="T1244" s="34">
        <v>42120</v>
      </c>
      <c r="U1244" s="29">
        <v>-352.81400000000002</v>
      </c>
      <c r="V1244" s="26">
        <v>11</v>
      </c>
      <c r="W1244" s="29">
        <v>54.04</v>
      </c>
      <c r="X1244" s="26">
        <v>88679</v>
      </c>
      <c r="Y1244" s="35">
        <v>29.72</v>
      </c>
      <c r="Z1244" s="1" t="s">
        <v>3011</v>
      </c>
      <c r="AA1244" s="36">
        <v>1.0054000000000001</v>
      </c>
      <c r="AB1244" s="54">
        <v>34.045200000000001</v>
      </c>
      <c r="AC1244" s="54">
        <v>1.8177090909090909</v>
      </c>
      <c r="AD1244" s="36">
        <v>400.42860000000002</v>
      </c>
    </row>
    <row r="1245" spans="1:30" s="37" customFormat="1" ht="15.75" customHeight="1" x14ac:dyDescent="0.2">
      <c r="A1245" s="26">
        <v>1777</v>
      </c>
      <c r="B1245" s="27" t="s">
        <v>172</v>
      </c>
      <c r="C1245" s="27" t="s">
        <v>48</v>
      </c>
      <c r="D1245" s="28">
        <v>7.0000000000000007E-2</v>
      </c>
      <c r="E1245" s="29">
        <v>5.43</v>
      </c>
      <c r="F1245" s="29">
        <v>0.95</v>
      </c>
      <c r="G1245" s="30" t="s">
        <v>39</v>
      </c>
      <c r="H1245" s="27" t="s">
        <v>40</v>
      </c>
      <c r="I1245" s="27" t="s">
        <v>49</v>
      </c>
      <c r="J1245" s="27" t="s">
        <v>88</v>
      </c>
      <c r="K1245" s="27" t="s">
        <v>51</v>
      </c>
      <c r="L1245" s="31" t="s">
        <v>2263</v>
      </c>
      <c r="M1245" s="32">
        <v>0.36</v>
      </c>
      <c r="N1245" s="27" t="s">
        <v>33</v>
      </c>
      <c r="O1245" s="27" t="s">
        <v>53</v>
      </c>
      <c r="P1245" s="27" t="s">
        <v>54</v>
      </c>
      <c r="Q1245" s="27" t="s">
        <v>174</v>
      </c>
      <c r="R1245" s="33">
        <v>46383</v>
      </c>
      <c r="S1245" s="34">
        <v>42116</v>
      </c>
      <c r="T1245" s="34">
        <v>42120</v>
      </c>
      <c r="U1245" s="29">
        <v>26.5029</v>
      </c>
      <c r="V1245" s="26">
        <v>7</v>
      </c>
      <c r="W1245" s="29">
        <v>38.409999999999997</v>
      </c>
      <c r="X1245" s="26">
        <v>89939</v>
      </c>
      <c r="Y1245" s="35">
        <v>100.93</v>
      </c>
      <c r="Z1245" s="1" t="s">
        <v>3012</v>
      </c>
      <c r="AA1245" s="36">
        <v>2.6606999999999998</v>
      </c>
      <c r="AB1245" s="54">
        <v>24.5824</v>
      </c>
      <c r="AC1245" s="54">
        <v>1.9753714285714283</v>
      </c>
      <c r="AD1245" s="36">
        <v>8.2963999999999984</v>
      </c>
    </row>
    <row r="1246" spans="1:30" s="37" customFormat="1" ht="15.75" customHeight="1" x14ac:dyDescent="0.2">
      <c r="A1246" s="26">
        <v>483</v>
      </c>
      <c r="B1246" s="27" t="s">
        <v>815</v>
      </c>
      <c r="C1246" s="27" t="s">
        <v>3094</v>
      </c>
      <c r="D1246" s="28">
        <v>7.0000000000000007E-2</v>
      </c>
      <c r="E1246" s="29">
        <v>699.99</v>
      </c>
      <c r="F1246" s="29">
        <v>24.49</v>
      </c>
      <c r="G1246" s="30" t="s">
        <v>39</v>
      </c>
      <c r="H1246" s="27" t="s">
        <v>94</v>
      </c>
      <c r="I1246" s="27" t="s">
        <v>41</v>
      </c>
      <c r="J1246" s="27" t="s">
        <v>64</v>
      </c>
      <c r="K1246" s="27" t="s">
        <v>65</v>
      </c>
      <c r="L1246" s="31" t="s">
        <v>313</v>
      </c>
      <c r="M1246" s="32">
        <v>0.41</v>
      </c>
      <c r="N1246" s="27" t="s">
        <v>33</v>
      </c>
      <c r="O1246" s="27" t="s">
        <v>53</v>
      </c>
      <c r="P1246" s="27" t="s">
        <v>103</v>
      </c>
      <c r="Q1246" s="27" t="s">
        <v>817</v>
      </c>
      <c r="R1246" s="33">
        <v>60543</v>
      </c>
      <c r="S1246" s="34">
        <v>42117</v>
      </c>
      <c r="T1246" s="34">
        <v>42119</v>
      </c>
      <c r="U1246" s="29">
        <v>2583.5614799999998</v>
      </c>
      <c r="V1246" s="26">
        <v>9</v>
      </c>
      <c r="W1246" s="29">
        <v>5976.09</v>
      </c>
      <c r="X1246" s="26">
        <v>90354</v>
      </c>
      <c r="Y1246" s="35">
        <v>2.81</v>
      </c>
      <c r="Z1246" s="1" t="s">
        <v>3012</v>
      </c>
      <c r="AA1246" s="36">
        <v>440.99370000000005</v>
      </c>
      <c r="AB1246" s="54">
        <v>3525.8931000000007</v>
      </c>
      <c r="AC1246" s="54">
        <v>272.2441</v>
      </c>
      <c r="AD1246" s="36">
        <v>2927.0448200000005</v>
      </c>
    </row>
    <row r="1247" spans="1:30" s="37" customFormat="1" ht="15.75" customHeight="1" x14ac:dyDescent="0.2">
      <c r="A1247" s="26">
        <v>1253</v>
      </c>
      <c r="B1247" s="27" t="s">
        <v>2272</v>
      </c>
      <c r="C1247" s="27" t="s">
        <v>48</v>
      </c>
      <c r="D1247" s="28">
        <v>0.1</v>
      </c>
      <c r="E1247" s="29">
        <v>212.6</v>
      </c>
      <c r="F1247" s="29">
        <v>110.2</v>
      </c>
      <c r="G1247" s="30" t="s">
        <v>27</v>
      </c>
      <c r="H1247" s="27" t="s">
        <v>71</v>
      </c>
      <c r="I1247" s="27" t="s">
        <v>29</v>
      </c>
      <c r="J1247" s="27" t="s">
        <v>30</v>
      </c>
      <c r="K1247" s="27" t="s">
        <v>31</v>
      </c>
      <c r="L1247" s="31" t="s">
        <v>163</v>
      </c>
      <c r="M1247" s="32">
        <v>0.73</v>
      </c>
      <c r="N1247" s="27" t="s">
        <v>33</v>
      </c>
      <c r="O1247" s="27" t="s">
        <v>53</v>
      </c>
      <c r="P1247" s="27" t="s">
        <v>187</v>
      </c>
      <c r="Q1247" s="27" t="s">
        <v>2273</v>
      </c>
      <c r="R1247" s="33">
        <v>78613</v>
      </c>
      <c r="S1247" s="34">
        <v>42117</v>
      </c>
      <c r="T1247" s="34">
        <v>42119</v>
      </c>
      <c r="U1247" s="29">
        <v>-3465.0720000000001</v>
      </c>
      <c r="V1247" s="26">
        <v>12</v>
      </c>
      <c r="W1247" s="29">
        <v>2346.0300000000002</v>
      </c>
      <c r="X1247" s="26">
        <v>89981</v>
      </c>
      <c r="Y1247" s="35">
        <v>46.87</v>
      </c>
      <c r="Z1247" s="1" t="s">
        <v>3012</v>
      </c>
      <c r="AA1247" s="36">
        <v>255.12</v>
      </c>
      <c r="AB1247" s="54">
        <v>633.42810000000009</v>
      </c>
      <c r="AC1247" s="54">
        <v>142.71682500000003</v>
      </c>
      <c r="AD1247" s="36">
        <v>5445.7820000000011</v>
      </c>
    </row>
    <row r="1248" spans="1:30" s="37" customFormat="1" ht="15.75" customHeight="1" x14ac:dyDescent="0.2">
      <c r="A1248" s="26">
        <v>146</v>
      </c>
      <c r="B1248" s="27" t="s">
        <v>1600</v>
      </c>
      <c r="C1248" s="27" t="s">
        <v>116</v>
      </c>
      <c r="D1248" s="28">
        <v>0.06</v>
      </c>
      <c r="E1248" s="29">
        <v>180.98</v>
      </c>
      <c r="F1248" s="29">
        <v>26.2</v>
      </c>
      <c r="G1248" s="30" t="s">
        <v>27</v>
      </c>
      <c r="H1248" s="27" t="s">
        <v>94</v>
      </c>
      <c r="I1248" s="27" t="s">
        <v>29</v>
      </c>
      <c r="J1248" s="27" t="s">
        <v>109</v>
      </c>
      <c r="K1248" s="27" t="s">
        <v>58</v>
      </c>
      <c r="L1248" s="31" t="s">
        <v>2274</v>
      </c>
      <c r="M1248" s="32">
        <v>0.59</v>
      </c>
      <c r="N1248" s="27" t="s">
        <v>33</v>
      </c>
      <c r="O1248" s="27" t="s">
        <v>53</v>
      </c>
      <c r="P1248" s="27" t="s">
        <v>187</v>
      </c>
      <c r="Q1248" s="27" t="s">
        <v>1602</v>
      </c>
      <c r="R1248" s="33">
        <v>76148</v>
      </c>
      <c r="S1248" s="34">
        <v>42117</v>
      </c>
      <c r="T1248" s="34">
        <v>42118</v>
      </c>
      <c r="U1248" s="29">
        <v>251.4084</v>
      </c>
      <c r="V1248" s="26">
        <v>5</v>
      </c>
      <c r="W1248" s="29">
        <v>929.57</v>
      </c>
      <c r="X1248" s="26">
        <v>91090</v>
      </c>
      <c r="Y1248" s="35">
        <v>140.92999999999998</v>
      </c>
      <c r="Z1248" s="1" t="s">
        <v>3012</v>
      </c>
      <c r="AA1248" s="36">
        <v>54.293999999999997</v>
      </c>
      <c r="AB1248" s="54">
        <v>381.12370000000004</v>
      </c>
      <c r="AC1248" s="54">
        <v>109.68926</v>
      </c>
      <c r="AD1248" s="36">
        <v>597.66759999999999</v>
      </c>
    </row>
    <row r="1249" spans="1:30" s="37" customFormat="1" ht="15.75" customHeight="1" x14ac:dyDescent="0.2">
      <c r="A1249" s="26">
        <v>1253</v>
      </c>
      <c r="B1249" s="27" t="s">
        <v>2272</v>
      </c>
      <c r="C1249" s="27" t="s">
        <v>48</v>
      </c>
      <c r="D1249" s="28">
        <v>0.05</v>
      </c>
      <c r="E1249" s="29">
        <v>140.97999999999999</v>
      </c>
      <c r="F1249" s="29">
        <v>36.090000000000003</v>
      </c>
      <c r="G1249" s="30" t="s">
        <v>27</v>
      </c>
      <c r="H1249" s="27" t="s">
        <v>71</v>
      </c>
      <c r="I1249" s="27" t="s">
        <v>29</v>
      </c>
      <c r="J1249" s="27" t="s">
        <v>117</v>
      </c>
      <c r="K1249" s="27" t="s">
        <v>31</v>
      </c>
      <c r="L1249" s="31" t="s">
        <v>1862</v>
      </c>
      <c r="M1249" s="32">
        <v>0.77</v>
      </c>
      <c r="N1249" s="27" t="s">
        <v>33</v>
      </c>
      <c r="O1249" s="27" t="s">
        <v>53</v>
      </c>
      <c r="P1249" s="27" t="s">
        <v>187</v>
      </c>
      <c r="Q1249" s="27" t="s">
        <v>2273</v>
      </c>
      <c r="R1249" s="33">
        <v>78613</v>
      </c>
      <c r="S1249" s="34">
        <v>42117</v>
      </c>
      <c r="T1249" s="34">
        <v>42119</v>
      </c>
      <c r="U1249" s="29">
        <v>-373.09</v>
      </c>
      <c r="V1249" s="26">
        <v>5</v>
      </c>
      <c r="W1249" s="29">
        <v>699.24</v>
      </c>
      <c r="X1249" s="26">
        <v>89981</v>
      </c>
      <c r="Y1249" s="35">
        <v>212.5</v>
      </c>
      <c r="Z1249" s="1" t="s">
        <v>3012</v>
      </c>
      <c r="AA1249" s="36">
        <v>35.244999999999997</v>
      </c>
      <c r="AB1249" s="54">
        <v>160.8252</v>
      </c>
      <c r="AC1249" s="54">
        <v>107.68296000000001</v>
      </c>
      <c r="AD1249" s="36">
        <v>1000.995</v>
      </c>
    </row>
    <row r="1250" spans="1:30" s="37" customFormat="1" ht="15.75" customHeight="1" x14ac:dyDescent="0.2">
      <c r="A1250" s="26">
        <v>1253</v>
      </c>
      <c r="B1250" s="27" t="s">
        <v>2272</v>
      </c>
      <c r="C1250" s="27" t="s">
        <v>48</v>
      </c>
      <c r="D1250" s="28">
        <v>0.02</v>
      </c>
      <c r="E1250" s="29">
        <v>46.89</v>
      </c>
      <c r="F1250" s="29">
        <v>5.0999999999999996</v>
      </c>
      <c r="G1250" s="30" t="s">
        <v>39</v>
      </c>
      <c r="H1250" s="27" t="s">
        <v>71</v>
      </c>
      <c r="I1250" s="27" t="s">
        <v>49</v>
      </c>
      <c r="J1250" s="27" t="s">
        <v>95</v>
      </c>
      <c r="K1250" s="27" t="s">
        <v>144</v>
      </c>
      <c r="L1250" s="31" t="s">
        <v>1843</v>
      </c>
      <c r="M1250" s="32">
        <v>0.46</v>
      </c>
      <c r="N1250" s="27" t="s">
        <v>33</v>
      </c>
      <c r="O1250" s="27" t="s">
        <v>53</v>
      </c>
      <c r="P1250" s="27" t="s">
        <v>187</v>
      </c>
      <c r="Q1250" s="27" t="s">
        <v>2273</v>
      </c>
      <c r="R1250" s="33">
        <v>78613</v>
      </c>
      <c r="S1250" s="34">
        <v>42117</v>
      </c>
      <c r="T1250" s="34">
        <v>42117</v>
      </c>
      <c r="U1250" s="29">
        <v>421.3485</v>
      </c>
      <c r="V1250" s="26">
        <v>13</v>
      </c>
      <c r="W1250" s="29">
        <v>610.65</v>
      </c>
      <c r="X1250" s="26">
        <v>89981</v>
      </c>
      <c r="Y1250" s="35">
        <v>180.92</v>
      </c>
      <c r="Z1250" s="1" t="s">
        <v>3012</v>
      </c>
      <c r="AA1250" s="36">
        <v>12.191400000000002</v>
      </c>
      <c r="AB1250" s="54">
        <v>329.75100000000003</v>
      </c>
      <c r="AC1250" s="54">
        <v>21.607615384615386</v>
      </c>
      <c r="AD1250" s="36">
        <v>172.01009999999997</v>
      </c>
    </row>
    <row r="1251" spans="1:30" s="37" customFormat="1" ht="15.75" customHeight="1" x14ac:dyDescent="0.2">
      <c r="A1251" s="26">
        <v>699</v>
      </c>
      <c r="B1251" s="27" t="s">
        <v>861</v>
      </c>
      <c r="C1251" s="27" t="s">
        <v>116</v>
      </c>
      <c r="D1251" s="28">
        <v>0.03</v>
      </c>
      <c r="E1251" s="29">
        <v>5.28</v>
      </c>
      <c r="F1251" s="29">
        <v>5.61</v>
      </c>
      <c r="G1251" s="30" t="s">
        <v>39</v>
      </c>
      <c r="H1251" s="27" t="s">
        <v>40</v>
      </c>
      <c r="I1251" s="27" t="s">
        <v>49</v>
      </c>
      <c r="J1251" s="27" t="s">
        <v>88</v>
      </c>
      <c r="K1251" s="27" t="s">
        <v>73</v>
      </c>
      <c r="L1251" s="31" t="s">
        <v>2275</v>
      </c>
      <c r="M1251" s="32">
        <v>0.4</v>
      </c>
      <c r="N1251" s="27" t="s">
        <v>33</v>
      </c>
      <c r="O1251" s="27" t="s">
        <v>60</v>
      </c>
      <c r="P1251" s="27" t="s">
        <v>90</v>
      </c>
      <c r="Q1251" s="27" t="s">
        <v>100</v>
      </c>
      <c r="R1251" s="33">
        <v>90041</v>
      </c>
      <c r="S1251" s="34">
        <v>42117</v>
      </c>
      <c r="T1251" s="34">
        <v>42118</v>
      </c>
      <c r="U1251" s="29">
        <v>-16.670000000000002</v>
      </c>
      <c r="V1251" s="26">
        <v>5</v>
      </c>
      <c r="W1251" s="29">
        <v>32.5</v>
      </c>
      <c r="X1251" s="26">
        <v>44517</v>
      </c>
      <c r="Y1251" s="35">
        <v>5.25</v>
      </c>
      <c r="Z1251" s="1" t="s">
        <v>3013</v>
      </c>
      <c r="AA1251" s="36">
        <v>0.79200000000000004</v>
      </c>
      <c r="AB1251" s="54">
        <v>19.5</v>
      </c>
      <c r="AC1251" s="54">
        <v>2.6</v>
      </c>
      <c r="AD1251" s="36">
        <v>42.768000000000001</v>
      </c>
    </row>
    <row r="1252" spans="1:30" s="37" customFormat="1" ht="15.75" customHeight="1" x14ac:dyDescent="0.2">
      <c r="A1252" s="26">
        <v>483</v>
      </c>
      <c r="B1252" s="27" t="s">
        <v>815</v>
      </c>
      <c r="C1252" s="27" t="s">
        <v>3094</v>
      </c>
      <c r="D1252" s="28">
        <v>0.06</v>
      </c>
      <c r="E1252" s="29">
        <v>3.36</v>
      </c>
      <c r="F1252" s="29">
        <v>6.27</v>
      </c>
      <c r="G1252" s="30" t="s">
        <v>39</v>
      </c>
      <c r="H1252" s="27" t="s">
        <v>94</v>
      </c>
      <c r="I1252" s="27" t="s">
        <v>49</v>
      </c>
      <c r="J1252" s="27" t="s">
        <v>72</v>
      </c>
      <c r="K1252" s="27" t="s">
        <v>73</v>
      </c>
      <c r="L1252" s="31" t="s">
        <v>186</v>
      </c>
      <c r="M1252" s="32">
        <v>0.4</v>
      </c>
      <c r="N1252" s="27" t="s">
        <v>33</v>
      </c>
      <c r="O1252" s="27" t="s">
        <v>53</v>
      </c>
      <c r="P1252" s="27" t="s">
        <v>103</v>
      </c>
      <c r="Q1252" s="27" t="s">
        <v>817</v>
      </c>
      <c r="R1252" s="33">
        <v>60543</v>
      </c>
      <c r="S1252" s="34">
        <v>42117</v>
      </c>
      <c r="T1252" s="34">
        <v>42118</v>
      </c>
      <c r="U1252" s="29">
        <v>-24.057539999999999</v>
      </c>
      <c r="V1252" s="26">
        <v>2</v>
      </c>
      <c r="W1252" s="29">
        <v>8.82</v>
      </c>
      <c r="X1252" s="26">
        <v>90354</v>
      </c>
      <c r="Y1252" s="35">
        <v>5.25</v>
      </c>
      <c r="Z1252" s="1" t="s">
        <v>3012</v>
      </c>
      <c r="AA1252" s="36">
        <v>0.40319999999999995</v>
      </c>
      <c r="AB1252" s="54">
        <v>5.2919999999999998</v>
      </c>
      <c r="AC1252" s="54">
        <v>1.7640000000000002</v>
      </c>
      <c r="AD1252" s="36">
        <v>26.204340000000002</v>
      </c>
    </row>
    <row r="1253" spans="1:30" s="37" customFormat="1" ht="15.75" customHeight="1" x14ac:dyDescent="0.2">
      <c r="A1253" s="26">
        <v>1304</v>
      </c>
      <c r="B1253" s="27" t="s">
        <v>2278</v>
      </c>
      <c r="C1253" s="27" t="s">
        <v>116</v>
      </c>
      <c r="D1253" s="28">
        <v>0.08</v>
      </c>
      <c r="E1253" s="29">
        <v>2.88</v>
      </c>
      <c r="F1253" s="29">
        <v>0.5</v>
      </c>
      <c r="G1253" s="30" t="s">
        <v>39</v>
      </c>
      <c r="H1253" s="27" t="s">
        <v>40</v>
      </c>
      <c r="I1253" s="27" t="s">
        <v>49</v>
      </c>
      <c r="J1253" s="27" t="s">
        <v>152</v>
      </c>
      <c r="K1253" s="27" t="s">
        <v>73</v>
      </c>
      <c r="L1253" s="31" t="s">
        <v>2279</v>
      </c>
      <c r="M1253" s="32">
        <v>0.39</v>
      </c>
      <c r="N1253" s="27" t="s">
        <v>33</v>
      </c>
      <c r="O1253" s="27" t="s">
        <v>60</v>
      </c>
      <c r="P1253" s="27" t="s">
        <v>146</v>
      </c>
      <c r="Q1253" s="27" t="s">
        <v>2280</v>
      </c>
      <c r="R1253" s="33">
        <v>84084</v>
      </c>
      <c r="S1253" s="34">
        <v>42117</v>
      </c>
      <c r="T1253" s="34">
        <v>42118</v>
      </c>
      <c r="U1253" s="29">
        <v>6.0305999999999997</v>
      </c>
      <c r="V1253" s="26">
        <v>3</v>
      </c>
      <c r="W1253" s="29">
        <v>8.74</v>
      </c>
      <c r="X1253" s="26">
        <v>87004</v>
      </c>
      <c r="Y1253" s="35">
        <v>2.8</v>
      </c>
      <c r="Z1253" s="1" t="s">
        <v>3013</v>
      </c>
      <c r="AA1253" s="36">
        <v>0.69120000000000004</v>
      </c>
      <c r="AB1253" s="54">
        <v>5.3314000000000004</v>
      </c>
      <c r="AC1253" s="54">
        <v>1.1362000000000001</v>
      </c>
      <c r="AD1253" s="36">
        <v>1.5182000000000002</v>
      </c>
    </row>
    <row r="1254" spans="1:30" s="37" customFormat="1" ht="15.75" customHeight="1" x14ac:dyDescent="0.2">
      <c r="A1254" s="26">
        <v>702</v>
      </c>
      <c r="B1254" s="27" t="s">
        <v>2276</v>
      </c>
      <c r="C1254" s="27" t="s">
        <v>116</v>
      </c>
      <c r="D1254" s="28">
        <v>0.03</v>
      </c>
      <c r="E1254" s="29">
        <v>5.28</v>
      </c>
      <c r="F1254" s="29">
        <v>5.61</v>
      </c>
      <c r="G1254" s="30" t="s">
        <v>39</v>
      </c>
      <c r="H1254" s="27" t="s">
        <v>40</v>
      </c>
      <c r="I1254" s="27" t="s">
        <v>49</v>
      </c>
      <c r="J1254" s="27" t="s">
        <v>88</v>
      </c>
      <c r="K1254" s="27" t="s">
        <v>73</v>
      </c>
      <c r="L1254" s="31" t="s">
        <v>2275</v>
      </c>
      <c r="M1254" s="32">
        <v>0.4</v>
      </c>
      <c r="N1254" s="27" t="s">
        <v>33</v>
      </c>
      <c r="O1254" s="27" t="s">
        <v>60</v>
      </c>
      <c r="P1254" s="27" t="s">
        <v>90</v>
      </c>
      <c r="Q1254" s="27" t="s">
        <v>2277</v>
      </c>
      <c r="R1254" s="33">
        <v>95404</v>
      </c>
      <c r="S1254" s="34">
        <v>42117</v>
      </c>
      <c r="T1254" s="34">
        <v>42118</v>
      </c>
      <c r="U1254" s="29">
        <v>-16.670000000000002</v>
      </c>
      <c r="V1254" s="26">
        <v>1</v>
      </c>
      <c r="W1254" s="29">
        <v>6.5</v>
      </c>
      <c r="X1254" s="26">
        <v>87977</v>
      </c>
      <c r="Y1254" s="35">
        <v>3.3</v>
      </c>
      <c r="Z1254" s="1" t="s">
        <v>3013</v>
      </c>
      <c r="AA1254" s="36">
        <v>0.15840000000000001</v>
      </c>
      <c r="AB1254" s="54">
        <v>3.9</v>
      </c>
      <c r="AC1254" s="54">
        <v>2.6</v>
      </c>
      <c r="AD1254" s="36">
        <v>17.401600000000002</v>
      </c>
    </row>
    <row r="1255" spans="1:30" s="37" customFormat="1" ht="15.75" customHeight="1" x14ac:dyDescent="0.2">
      <c r="A1255" s="26">
        <v>2114</v>
      </c>
      <c r="B1255" s="27" t="s">
        <v>1375</v>
      </c>
      <c r="C1255" s="27" t="s">
        <v>26</v>
      </c>
      <c r="D1255" s="28">
        <v>0.08</v>
      </c>
      <c r="E1255" s="29">
        <v>2.89</v>
      </c>
      <c r="F1255" s="29">
        <v>0.49</v>
      </c>
      <c r="G1255" s="30" t="s">
        <v>39</v>
      </c>
      <c r="H1255" s="27" t="s">
        <v>94</v>
      </c>
      <c r="I1255" s="27" t="s">
        <v>49</v>
      </c>
      <c r="J1255" s="27" t="s">
        <v>152</v>
      </c>
      <c r="K1255" s="27" t="s">
        <v>73</v>
      </c>
      <c r="L1255" s="31" t="s">
        <v>2271</v>
      </c>
      <c r="M1255" s="32">
        <v>0.38</v>
      </c>
      <c r="N1255" s="27" t="s">
        <v>33</v>
      </c>
      <c r="O1255" s="27" t="s">
        <v>34</v>
      </c>
      <c r="P1255" s="27" t="s">
        <v>242</v>
      </c>
      <c r="Q1255" s="27" t="s">
        <v>1377</v>
      </c>
      <c r="R1255" s="33">
        <v>23518</v>
      </c>
      <c r="S1255" s="34">
        <v>42117</v>
      </c>
      <c r="T1255" s="34">
        <v>42117</v>
      </c>
      <c r="U1255" s="29">
        <v>38.405999999999999</v>
      </c>
      <c r="V1255" s="26">
        <v>1</v>
      </c>
      <c r="W1255" s="29">
        <v>3.07</v>
      </c>
      <c r="X1255" s="26">
        <v>88404</v>
      </c>
      <c r="Y1255" s="35">
        <v>699.92</v>
      </c>
      <c r="Z1255" s="1" t="s">
        <v>3011</v>
      </c>
      <c r="AA1255" s="36">
        <v>0.23120000000000002</v>
      </c>
      <c r="AB1255" s="54">
        <v>1.9034</v>
      </c>
      <c r="AC1255" s="54">
        <v>1.1665999999999999</v>
      </c>
      <c r="AD1255" s="36">
        <v>-36.057200000000002</v>
      </c>
    </row>
    <row r="1256" spans="1:30" s="37" customFormat="1" ht="15.75" customHeight="1" x14ac:dyDescent="0.2">
      <c r="A1256" s="26">
        <v>1670</v>
      </c>
      <c r="B1256" s="27" t="s">
        <v>2290</v>
      </c>
      <c r="C1256" s="27" t="s">
        <v>48</v>
      </c>
      <c r="D1256" s="28">
        <v>0</v>
      </c>
      <c r="E1256" s="29">
        <v>142.86000000000001</v>
      </c>
      <c r="F1256" s="29">
        <v>19.989999999999998</v>
      </c>
      <c r="G1256" s="30" t="s">
        <v>39</v>
      </c>
      <c r="H1256" s="27" t="s">
        <v>3095</v>
      </c>
      <c r="I1256" s="27" t="s">
        <v>49</v>
      </c>
      <c r="J1256" s="27" t="s">
        <v>78</v>
      </c>
      <c r="K1256" s="27" t="s">
        <v>73</v>
      </c>
      <c r="L1256" s="31" t="s">
        <v>1956</v>
      </c>
      <c r="M1256" s="32">
        <v>0.56000000000000005</v>
      </c>
      <c r="N1256" s="27" t="s">
        <v>33</v>
      </c>
      <c r="O1256" s="27" t="s">
        <v>34</v>
      </c>
      <c r="P1256" s="27" t="s">
        <v>242</v>
      </c>
      <c r="Q1256" s="27" t="s">
        <v>2173</v>
      </c>
      <c r="R1256" s="33">
        <v>24060</v>
      </c>
      <c r="S1256" s="34">
        <v>42118</v>
      </c>
      <c r="T1256" s="34">
        <v>42127</v>
      </c>
      <c r="U1256" s="29">
        <v>-739.32600000000002</v>
      </c>
      <c r="V1256" s="26">
        <v>11</v>
      </c>
      <c r="W1256" s="29">
        <v>1576.35</v>
      </c>
      <c r="X1256" s="26">
        <v>86722</v>
      </c>
      <c r="Y1256" s="35">
        <v>2.48</v>
      </c>
      <c r="Z1256" s="1" t="s">
        <v>3011</v>
      </c>
      <c r="AA1256" s="36">
        <v>0</v>
      </c>
      <c r="AB1256" s="54">
        <v>693.59399999999982</v>
      </c>
      <c r="AC1256" s="54">
        <v>80.250545454545446</v>
      </c>
      <c r="AD1256" s="36">
        <v>2295.6859999999997</v>
      </c>
    </row>
    <row r="1257" spans="1:30" s="37" customFormat="1" ht="15.75" customHeight="1" x14ac:dyDescent="0.2">
      <c r="A1257" s="26">
        <v>1670</v>
      </c>
      <c r="B1257" s="27" t="s">
        <v>2290</v>
      </c>
      <c r="C1257" s="27" t="s">
        <v>48</v>
      </c>
      <c r="D1257" s="28">
        <v>0.03</v>
      </c>
      <c r="E1257" s="29">
        <v>35.409999999999997</v>
      </c>
      <c r="F1257" s="29">
        <v>1.99</v>
      </c>
      <c r="G1257" s="30" t="s">
        <v>39</v>
      </c>
      <c r="H1257" s="27" t="s">
        <v>3095</v>
      </c>
      <c r="I1257" s="27" t="s">
        <v>41</v>
      </c>
      <c r="J1257" s="27" t="s">
        <v>42</v>
      </c>
      <c r="K1257" s="27" t="s">
        <v>43</v>
      </c>
      <c r="L1257" s="31" t="s">
        <v>2291</v>
      </c>
      <c r="M1257" s="32">
        <v>0.43</v>
      </c>
      <c r="N1257" s="27" t="s">
        <v>33</v>
      </c>
      <c r="O1257" s="27" t="s">
        <v>34</v>
      </c>
      <c r="P1257" s="27" t="s">
        <v>242</v>
      </c>
      <c r="Q1257" s="27" t="s">
        <v>2173</v>
      </c>
      <c r="R1257" s="33">
        <v>24060</v>
      </c>
      <c r="S1257" s="34">
        <v>42118</v>
      </c>
      <c r="T1257" s="34">
        <v>42120</v>
      </c>
      <c r="U1257" s="29">
        <v>1912.422</v>
      </c>
      <c r="V1257" s="26">
        <v>10</v>
      </c>
      <c r="W1257" s="29">
        <v>367.52</v>
      </c>
      <c r="X1257" s="26">
        <v>86722</v>
      </c>
      <c r="Y1257" s="35">
        <v>5.51</v>
      </c>
      <c r="Z1257" s="1" t="s">
        <v>3011</v>
      </c>
      <c r="AA1257" s="36">
        <v>10.622999999999998</v>
      </c>
      <c r="AB1257" s="54">
        <v>209.4864</v>
      </c>
      <c r="AC1257" s="54">
        <v>15.803359999999998</v>
      </c>
      <c r="AD1257" s="36">
        <v>-1557.5150000000001</v>
      </c>
    </row>
    <row r="1258" spans="1:30" s="37" customFormat="1" ht="15.75" customHeight="1" x14ac:dyDescent="0.2">
      <c r="A1258" s="26">
        <v>3325</v>
      </c>
      <c r="B1258" s="27" t="s">
        <v>2283</v>
      </c>
      <c r="C1258" s="27" t="s">
        <v>26</v>
      </c>
      <c r="D1258" s="28">
        <v>7.0000000000000007E-2</v>
      </c>
      <c r="E1258" s="29">
        <v>5.58</v>
      </c>
      <c r="F1258" s="29">
        <v>1.99</v>
      </c>
      <c r="G1258" s="30" t="s">
        <v>39</v>
      </c>
      <c r="H1258" s="27" t="s">
        <v>40</v>
      </c>
      <c r="I1258" s="27" t="s">
        <v>49</v>
      </c>
      <c r="J1258" s="27" t="s">
        <v>50</v>
      </c>
      <c r="K1258" s="27" t="s">
        <v>51</v>
      </c>
      <c r="L1258" s="31" t="s">
        <v>2284</v>
      </c>
      <c r="M1258" s="32">
        <v>0.46</v>
      </c>
      <c r="N1258" s="27" t="s">
        <v>33</v>
      </c>
      <c r="O1258" s="27" t="s">
        <v>60</v>
      </c>
      <c r="P1258" s="27" t="s">
        <v>139</v>
      </c>
      <c r="Q1258" s="27" t="s">
        <v>2285</v>
      </c>
      <c r="R1258" s="33">
        <v>97420</v>
      </c>
      <c r="S1258" s="34">
        <v>42118</v>
      </c>
      <c r="T1258" s="34">
        <v>42120</v>
      </c>
      <c r="U1258" s="29">
        <v>23.045999999999999</v>
      </c>
      <c r="V1258" s="26">
        <v>23</v>
      </c>
      <c r="W1258" s="29">
        <v>121.46</v>
      </c>
      <c r="X1258" s="26">
        <v>90987</v>
      </c>
      <c r="Y1258" s="35">
        <v>9.0200000000000014</v>
      </c>
      <c r="Z1258" s="1" t="s">
        <v>3013</v>
      </c>
      <c r="AA1258" s="36">
        <v>8.9838000000000022</v>
      </c>
      <c r="AB1258" s="54">
        <v>65.588400000000007</v>
      </c>
      <c r="AC1258" s="54">
        <v>2.4292000000000002</v>
      </c>
      <c r="AD1258" s="36">
        <v>87.44019999999999</v>
      </c>
    </row>
    <row r="1259" spans="1:30" s="37" customFormat="1" ht="15.75" customHeight="1" x14ac:dyDescent="0.2">
      <c r="A1259" s="26">
        <v>1086</v>
      </c>
      <c r="B1259" s="27" t="s">
        <v>2287</v>
      </c>
      <c r="C1259" s="27" t="s">
        <v>38</v>
      </c>
      <c r="D1259" s="28">
        <v>0.04</v>
      </c>
      <c r="E1259" s="29">
        <v>14.27</v>
      </c>
      <c r="F1259" s="29">
        <v>7.27</v>
      </c>
      <c r="G1259" s="30" t="s">
        <v>39</v>
      </c>
      <c r="H1259" s="27" t="s">
        <v>71</v>
      </c>
      <c r="I1259" s="27" t="s">
        <v>49</v>
      </c>
      <c r="J1259" s="27" t="s">
        <v>72</v>
      </c>
      <c r="K1259" s="27" t="s">
        <v>73</v>
      </c>
      <c r="L1259" s="31" t="s">
        <v>2288</v>
      </c>
      <c r="M1259" s="32">
        <v>0.38</v>
      </c>
      <c r="N1259" s="27" t="s">
        <v>33</v>
      </c>
      <c r="O1259" s="27" t="s">
        <v>111</v>
      </c>
      <c r="P1259" s="27" t="s">
        <v>112</v>
      </c>
      <c r="Q1259" s="27" t="s">
        <v>2289</v>
      </c>
      <c r="R1259" s="33">
        <v>11746</v>
      </c>
      <c r="S1259" s="34">
        <v>42118</v>
      </c>
      <c r="T1259" s="34">
        <v>42119</v>
      </c>
      <c r="U1259" s="29">
        <v>2.125</v>
      </c>
      <c r="V1259" s="26">
        <v>3</v>
      </c>
      <c r="W1259" s="29">
        <v>45.24</v>
      </c>
      <c r="X1259" s="26">
        <v>86123</v>
      </c>
      <c r="Y1259" s="35">
        <v>14.23</v>
      </c>
      <c r="Z1259" s="1" t="s">
        <v>3014</v>
      </c>
      <c r="AA1259" s="36">
        <v>1.7123999999999999</v>
      </c>
      <c r="AB1259" s="54">
        <v>28.0488</v>
      </c>
      <c r="AC1259" s="54">
        <v>5.7304000000000004</v>
      </c>
      <c r="AD1259" s="36">
        <v>34.132600000000004</v>
      </c>
    </row>
    <row r="1260" spans="1:30" s="37" customFormat="1" ht="15.75" customHeight="1" x14ac:dyDescent="0.2">
      <c r="A1260" s="26">
        <v>1085</v>
      </c>
      <c r="B1260" s="27" t="s">
        <v>231</v>
      </c>
      <c r="C1260" s="27" t="s">
        <v>38</v>
      </c>
      <c r="D1260" s="28">
        <v>0.04</v>
      </c>
      <c r="E1260" s="29">
        <v>9.06</v>
      </c>
      <c r="F1260" s="29">
        <v>9.86</v>
      </c>
      <c r="G1260" s="30" t="s">
        <v>39</v>
      </c>
      <c r="H1260" s="27" t="s">
        <v>71</v>
      </c>
      <c r="I1260" s="27" t="s">
        <v>49</v>
      </c>
      <c r="J1260" s="27" t="s">
        <v>88</v>
      </c>
      <c r="K1260" s="27" t="s">
        <v>73</v>
      </c>
      <c r="L1260" s="31" t="s">
        <v>2286</v>
      </c>
      <c r="M1260" s="32">
        <v>0.4</v>
      </c>
      <c r="N1260" s="27" t="s">
        <v>33</v>
      </c>
      <c r="O1260" s="27" t="s">
        <v>111</v>
      </c>
      <c r="P1260" s="27" t="s">
        <v>112</v>
      </c>
      <c r="Q1260" s="27" t="s">
        <v>233</v>
      </c>
      <c r="R1260" s="33">
        <v>11729</v>
      </c>
      <c r="S1260" s="34">
        <v>42118</v>
      </c>
      <c r="T1260" s="34">
        <v>42119</v>
      </c>
      <c r="U1260" s="29">
        <v>-53.25</v>
      </c>
      <c r="V1260" s="26">
        <v>3</v>
      </c>
      <c r="W1260" s="29">
        <v>30.87</v>
      </c>
      <c r="X1260" s="26">
        <v>86123</v>
      </c>
      <c r="Y1260" s="35">
        <v>35.379999999999995</v>
      </c>
      <c r="Z1260" s="1" t="s">
        <v>3014</v>
      </c>
      <c r="AA1260" s="36">
        <v>1.0871999999999999</v>
      </c>
      <c r="AB1260" s="54">
        <v>18.521999999999998</v>
      </c>
      <c r="AC1260" s="54">
        <v>4.1160000000000005</v>
      </c>
      <c r="AD1260" s="36">
        <v>73.172799999999995</v>
      </c>
    </row>
    <row r="1261" spans="1:30" s="37" customFormat="1" ht="15.75" customHeight="1" x14ac:dyDescent="0.2">
      <c r="A1261" s="26">
        <v>1391</v>
      </c>
      <c r="B1261" s="27" t="s">
        <v>2292</v>
      </c>
      <c r="C1261" s="27" t="s">
        <v>3094</v>
      </c>
      <c r="D1261" s="28">
        <v>0</v>
      </c>
      <c r="E1261" s="29">
        <v>2.88</v>
      </c>
      <c r="F1261" s="29">
        <v>0.7</v>
      </c>
      <c r="G1261" s="30" t="s">
        <v>87</v>
      </c>
      <c r="H1261" s="27" t="s">
        <v>40</v>
      </c>
      <c r="I1261" s="27" t="s">
        <v>49</v>
      </c>
      <c r="J1261" s="27" t="s">
        <v>50</v>
      </c>
      <c r="K1261" s="27" t="s">
        <v>51</v>
      </c>
      <c r="L1261" s="31" t="s">
        <v>639</v>
      </c>
      <c r="M1261" s="32">
        <v>0.56000000000000005</v>
      </c>
      <c r="N1261" s="27" t="s">
        <v>33</v>
      </c>
      <c r="O1261" s="27" t="s">
        <v>60</v>
      </c>
      <c r="P1261" s="27" t="s">
        <v>90</v>
      </c>
      <c r="Q1261" s="27" t="s">
        <v>2293</v>
      </c>
      <c r="R1261" s="33">
        <v>94086</v>
      </c>
      <c r="S1261" s="34">
        <v>42118</v>
      </c>
      <c r="T1261" s="34">
        <v>42118</v>
      </c>
      <c r="U1261" s="29">
        <v>-0.11</v>
      </c>
      <c r="V1261" s="26">
        <v>1</v>
      </c>
      <c r="W1261" s="29">
        <v>7.96</v>
      </c>
      <c r="X1261" s="26">
        <v>88727</v>
      </c>
      <c r="Y1261" s="35">
        <v>142.86000000000001</v>
      </c>
      <c r="Z1261" s="1" t="s">
        <v>3013</v>
      </c>
      <c r="AA1261" s="36">
        <v>0</v>
      </c>
      <c r="AB1261" s="54">
        <v>3.5023999999999997</v>
      </c>
      <c r="AC1261" s="54">
        <v>4.4576000000000002</v>
      </c>
      <c r="AD1261" s="36">
        <v>7.37</v>
      </c>
    </row>
    <row r="1262" spans="1:30" s="37" customFormat="1" ht="15.75" customHeight="1" x14ac:dyDescent="0.2">
      <c r="A1262" s="26">
        <v>1257</v>
      </c>
      <c r="B1262" s="27" t="s">
        <v>2281</v>
      </c>
      <c r="C1262" s="27" t="s">
        <v>26</v>
      </c>
      <c r="D1262" s="28">
        <v>0.04</v>
      </c>
      <c r="E1262" s="29">
        <v>2.52</v>
      </c>
      <c r="F1262" s="29">
        <v>1.92</v>
      </c>
      <c r="G1262" s="30" t="s">
        <v>39</v>
      </c>
      <c r="H1262" s="27" t="s">
        <v>71</v>
      </c>
      <c r="I1262" s="27" t="s">
        <v>49</v>
      </c>
      <c r="J1262" s="27" t="s">
        <v>568</v>
      </c>
      <c r="K1262" s="27" t="s">
        <v>51</v>
      </c>
      <c r="L1262" s="31" t="s">
        <v>2282</v>
      </c>
      <c r="M1262" s="32">
        <v>0.82</v>
      </c>
      <c r="N1262" s="27" t="s">
        <v>33</v>
      </c>
      <c r="O1262" s="27" t="s">
        <v>60</v>
      </c>
      <c r="P1262" s="27" t="s">
        <v>61</v>
      </c>
      <c r="Q1262" s="27" t="s">
        <v>1123</v>
      </c>
      <c r="R1262" s="33">
        <v>80013</v>
      </c>
      <c r="S1262" s="34">
        <v>42118</v>
      </c>
      <c r="T1262" s="34">
        <v>42118</v>
      </c>
      <c r="U1262" s="29">
        <v>-8.2080000000000002</v>
      </c>
      <c r="V1262" s="26">
        <v>1</v>
      </c>
      <c r="W1262" s="29">
        <v>3.13</v>
      </c>
      <c r="X1262" s="26">
        <v>86536</v>
      </c>
      <c r="Y1262" s="35">
        <v>2.88</v>
      </c>
      <c r="Z1262" s="1" t="s">
        <v>3013</v>
      </c>
      <c r="AA1262" s="36">
        <v>0.1008</v>
      </c>
      <c r="AB1262" s="54">
        <v>0.56340000000000012</v>
      </c>
      <c r="AC1262" s="54">
        <v>2.5665999999999998</v>
      </c>
      <c r="AD1262" s="36">
        <v>9.3171999999999997</v>
      </c>
    </row>
    <row r="1263" spans="1:30" s="37" customFormat="1" ht="15.75" customHeight="1" x14ac:dyDescent="0.2">
      <c r="A1263" s="26">
        <v>2571</v>
      </c>
      <c r="B1263" s="27" t="s">
        <v>2299</v>
      </c>
      <c r="C1263" s="27" t="s">
        <v>26</v>
      </c>
      <c r="D1263" s="28">
        <v>0.01</v>
      </c>
      <c r="E1263" s="29">
        <v>500.98</v>
      </c>
      <c r="F1263" s="29">
        <v>56</v>
      </c>
      <c r="G1263" s="30" t="s">
        <v>27</v>
      </c>
      <c r="H1263" s="27" t="s">
        <v>40</v>
      </c>
      <c r="I1263" s="27" t="s">
        <v>29</v>
      </c>
      <c r="J1263" s="27" t="s">
        <v>109</v>
      </c>
      <c r="K1263" s="27" t="s">
        <v>58</v>
      </c>
      <c r="L1263" s="31" t="s">
        <v>2296</v>
      </c>
      <c r="M1263" s="32">
        <v>0.6</v>
      </c>
      <c r="N1263" s="27" t="s">
        <v>33</v>
      </c>
      <c r="O1263" s="27" t="s">
        <v>111</v>
      </c>
      <c r="P1263" s="27" t="s">
        <v>112</v>
      </c>
      <c r="Q1263" s="27" t="s">
        <v>113</v>
      </c>
      <c r="R1263" s="33">
        <v>10165</v>
      </c>
      <c r="S1263" s="34">
        <v>42119</v>
      </c>
      <c r="T1263" s="34">
        <v>42120</v>
      </c>
      <c r="U1263" s="29">
        <v>4260.1120000000001</v>
      </c>
      <c r="V1263" s="26">
        <v>56</v>
      </c>
      <c r="W1263" s="29">
        <v>29718.53</v>
      </c>
      <c r="X1263" s="26">
        <v>50656</v>
      </c>
      <c r="Y1263" s="35">
        <v>4.37</v>
      </c>
      <c r="Z1263" s="1" t="s">
        <v>3014</v>
      </c>
      <c r="AA1263" s="36">
        <v>280.54880000000003</v>
      </c>
      <c r="AB1263" s="54">
        <v>11887.412</v>
      </c>
      <c r="AC1263" s="54">
        <v>318.41282142857136</v>
      </c>
      <c r="AD1263" s="36">
        <v>25121.869200000001</v>
      </c>
    </row>
    <row r="1264" spans="1:30" s="37" customFormat="1" ht="15.75" customHeight="1" x14ac:dyDescent="0.2">
      <c r="A1264" s="26">
        <v>2570</v>
      </c>
      <c r="B1264" s="27" t="s">
        <v>2294</v>
      </c>
      <c r="C1264" s="27" t="s">
        <v>26</v>
      </c>
      <c r="D1264" s="28">
        <v>0.01</v>
      </c>
      <c r="E1264" s="29">
        <v>500.98</v>
      </c>
      <c r="F1264" s="29">
        <v>56</v>
      </c>
      <c r="G1264" s="30" t="s">
        <v>27</v>
      </c>
      <c r="H1264" s="27" t="s">
        <v>40</v>
      </c>
      <c r="I1264" s="27" t="s">
        <v>29</v>
      </c>
      <c r="J1264" s="27" t="s">
        <v>109</v>
      </c>
      <c r="K1264" s="27" t="s">
        <v>58</v>
      </c>
      <c r="L1264" s="31" t="s">
        <v>2296</v>
      </c>
      <c r="M1264" s="32">
        <v>0.6</v>
      </c>
      <c r="N1264" s="27" t="s">
        <v>33</v>
      </c>
      <c r="O1264" s="27" t="s">
        <v>60</v>
      </c>
      <c r="P1264" s="27" t="s">
        <v>90</v>
      </c>
      <c r="Q1264" s="27" t="s">
        <v>2295</v>
      </c>
      <c r="R1264" s="33">
        <v>95616</v>
      </c>
      <c r="S1264" s="34">
        <v>42119</v>
      </c>
      <c r="T1264" s="34">
        <v>42120</v>
      </c>
      <c r="U1264" s="29">
        <v>4899.1288000000004</v>
      </c>
      <c r="V1264" s="26">
        <v>14</v>
      </c>
      <c r="W1264" s="29">
        <v>7429.63</v>
      </c>
      <c r="X1264" s="26">
        <v>90327</v>
      </c>
      <c r="Y1264" s="35">
        <v>500.97</v>
      </c>
      <c r="Z1264" s="1" t="s">
        <v>3013</v>
      </c>
      <c r="AA1264" s="36">
        <v>70.137200000000007</v>
      </c>
      <c r="AB1264" s="54">
        <v>2971.8520000000003</v>
      </c>
      <c r="AC1264" s="54">
        <v>318.41271428571429</v>
      </c>
      <c r="AD1264" s="36">
        <v>2404.3639999999996</v>
      </c>
    </row>
    <row r="1265" spans="1:30" s="37" customFormat="1" ht="15.75" customHeight="1" x14ac:dyDescent="0.2">
      <c r="A1265" s="26">
        <v>2570</v>
      </c>
      <c r="B1265" s="27" t="s">
        <v>2294</v>
      </c>
      <c r="C1265" s="27" t="s">
        <v>26</v>
      </c>
      <c r="D1265" s="28">
        <v>0.02</v>
      </c>
      <c r="E1265" s="29">
        <v>12.58</v>
      </c>
      <c r="F1265" s="29">
        <v>5.16</v>
      </c>
      <c r="G1265" s="30" t="s">
        <v>39</v>
      </c>
      <c r="H1265" s="27" t="s">
        <v>40</v>
      </c>
      <c r="I1265" s="27" t="s">
        <v>29</v>
      </c>
      <c r="J1265" s="27" t="s">
        <v>126</v>
      </c>
      <c r="K1265" s="27" t="s">
        <v>73</v>
      </c>
      <c r="L1265" s="31" t="s">
        <v>2297</v>
      </c>
      <c r="M1265" s="32">
        <v>0.43</v>
      </c>
      <c r="N1265" s="27" t="s">
        <v>33</v>
      </c>
      <c r="O1265" s="27" t="s">
        <v>60</v>
      </c>
      <c r="P1265" s="27" t="s">
        <v>90</v>
      </c>
      <c r="Q1265" s="27" t="s">
        <v>2295</v>
      </c>
      <c r="R1265" s="33">
        <v>95616</v>
      </c>
      <c r="S1265" s="34">
        <v>42119</v>
      </c>
      <c r="T1265" s="34">
        <v>42119</v>
      </c>
      <c r="U1265" s="29">
        <v>44.712000000000003</v>
      </c>
      <c r="V1265" s="26">
        <v>18</v>
      </c>
      <c r="W1265" s="29">
        <v>224.29</v>
      </c>
      <c r="X1265" s="26">
        <v>90327</v>
      </c>
      <c r="Y1265" s="35">
        <v>12.56</v>
      </c>
      <c r="Z1265" s="1" t="s">
        <v>3013</v>
      </c>
      <c r="AA1265" s="36">
        <v>4.5287999999999995</v>
      </c>
      <c r="AB1265" s="54">
        <v>127.84530000000001</v>
      </c>
      <c r="AC1265" s="54">
        <v>5.3580388888888884</v>
      </c>
      <c r="AD1265" s="36">
        <v>169.88919999999999</v>
      </c>
    </row>
    <row r="1266" spans="1:30" s="37" customFormat="1" ht="15.75" customHeight="1" x14ac:dyDescent="0.2">
      <c r="A1266" s="26">
        <v>2571</v>
      </c>
      <c r="B1266" s="27" t="s">
        <v>2299</v>
      </c>
      <c r="C1266" s="27" t="s">
        <v>26</v>
      </c>
      <c r="D1266" s="28">
        <v>0.1</v>
      </c>
      <c r="E1266" s="29">
        <v>7.7</v>
      </c>
      <c r="F1266" s="29">
        <v>3.68</v>
      </c>
      <c r="G1266" s="30" t="s">
        <v>39</v>
      </c>
      <c r="H1266" s="27" t="s">
        <v>40</v>
      </c>
      <c r="I1266" s="27" t="s">
        <v>29</v>
      </c>
      <c r="J1266" s="27" t="s">
        <v>126</v>
      </c>
      <c r="K1266" s="27" t="s">
        <v>51</v>
      </c>
      <c r="L1266" s="31" t="s">
        <v>2298</v>
      </c>
      <c r="M1266" s="32">
        <v>0.52</v>
      </c>
      <c r="N1266" s="27" t="s">
        <v>33</v>
      </c>
      <c r="O1266" s="27" t="s">
        <v>111</v>
      </c>
      <c r="P1266" s="27" t="s">
        <v>112</v>
      </c>
      <c r="Q1266" s="27" t="s">
        <v>113</v>
      </c>
      <c r="R1266" s="33">
        <v>10165</v>
      </c>
      <c r="S1266" s="34">
        <v>42119</v>
      </c>
      <c r="T1266" s="34">
        <v>42120</v>
      </c>
      <c r="U1266" s="29">
        <v>-25.14</v>
      </c>
      <c r="V1266" s="26">
        <v>27</v>
      </c>
      <c r="W1266" s="29">
        <v>197.48</v>
      </c>
      <c r="X1266" s="26">
        <v>50656</v>
      </c>
      <c r="Y1266" s="35">
        <v>7.6000000000000005</v>
      </c>
      <c r="Z1266" s="1" t="s">
        <v>3014</v>
      </c>
      <c r="AA1266" s="36">
        <v>20.79</v>
      </c>
      <c r="AB1266" s="54">
        <v>94.790399999999991</v>
      </c>
      <c r="AC1266" s="54">
        <v>3.8033185185185183</v>
      </c>
      <c r="AD1266" s="36">
        <v>198.14999999999998</v>
      </c>
    </row>
    <row r="1267" spans="1:30" s="37" customFormat="1" ht="15.75" customHeight="1" x14ac:dyDescent="0.2">
      <c r="A1267" s="26">
        <v>2570</v>
      </c>
      <c r="B1267" s="27" t="s">
        <v>2294</v>
      </c>
      <c r="C1267" s="27" t="s">
        <v>26</v>
      </c>
      <c r="D1267" s="28">
        <v>0</v>
      </c>
      <c r="E1267" s="29">
        <v>4.37</v>
      </c>
      <c r="F1267" s="29">
        <v>5.15</v>
      </c>
      <c r="G1267" s="30" t="s">
        <v>39</v>
      </c>
      <c r="H1267" s="27" t="s">
        <v>40</v>
      </c>
      <c r="I1267" s="27" t="s">
        <v>49</v>
      </c>
      <c r="J1267" s="27" t="s">
        <v>95</v>
      </c>
      <c r="K1267" s="27" t="s">
        <v>73</v>
      </c>
      <c r="L1267" s="31" t="s">
        <v>1295</v>
      </c>
      <c r="M1267" s="32">
        <v>0.59</v>
      </c>
      <c r="N1267" s="27" t="s">
        <v>33</v>
      </c>
      <c r="O1267" s="27" t="s">
        <v>60</v>
      </c>
      <c r="P1267" s="27" t="s">
        <v>90</v>
      </c>
      <c r="Q1267" s="27" t="s">
        <v>2295</v>
      </c>
      <c r="R1267" s="33">
        <v>95616</v>
      </c>
      <c r="S1267" s="34">
        <v>42119</v>
      </c>
      <c r="T1267" s="34">
        <v>42121</v>
      </c>
      <c r="U1267" s="29">
        <v>-150.2604</v>
      </c>
      <c r="V1267" s="26">
        <v>19</v>
      </c>
      <c r="W1267" s="29">
        <v>87.85</v>
      </c>
      <c r="X1267" s="26">
        <v>90327</v>
      </c>
      <c r="Y1267" s="35">
        <v>500.97</v>
      </c>
      <c r="Z1267" s="1" t="s">
        <v>3013</v>
      </c>
      <c r="AA1267" s="36">
        <v>0</v>
      </c>
      <c r="AB1267" s="54">
        <v>36.018500000000003</v>
      </c>
      <c r="AC1267" s="54">
        <v>2.727973684210526</v>
      </c>
      <c r="AD1267" s="36">
        <v>232.96039999999999</v>
      </c>
    </row>
    <row r="1268" spans="1:30" s="37" customFormat="1" ht="15.75" customHeight="1" x14ac:dyDescent="0.2">
      <c r="A1268" s="26">
        <v>3379</v>
      </c>
      <c r="B1268" s="27" t="s">
        <v>1869</v>
      </c>
      <c r="C1268" s="27" t="s">
        <v>26</v>
      </c>
      <c r="D1268" s="28">
        <v>0.05</v>
      </c>
      <c r="E1268" s="29">
        <v>3.14</v>
      </c>
      <c r="F1268" s="29">
        <v>1.92</v>
      </c>
      <c r="G1268" s="30" t="s">
        <v>87</v>
      </c>
      <c r="H1268" s="27" t="s">
        <v>71</v>
      </c>
      <c r="I1268" s="27" t="s">
        <v>49</v>
      </c>
      <c r="J1268" s="27" t="s">
        <v>568</v>
      </c>
      <c r="K1268" s="27" t="s">
        <v>51</v>
      </c>
      <c r="L1268" s="31" t="s">
        <v>1440</v>
      </c>
      <c r="M1268" s="32">
        <v>0.84</v>
      </c>
      <c r="N1268" s="27" t="s">
        <v>33</v>
      </c>
      <c r="O1268" s="27" t="s">
        <v>34</v>
      </c>
      <c r="P1268" s="27" t="s">
        <v>75</v>
      </c>
      <c r="Q1268" s="27" t="s">
        <v>1871</v>
      </c>
      <c r="R1268" s="33">
        <v>30144</v>
      </c>
      <c r="S1268" s="34">
        <v>42119</v>
      </c>
      <c r="T1268" s="34">
        <v>42120</v>
      </c>
      <c r="U1268" s="29">
        <v>1628.37</v>
      </c>
      <c r="V1268" s="26">
        <v>18</v>
      </c>
      <c r="W1268" s="29">
        <v>59.22</v>
      </c>
      <c r="X1268" s="26">
        <v>88839</v>
      </c>
      <c r="Y1268" s="35">
        <v>7.6000000000000005</v>
      </c>
      <c r="Z1268" s="1" t="s">
        <v>3011</v>
      </c>
      <c r="AA1268" s="36">
        <v>2.8260000000000005</v>
      </c>
      <c r="AB1268" s="54">
        <v>9.475200000000001</v>
      </c>
      <c r="AC1268" s="54">
        <v>2.7635999999999998</v>
      </c>
      <c r="AD1268" s="36">
        <v>-1573.896</v>
      </c>
    </row>
    <row r="1269" spans="1:30" s="37" customFormat="1" ht="15.75" customHeight="1" x14ac:dyDescent="0.2">
      <c r="A1269" s="26">
        <v>2570</v>
      </c>
      <c r="B1269" s="27" t="s">
        <v>2294</v>
      </c>
      <c r="C1269" s="27" t="s">
        <v>26</v>
      </c>
      <c r="D1269" s="28">
        <v>0.1</v>
      </c>
      <c r="E1269" s="29">
        <v>7.7</v>
      </c>
      <c r="F1269" s="29">
        <v>3.68</v>
      </c>
      <c r="G1269" s="30" t="s">
        <v>39</v>
      </c>
      <c r="H1269" s="27" t="s">
        <v>40</v>
      </c>
      <c r="I1269" s="27" t="s">
        <v>29</v>
      </c>
      <c r="J1269" s="27" t="s">
        <v>126</v>
      </c>
      <c r="K1269" s="27" t="s">
        <v>51</v>
      </c>
      <c r="L1269" s="31" t="s">
        <v>2298</v>
      </c>
      <c r="M1269" s="32">
        <v>0.52</v>
      </c>
      <c r="N1269" s="27" t="s">
        <v>33</v>
      </c>
      <c r="O1269" s="27" t="s">
        <v>60</v>
      </c>
      <c r="P1269" s="27" t="s">
        <v>90</v>
      </c>
      <c r="Q1269" s="27" t="s">
        <v>2295</v>
      </c>
      <c r="R1269" s="33">
        <v>95616</v>
      </c>
      <c r="S1269" s="34">
        <v>42119</v>
      </c>
      <c r="T1269" s="34">
        <v>42120</v>
      </c>
      <c r="U1269" s="29">
        <v>-22.626000000000001</v>
      </c>
      <c r="V1269" s="26">
        <v>7</v>
      </c>
      <c r="W1269" s="29">
        <v>51.2</v>
      </c>
      <c r="X1269" s="26">
        <v>90327</v>
      </c>
      <c r="Y1269" s="35">
        <v>3.0900000000000003</v>
      </c>
      <c r="Z1269" s="1" t="s">
        <v>3013</v>
      </c>
      <c r="AA1269" s="36">
        <v>5.3900000000000006</v>
      </c>
      <c r="AB1269" s="54">
        <v>24.576000000000001</v>
      </c>
      <c r="AC1269" s="54">
        <v>3.8034285714285718</v>
      </c>
      <c r="AD1269" s="36">
        <v>64.756</v>
      </c>
    </row>
    <row r="1270" spans="1:30" s="37" customFormat="1" ht="15.75" customHeight="1" x14ac:dyDescent="0.2">
      <c r="A1270" s="26">
        <v>2491</v>
      </c>
      <c r="B1270" s="27" t="s">
        <v>457</v>
      </c>
      <c r="C1270" s="27" t="s">
        <v>116</v>
      </c>
      <c r="D1270" s="28">
        <v>0.04</v>
      </c>
      <c r="E1270" s="29">
        <v>419.19</v>
      </c>
      <c r="F1270" s="29">
        <v>19.989999999999998</v>
      </c>
      <c r="G1270" s="30" t="s">
        <v>39</v>
      </c>
      <c r="H1270" s="27" t="s">
        <v>71</v>
      </c>
      <c r="I1270" s="27" t="s">
        <v>49</v>
      </c>
      <c r="J1270" s="27" t="s">
        <v>78</v>
      </c>
      <c r="K1270" s="27" t="s">
        <v>73</v>
      </c>
      <c r="L1270" s="31" t="s">
        <v>2192</v>
      </c>
      <c r="M1270" s="32">
        <v>0.57999999999999996</v>
      </c>
      <c r="N1270" s="27" t="s">
        <v>33</v>
      </c>
      <c r="O1270" s="27" t="s">
        <v>60</v>
      </c>
      <c r="P1270" s="27" t="s">
        <v>90</v>
      </c>
      <c r="Q1270" s="27" t="s">
        <v>100</v>
      </c>
      <c r="R1270" s="33">
        <v>90045</v>
      </c>
      <c r="S1270" s="34">
        <v>42120</v>
      </c>
      <c r="T1270" s="34">
        <v>42121</v>
      </c>
      <c r="U1270" s="29">
        <v>1947.67</v>
      </c>
      <c r="V1270" s="26">
        <v>20</v>
      </c>
      <c r="W1270" s="29">
        <v>8048.45</v>
      </c>
      <c r="X1270" s="26">
        <v>23042</v>
      </c>
      <c r="Y1270" s="35">
        <v>101.32</v>
      </c>
      <c r="Z1270" s="1" t="s">
        <v>3013</v>
      </c>
      <c r="AA1270" s="36">
        <v>335.35200000000003</v>
      </c>
      <c r="AB1270" s="54">
        <v>3380.3490000000002</v>
      </c>
      <c r="AC1270" s="54">
        <v>233.40504999999999</v>
      </c>
      <c r="AD1270" s="36">
        <v>5745.4380000000001</v>
      </c>
    </row>
    <row r="1271" spans="1:30" s="37" customFormat="1" ht="15.75" customHeight="1" x14ac:dyDescent="0.2">
      <c r="A1271" s="26">
        <v>2489</v>
      </c>
      <c r="B1271" s="27" t="s">
        <v>451</v>
      </c>
      <c r="C1271" s="27" t="s">
        <v>116</v>
      </c>
      <c r="D1271" s="28">
        <v>0.04</v>
      </c>
      <c r="E1271" s="29">
        <v>419.19</v>
      </c>
      <c r="F1271" s="29">
        <v>19.989999999999998</v>
      </c>
      <c r="G1271" s="30" t="s">
        <v>39</v>
      </c>
      <c r="H1271" s="27" t="s">
        <v>71</v>
      </c>
      <c r="I1271" s="27" t="s">
        <v>49</v>
      </c>
      <c r="J1271" s="27" t="s">
        <v>78</v>
      </c>
      <c r="K1271" s="27" t="s">
        <v>73</v>
      </c>
      <c r="L1271" s="31" t="s">
        <v>2192</v>
      </c>
      <c r="M1271" s="32">
        <v>0.57999999999999996</v>
      </c>
      <c r="N1271" s="27" t="s">
        <v>33</v>
      </c>
      <c r="O1271" s="27" t="s">
        <v>60</v>
      </c>
      <c r="P1271" s="27" t="s">
        <v>90</v>
      </c>
      <c r="Q1271" s="27" t="s">
        <v>453</v>
      </c>
      <c r="R1271" s="33">
        <v>94521</v>
      </c>
      <c r="S1271" s="34">
        <v>42120</v>
      </c>
      <c r="T1271" s="34">
        <v>42121</v>
      </c>
      <c r="U1271" s="29">
        <v>1388.3559</v>
      </c>
      <c r="V1271" s="26">
        <v>5</v>
      </c>
      <c r="W1271" s="29">
        <v>2012.11</v>
      </c>
      <c r="X1271" s="26">
        <v>86885</v>
      </c>
      <c r="Y1271" s="35">
        <v>180.95</v>
      </c>
      <c r="Z1271" s="1" t="s">
        <v>3013</v>
      </c>
      <c r="AA1271" s="36">
        <v>83.838000000000008</v>
      </c>
      <c r="AB1271" s="54">
        <v>845.08620000000008</v>
      </c>
      <c r="AC1271" s="54">
        <v>233.40475999999995</v>
      </c>
      <c r="AD1271" s="36">
        <v>519.92609999999991</v>
      </c>
    </row>
    <row r="1272" spans="1:30" s="37" customFormat="1" ht="15.75" customHeight="1" x14ac:dyDescent="0.2">
      <c r="A1272" s="26">
        <v>731</v>
      </c>
      <c r="B1272" s="27" t="s">
        <v>2300</v>
      </c>
      <c r="C1272" s="27" t="s">
        <v>38</v>
      </c>
      <c r="D1272" s="28">
        <v>0.09</v>
      </c>
      <c r="E1272" s="29">
        <v>101.41</v>
      </c>
      <c r="F1272" s="29">
        <v>35</v>
      </c>
      <c r="G1272" s="30" t="s">
        <v>39</v>
      </c>
      <c r="H1272" s="27" t="s">
        <v>40</v>
      </c>
      <c r="I1272" s="27" t="s">
        <v>49</v>
      </c>
      <c r="J1272" s="27" t="s">
        <v>78</v>
      </c>
      <c r="K1272" s="27" t="s">
        <v>65</v>
      </c>
      <c r="L1272" s="31" t="s">
        <v>766</v>
      </c>
      <c r="M1272" s="32">
        <v>0.82</v>
      </c>
      <c r="N1272" s="27" t="s">
        <v>33</v>
      </c>
      <c r="O1272" s="27" t="s">
        <v>111</v>
      </c>
      <c r="P1272" s="27" t="s">
        <v>403</v>
      </c>
      <c r="Q1272" s="27" t="s">
        <v>928</v>
      </c>
      <c r="R1272" s="33">
        <v>1803</v>
      </c>
      <c r="S1272" s="34">
        <v>42120</v>
      </c>
      <c r="T1272" s="34">
        <v>42121</v>
      </c>
      <c r="U1272" s="29">
        <v>-801.15480000000002</v>
      </c>
      <c r="V1272" s="26">
        <v>12</v>
      </c>
      <c r="W1272" s="29">
        <v>1178.32</v>
      </c>
      <c r="X1272" s="26">
        <v>90362</v>
      </c>
      <c r="Y1272" s="35">
        <v>4.2200000000000006</v>
      </c>
      <c r="Z1272" s="1" t="s">
        <v>3014</v>
      </c>
      <c r="AA1272" s="36">
        <v>109.52279999999999</v>
      </c>
      <c r="AB1272" s="54">
        <v>212.09760000000006</v>
      </c>
      <c r="AC1272" s="54">
        <v>80.518533333333323</v>
      </c>
      <c r="AD1272" s="36">
        <v>1834.952</v>
      </c>
    </row>
    <row r="1273" spans="1:30" s="37" customFormat="1" ht="15.75" customHeight="1" x14ac:dyDescent="0.2">
      <c r="A1273" s="26">
        <v>1893</v>
      </c>
      <c r="B1273" s="27" t="s">
        <v>2301</v>
      </c>
      <c r="C1273" s="27" t="s">
        <v>48</v>
      </c>
      <c r="D1273" s="28">
        <v>0.03</v>
      </c>
      <c r="E1273" s="29">
        <v>180.98</v>
      </c>
      <c r="F1273" s="29">
        <v>26.2</v>
      </c>
      <c r="G1273" s="30" t="s">
        <v>27</v>
      </c>
      <c r="H1273" s="27" t="s">
        <v>40</v>
      </c>
      <c r="I1273" s="27" t="s">
        <v>29</v>
      </c>
      <c r="J1273" s="27" t="s">
        <v>109</v>
      </c>
      <c r="K1273" s="27" t="s">
        <v>58</v>
      </c>
      <c r="L1273" s="31" t="s">
        <v>2274</v>
      </c>
      <c r="M1273" s="32">
        <v>0.59</v>
      </c>
      <c r="N1273" s="27" t="s">
        <v>33</v>
      </c>
      <c r="O1273" s="27" t="s">
        <v>53</v>
      </c>
      <c r="P1273" s="27" t="s">
        <v>80</v>
      </c>
      <c r="Q1273" s="27" t="s">
        <v>2302</v>
      </c>
      <c r="R1273" s="33">
        <v>63119</v>
      </c>
      <c r="S1273" s="34">
        <v>42120</v>
      </c>
      <c r="T1273" s="34">
        <v>42124</v>
      </c>
      <c r="U1273" s="29">
        <v>588.54</v>
      </c>
      <c r="V1273" s="26">
        <v>5</v>
      </c>
      <c r="W1273" s="29">
        <v>928.92</v>
      </c>
      <c r="X1273" s="26">
        <v>91262</v>
      </c>
      <c r="Y1273" s="35">
        <v>4.2200000000000006</v>
      </c>
      <c r="Z1273" s="1" t="s">
        <v>3012</v>
      </c>
      <c r="AA1273" s="36">
        <v>27.146999999999998</v>
      </c>
      <c r="AB1273" s="54">
        <v>380.85720000000003</v>
      </c>
      <c r="AC1273" s="54">
        <v>109.61255999999999</v>
      </c>
      <c r="AD1273" s="36">
        <v>287.0329999999999</v>
      </c>
    </row>
    <row r="1274" spans="1:30" s="37" customFormat="1" ht="15.75" customHeight="1" x14ac:dyDescent="0.2">
      <c r="A1274" s="26">
        <v>2382</v>
      </c>
      <c r="B1274" s="27" t="s">
        <v>2306</v>
      </c>
      <c r="C1274" s="27" t="s">
        <v>3094</v>
      </c>
      <c r="D1274" s="28">
        <v>7.0000000000000007E-2</v>
      </c>
      <c r="E1274" s="29">
        <v>3.38</v>
      </c>
      <c r="F1274" s="29">
        <v>0.85</v>
      </c>
      <c r="G1274" s="30" t="s">
        <v>39</v>
      </c>
      <c r="H1274" s="27" t="s">
        <v>3095</v>
      </c>
      <c r="I1274" s="27" t="s">
        <v>49</v>
      </c>
      <c r="J1274" s="27" t="s">
        <v>50</v>
      </c>
      <c r="K1274" s="27" t="s">
        <v>51</v>
      </c>
      <c r="L1274" s="31" t="s">
        <v>936</v>
      </c>
      <c r="M1274" s="32">
        <v>0.48</v>
      </c>
      <c r="N1274" s="27" t="s">
        <v>33</v>
      </c>
      <c r="O1274" s="27" t="s">
        <v>111</v>
      </c>
      <c r="P1274" s="27" t="s">
        <v>112</v>
      </c>
      <c r="Q1274" s="27" t="s">
        <v>113</v>
      </c>
      <c r="R1274" s="33">
        <v>10024</v>
      </c>
      <c r="S1274" s="34">
        <v>42120</v>
      </c>
      <c r="T1274" s="34">
        <v>42122</v>
      </c>
      <c r="U1274" s="29">
        <v>19.04</v>
      </c>
      <c r="V1274" s="26">
        <v>34</v>
      </c>
      <c r="W1274" s="29">
        <v>109.86</v>
      </c>
      <c r="X1274" s="26">
        <v>13606</v>
      </c>
      <c r="Y1274" s="35">
        <v>419.15</v>
      </c>
      <c r="Z1274" s="1" t="s">
        <v>3014</v>
      </c>
      <c r="AA1274" s="36">
        <v>8.0443999999999996</v>
      </c>
      <c r="AB1274" s="54">
        <v>57.127200000000002</v>
      </c>
      <c r="AC1274" s="54">
        <v>1.5509647058823528</v>
      </c>
      <c r="AD1274" s="36">
        <v>81.925600000000003</v>
      </c>
    </row>
    <row r="1275" spans="1:30" s="37" customFormat="1" ht="15.75" customHeight="1" x14ac:dyDescent="0.2">
      <c r="A1275" s="26">
        <v>2491</v>
      </c>
      <c r="B1275" s="27" t="s">
        <v>457</v>
      </c>
      <c r="C1275" s="27" t="s">
        <v>48</v>
      </c>
      <c r="D1275" s="28">
        <v>0.06</v>
      </c>
      <c r="E1275" s="29">
        <v>4.28</v>
      </c>
      <c r="F1275" s="29">
        <v>0.94</v>
      </c>
      <c r="G1275" s="30" t="s">
        <v>39</v>
      </c>
      <c r="H1275" s="27" t="s">
        <v>40</v>
      </c>
      <c r="I1275" s="27" t="s">
        <v>49</v>
      </c>
      <c r="J1275" s="27" t="s">
        <v>50</v>
      </c>
      <c r="K1275" s="27" t="s">
        <v>51</v>
      </c>
      <c r="L1275" s="31" t="s">
        <v>481</v>
      </c>
      <c r="M1275" s="32">
        <v>0.56000000000000005</v>
      </c>
      <c r="N1275" s="27" t="s">
        <v>33</v>
      </c>
      <c r="O1275" s="27" t="s">
        <v>60</v>
      </c>
      <c r="P1275" s="27" t="s">
        <v>90</v>
      </c>
      <c r="Q1275" s="27" t="s">
        <v>100</v>
      </c>
      <c r="R1275" s="33">
        <v>90045</v>
      </c>
      <c r="S1275" s="34">
        <v>42120</v>
      </c>
      <c r="T1275" s="34">
        <v>42122</v>
      </c>
      <c r="U1275" s="29">
        <v>0.37</v>
      </c>
      <c r="V1275" s="26">
        <v>9</v>
      </c>
      <c r="W1275" s="29">
        <v>38.96</v>
      </c>
      <c r="X1275" s="26">
        <v>11712</v>
      </c>
      <c r="Y1275" s="35">
        <v>419.15</v>
      </c>
      <c r="Z1275" s="1" t="s">
        <v>3013</v>
      </c>
      <c r="AA1275" s="36">
        <v>2.3112000000000004</v>
      </c>
      <c r="AB1275" s="54">
        <v>17.142399999999999</v>
      </c>
      <c r="AC1275" s="54">
        <v>2.424177777777778</v>
      </c>
      <c r="AD1275" s="36">
        <v>35.338799999999999</v>
      </c>
    </row>
    <row r="1276" spans="1:30" s="37" customFormat="1" ht="15.75" customHeight="1" x14ac:dyDescent="0.2">
      <c r="A1276" s="26">
        <v>2380</v>
      </c>
      <c r="B1276" s="27" t="s">
        <v>2304</v>
      </c>
      <c r="C1276" s="27" t="s">
        <v>3094</v>
      </c>
      <c r="D1276" s="28">
        <v>7.0000000000000007E-2</v>
      </c>
      <c r="E1276" s="29">
        <v>3.38</v>
      </c>
      <c r="F1276" s="29">
        <v>0.85</v>
      </c>
      <c r="G1276" s="30" t="s">
        <v>39</v>
      </c>
      <c r="H1276" s="27" t="s">
        <v>3095</v>
      </c>
      <c r="I1276" s="27" t="s">
        <v>49</v>
      </c>
      <c r="J1276" s="27" t="s">
        <v>50</v>
      </c>
      <c r="K1276" s="27" t="s">
        <v>51</v>
      </c>
      <c r="L1276" s="31" t="s">
        <v>936</v>
      </c>
      <c r="M1276" s="32">
        <v>0.48</v>
      </c>
      <c r="N1276" s="27" t="s">
        <v>33</v>
      </c>
      <c r="O1276" s="27" t="s">
        <v>53</v>
      </c>
      <c r="P1276" s="27" t="s">
        <v>289</v>
      </c>
      <c r="Q1276" s="27" t="s">
        <v>2305</v>
      </c>
      <c r="R1276" s="33">
        <v>49505</v>
      </c>
      <c r="S1276" s="34">
        <v>42120</v>
      </c>
      <c r="T1276" s="34">
        <v>42122</v>
      </c>
      <c r="U1276" s="29">
        <v>19.04</v>
      </c>
      <c r="V1276" s="26">
        <v>9</v>
      </c>
      <c r="W1276" s="29">
        <v>29.08</v>
      </c>
      <c r="X1276" s="26">
        <v>86654</v>
      </c>
      <c r="Y1276" s="35">
        <v>3.31</v>
      </c>
      <c r="Z1276" s="1" t="s">
        <v>3012</v>
      </c>
      <c r="AA1276" s="36">
        <v>2.1294</v>
      </c>
      <c r="AB1276" s="54">
        <v>15.121599999999999</v>
      </c>
      <c r="AC1276" s="54">
        <v>1.5509333333333331</v>
      </c>
      <c r="AD1276" s="36">
        <v>7.0605999999999973</v>
      </c>
    </row>
    <row r="1277" spans="1:30" s="37" customFormat="1" ht="15.75" customHeight="1" x14ac:dyDescent="0.2">
      <c r="A1277" s="26">
        <v>2495</v>
      </c>
      <c r="B1277" s="27" t="s">
        <v>2303</v>
      </c>
      <c r="C1277" s="27" t="s">
        <v>48</v>
      </c>
      <c r="D1277" s="28">
        <v>0.06</v>
      </c>
      <c r="E1277" s="29">
        <v>4.28</v>
      </c>
      <c r="F1277" s="29">
        <v>0.94</v>
      </c>
      <c r="G1277" s="30" t="s">
        <v>39</v>
      </c>
      <c r="H1277" s="27" t="s">
        <v>40</v>
      </c>
      <c r="I1277" s="27" t="s">
        <v>49</v>
      </c>
      <c r="J1277" s="27" t="s">
        <v>50</v>
      </c>
      <c r="K1277" s="27" t="s">
        <v>51</v>
      </c>
      <c r="L1277" s="31" t="s">
        <v>481</v>
      </c>
      <c r="M1277" s="32">
        <v>0.56000000000000005</v>
      </c>
      <c r="N1277" s="27" t="s">
        <v>33</v>
      </c>
      <c r="O1277" s="27" t="s">
        <v>60</v>
      </c>
      <c r="P1277" s="27" t="s">
        <v>1060</v>
      </c>
      <c r="Q1277" s="27" t="s">
        <v>1661</v>
      </c>
      <c r="R1277" s="33">
        <v>82901</v>
      </c>
      <c r="S1277" s="34">
        <v>42120</v>
      </c>
      <c r="T1277" s="34">
        <v>42122</v>
      </c>
      <c r="U1277" s="29">
        <v>0.37</v>
      </c>
      <c r="V1277" s="26">
        <v>2</v>
      </c>
      <c r="W1277" s="29">
        <v>8.66</v>
      </c>
      <c r="X1277" s="26">
        <v>86885</v>
      </c>
      <c r="Y1277" s="35">
        <v>3.31</v>
      </c>
      <c r="Z1277" s="1" t="s">
        <v>3013</v>
      </c>
      <c r="AA1277" s="36">
        <v>0.51360000000000006</v>
      </c>
      <c r="AB1277" s="54">
        <v>3.8103999999999996</v>
      </c>
      <c r="AC1277" s="54">
        <v>2.4248000000000003</v>
      </c>
      <c r="AD1277" s="36">
        <v>6.8364000000000003</v>
      </c>
    </row>
    <row r="1278" spans="1:30" s="37" customFormat="1" ht="15.75" customHeight="1" x14ac:dyDescent="0.2">
      <c r="A1278" s="26">
        <v>983</v>
      </c>
      <c r="B1278" s="27" t="s">
        <v>2307</v>
      </c>
      <c r="C1278" s="27" t="s">
        <v>48</v>
      </c>
      <c r="D1278" s="28">
        <v>0.09</v>
      </c>
      <c r="E1278" s="29">
        <v>300.97000000000003</v>
      </c>
      <c r="F1278" s="29">
        <v>7.18</v>
      </c>
      <c r="G1278" s="30" t="s">
        <v>39</v>
      </c>
      <c r="H1278" s="27" t="s">
        <v>94</v>
      </c>
      <c r="I1278" s="27" t="s">
        <v>41</v>
      </c>
      <c r="J1278" s="27" t="s">
        <v>42</v>
      </c>
      <c r="K1278" s="27" t="s">
        <v>73</v>
      </c>
      <c r="L1278" s="31" t="s">
        <v>2209</v>
      </c>
      <c r="M1278" s="32">
        <v>0.48</v>
      </c>
      <c r="N1278" s="27" t="s">
        <v>33</v>
      </c>
      <c r="O1278" s="27" t="s">
        <v>34</v>
      </c>
      <c r="P1278" s="27" t="s">
        <v>45</v>
      </c>
      <c r="Q1278" s="27" t="s">
        <v>2308</v>
      </c>
      <c r="R1278" s="33">
        <v>72143</v>
      </c>
      <c r="S1278" s="34">
        <v>42121</v>
      </c>
      <c r="T1278" s="34">
        <v>42121</v>
      </c>
      <c r="U1278" s="29">
        <v>17.771999999999998</v>
      </c>
      <c r="V1278" s="26">
        <v>10</v>
      </c>
      <c r="W1278" s="29">
        <v>2848.38</v>
      </c>
      <c r="X1278" s="26">
        <v>90201</v>
      </c>
      <c r="Y1278" s="35">
        <v>58.01</v>
      </c>
      <c r="Z1278" s="1" t="s">
        <v>3011</v>
      </c>
      <c r="AA1278" s="36">
        <v>270.87300000000005</v>
      </c>
      <c r="AB1278" s="54">
        <v>1481.1576</v>
      </c>
      <c r="AC1278" s="54">
        <v>136.72224</v>
      </c>
      <c r="AD1278" s="36">
        <v>2552.5550000000003</v>
      </c>
    </row>
    <row r="1279" spans="1:30" s="37" customFormat="1" ht="15.75" customHeight="1" x14ac:dyDescent="0.2">
      <c r="A1279" s="26">
        <v>762</v>
      </c>
      <c r="B1279" s="27" t="s">
        <v>2309</v>
      </c>
      <c r="C1279" s="27" t="s">
        <v>3094</v>
      </c>
      <c r="D1279" s="28">
        <v>0</v>
      </c>
      <c r="E1279" s="29">
        <v>125.99</v>
      </c>
      <c r="F1279" s="29">
        <v>8.99</v>
      </c>
      <c r="G1279" s="30" t="s">
        <v>39</v>
      </c>
      <c r="H1279" s="27" t="s">
        <v>3095</v>
      </c>
      <c r="I1279" s="27" t="s">
        <v>41</v>
      </c>
      <c r="J1279" s="27" t="s">
        <v>135</v>
      </c>
      <c r="K1279" s="27" t="s">
        <v>73</v>
      </c>
      <c r="L1279" s="31" t="s">
        <v>775</v>
      </c>
      <c r="M1279" s="32">
        <v>0.56999999999999995</v>
      </c>
      <c r="N1279" s="27" t="s">
        <v>33</v>
      </c>
      <c r="O1279" s="27" t="s">
        <v>60</v>
      </c>
      <c r="P1279" s="27" t="s">
        <v>67</v>
      </c>
      <c r="Q1279" s="27" t="s">
        <v>2310</v>
      </c>
      <c r="R1279" s="33">
        <v>98661</v>
      </c>
      <c r="S1279" s="34">
        <v>42121</v>
      </c>
      <c r="T1279" s="34">
        <v>42123</v>
      </c>
      <c r="U1279" s="29">
        <v>613.89576</v>
      </c>
      <c r="V1279" s="26">
        <v>12</v>
      </c>
      <c r="W1279" s="29">
        <v>1362.2</v>
      </c>
      <c r="X1279" s="26">
        <v>87525</v>
      </c>
      <c r="Y1279" s="35">
        <v>300.88000000000005</v>
      </c>
      <c r="Z1279" s="1" t="s">
        <v>3013</v>
      </c>
      <c r="AA1279" s="36">
        <v>0</v>
      </c>
      <c r="AB1279" s="54">
        <v>585.74600000000009</v>
      </c>
      <c r="AC1279" s="54">
        <v>64.704499999999996</v>
      </c>
      <c r="AD1279" s="36">
        <v>739.31424000000004</v>
      </c>
    </row>
    <row r="1280" spans="1:30" s="37" customFormat="1" ht="15.75" customHeight="1" x14ac:dyDescent="0.2">
      <c r="A1280" s="26">
        <v>3320</v>
      </c>
      <c r="B1280" s="27" t="s">
        <v>2311</v>
      </c>
      <c r="C1280" s="27" t="s">
        <v>3094</v>
      </c>
      <c r="D1280" s="28">
        <v>0.09</v>
      </c>
      <c r="E1280" s="29">
        <v>40.97</v>
      </c>
      <c r="F1280" s="29">
        <v>8.99</v>
      </c>
      <c r="G1280" s="30" t="s">
        <v>87</v>
      </c>
      <c r="H1280" s="27" t="s">
        <v>3095</v>
      </c>
      <c r="I1280" s="27" t="s">
        <v>49</v>
      </c>
      <c r="J1280" s="27" t="s">
        <v>50</v>
      </c>
      <c r="K1280" s="27" t="s">
        <v>43</v>
      </c>
      <c r="L1280" s="31" t="s">
        <v>1735</v>
      </c>
      <c r="M1280" s="32">
        <v>0.59</v>
      </c>
      <c r="N1280" s="27" t="s">
        <v>33</v>
      </c>
      <c r="O1280" s="27" t="s">
        <v>34</v>
      </c>
      <c r="P1280" s="27" t="s">
        <v>400</v>
      </c>
      <c r="Q1280" s="27" t="s">
        <v>2116</v>
      </c>
      <c r="R1280" s="33">
        <v>38301</v>
      </c>
      <c r="S1280" s="34">
        <v>42121</v>
      </c>
      <c r="T1280" s="34">
        <v>42123</v>
      </c>
      <c r="U1280" s="29">
        <v>66.215999999999994</v>
      </c>
      <c r="V1280" s="26">
        <v>22</v>
      </c>
      <c r="W1280" s="29">
        <v>824.7</v>
      </c>
      <c r="X1280" s="26">
        <v>90103</v>
      </c>
      <c r="Y1280" s="35">
        <v>12.19</v>
      </c>
      <c r="Z1280" s="1" t="s">
        <v>3011</v>
      </c>
      <c r="AA1280" s="36">
        <v>81.120599999999996</v>
      </c>
      <c r="AB1280" s="54">
        <v>338.12700000000007</v>
      </c>
      <c r="AC1280" s="54">
        <v>22.116954545454547</v>
      </c>
      <c r="AD1280" s="36">
        <v>668.37340000000006</v>
      </c>
    </row>
    <row r="1281" spans="1:30" s="37" customFormat="1" ht="15.75" customHeight="1" x14ac:dyDescent="0.2">
      <c r="A1281" s="26">
        <v>2468</v>
      </c>
      <c r="B1281" s="27" t="s">
        <v>1611</v>
      </c>
      <c r="C1281" s="27" t="s">
        <v>26</v>
      </c>
      <c r="D1281" s="28">
        <v>0.09</v>
      </c>
      <c r="E1281" s="29">
        <v>58.1</v>
      </c>
      <c r="F1281" s="29">
        <v>1.49</v>
      </c>
      <c r="G1281" s="30" t="s">
        <v>87</v>
      </c>
      <c r="H1281" s="27" t="s">
        <v>71</v>
      </c>
      <c r="I1281" s="27" t="s">
        <v>49</v>
      </c>
      <c r="J1281" s="27" t="s">
        <v>72</v>
      </c>
      <c r="K1281" s="27" t="s">
        <v>73</v>
      </c>
      <c r="L1281" s="31" t="s">
        <v>622</v>
      </c>
      <c r="M1281" s="32">
        <v>0.38</v>
      </c>
      <c r="N1281" s="27" t="s">
        <v>33</v>
      </c>
      <c r="O1281" s="27" t="s">
        <v>34</v>
      </c>
      <c r="P1281" s="27" t="s">
        <v>97</v>
      </c>
      <c r="Q1281" s="27" t="s">
        <v>1613</v>
      </c>
      <c r="R1281" s="33">
        <v>28144</v>
      </c>
      <c r="S1281" s="34">
        <v>42121</v>
      </c>
      <c r="T1281" s="34">
        <v>42123</v>
      </c>
      <c r="U1281" s="29">
        <v>765.75</v>
      </c>
      <c r="V1281" s="26">
        <v>3</v>
      </c>
      <c r="W1281" s="29">
        <v>169.46</v>
      </c>
      <c r="X1281" s="26">
        <v>88135</v>
      </c>
      <c r="Y1281" s="35">
        <v>125.99</v>
      </c>
      <c r="Z1281" s="1" t="s">
        <v>3011</v>
      </c>
      <c r="AA1281" s="36">
        <v>15.687000000000001</v>
      </c>
      <c r="AB1281" s="54">
        <v>105.0652</v>
      </c>
      <c r="AC1281" s="54">
        <v>21.464933333333335</v>
      </c>
      <c r="AD1281" s="36">
        <v>-613.46699999999998</v>
      </c>
    </row>
    <row r="1282" spans="1:30" s="37" customFormat="1" ht="15.75" customHeight="1" x14ac:dyDescent="0.2">
      <c r="A1282" s="26">
        <v>3320</v>
      </c>
      <c r="B1282" s="27" t="s">
        <v>2311</v>
      </c>
      <c r="C1282" s="27" t="s">
        <v>3094</v>
      </c>
      <c r="D1282" s="28">
        <v>0.08</v>
      </c>
      <c r="E1282" s="29">
        <v>3.28</v>
      </c>
      <c r="F1282" s="29">
        <v>3.97</v>
      </c>
      <c r="G1282" s="30" t="s">
        <v>39</v>
      </c>
      <c r="H1282" s="27" t="s">
        <v>3095</v>
      </c>
      <c r="I1282" s="27" t="s">
        <v>49</v>
      </c>
      <c r="J1282" s="27" t="s">
        <v>50</v>
      </c>
      <c r="K1282" s="27" t="s">
        <v>51</v>
      </c>
      <c r="L1282" s="31" t="s">
        <v>245</v>
      </c>
      <c r="M1282" s="32">
        <v>0.56000000000000005</v>
      </c>
      <c r="N1282" s="27" t="s">
        <v>33</v>
      </c>
      <c r="O1282" s="27" t="s">
        <v>34</v>
      </c>
      <c r="P1282" s="27" t="s">
        <v>400</v>
      </c>
      <c r="Q1282" s="27" t="s">
        <v>2116</v>
      </c>
      <c r="R1282" s="33">
        <v>38301</v>
      </c>
      <c r="S1282" s="34">
        <v>42121</v>
      </c>
      <c r="T1282" s="34">
        <v>42122</v>
      </c>
      <c r="U1282" s="29">
        <v>0.42659999999999998</v>
      </c>
      <c r="V1282" s="26">
        <v>18</v>
      </c>
      <c r="W1282" s="29">
        <v>57.24</v>
      </c>
      <c r="X1282" s="26">
        <v>90103</v>
      </c>
      <c r="Y1282" s="35">
        <v>3.1999999999999997</v>
      </c>
      <c r="Z1282" s="1" t="s">
        <v>3011</v>
      </c>
      <c r="AA1282" s="36">
        <v>4.7231999999999994</v>
      </c>
      <c r="AB1282" s="54">
        <v>25.185599999999997</v>
      </c>
      <c r="AC1282" s="54">
        <v>1.7808000000000002</v>
      </c>
      <c r="AD1282" s="36">
        <v>48.120200000000004</v>
      </c>
    </row>
    <row r="1283" spans="1:30" s="37" customFormat="1" ht="15.75" customHeight="1" x14ac:dyDescent="0.2">
      <c r="A1283" s="26">
        <v>202</v>
      </c>
      <c r="B1283" s="27" t="s">
        <v>548</v>
      </c>
      <c r="C1283" s="27" t="s">
        <v>3094</v>
      </c>
      <c r="D1283" s="28">
        <v>0.09</v>
      </c>
      <c r="E1283" s="29">
        <v>12.28</v>
      </c>
      <c r="F1283" s="29">
        <v>4.8600000000000003</v>
      </c>
      <c r="G1283" s="30" t="s">
        <v>39</v>
      </c>
      <c r="H1283" s="27" t="s">
        <v>94</v>
      </c>
      <c r="I1283" s="27" t="s">
        <v>49</v>
      </c>
      <c r="J1283" s="27" t="s">
        <v>88</v>
      </c>
      <c r="K1283" s="27" t="s">
        <v>73</v>
      </c>
      <c r="L1283" s="31" t="s">
        <v>1860</v>
      </c>
      <c r="M1283" s="32">
        <v>0.38</v>
      </c>
      <c r="N1283" s="27" t="s">
        <v>33</v>
      </c>
      <c r="O1283" s="27" t="s">
        <v>53</v>
      </c>
      <c r="P1283" s="27" t="s">
        <v>207</v>
      </c>
      <c r="Q1283" s="27" t="s">
        <v>550</v>
      </c>
      <c r="R1283" s="33">
        <v>74006</v>
      </c>
      <c r="S1283" s="34">
        <v>42121</v>
      </c>
      <c r="T1283" s="34">
        <v>42122</v>
      </c>
      <c r="U1283" s="29">
        <v>1.73</v>
      </c>
      <c r="V1283" s="26">
        <v>3</v>
      </c>
      <c r="W1283" s="29">
        <v>34.65</v>
      </c>
      <c r="X1283" s="26">
        <v>88971</v>
      </c>
      <c r="Y1283" s="35">
        <v>40.879999999999995</v>
      </c>
      <c r="Z1283" s="1" t="s">
        <v>3012</v>
      </c>
      <c r="AA1283" s="36">
        <v>3.3155999999999999</v>
      </c>
      <c r="AB1283" s="54">
        <v>21.483000000000001</v>
      </c>
      <c r="AC1283" s="54">
        <v>4.3889999999999993</v>
      </c>
      <c r="AD1283" s="36">
        <v>24.744399999999999</v>
      </c>
    </row>
    <row r="1284" spans="1:30" s="37" customFormat="1" ht="15.75" customHeight="1" x14ac:dyDescent="0.2">
      <c r="A1284" s="26">
        <v>3011</v>
      </c>
      <c r="B1284" s="27" t="s">
        <v>2314</v>
      </c>
      <c r="C1284" s="27" t="s">
        <v>26</v>
      </c>
      <c r="D1284" s="28">
        <v>0.03</v>
      </c>
      <c r="E1284" s="29">
        <v>300.64999999999998</v>
      </c>
      <c r="F1284" s="29">
        <v>24.49</v>
      </c>
      <c r="G1284" s="30" t="s">
        <v>39</v>
      </c>
      <c r="H1284" s="27" t="s">
        <v>94</v>
      </c>
      <c r="I1284" s="27" t="s">
        <v>49</v>
      </c>
      <c r="J1284" s="27" t="s">
        <v>95</v>
      </c>
      <c r="K1284" s="27" t="s">
        <v>65</v>
      </c>
      <c r="L1284" s="31" t="s">
        <v>2315</v>
      </c>
      <c r="M1284" s="32">
        <v>0.52</v>
      </c>
      <c r="N1284" s="27" t="s">
        <v>33</v>
      </c>
      <c r="O1284" s="27" t="s">
        <v>111</v>
      </c>
      <c r="P1284" s="27" t="s">
        <v>403</v>
      </c>
      <c r="Q1284" s="27" t="s">
        <v>788</v>
      </c>
      <c r="R1284" s="33">
        <v>2113</v>
      </c>
      <c r="S1284" s="34">
        <v>42122</v>
      </c>
      <c r="T1284" s="34">
        <v>42124</v>
      </c>
      <c r="U1284" s="29">
        <v>1282.4960000000001</v>
      </c>
      <c r="V1284" s="26">
        <v>32</v>
      </c>
      <c r="W1284" s="29">
        <v>9705.4599999999991</v>
      </c>
      <c r="X1284" s="26">
        <v>7623</v>
      </c>
      <c r="Y1284" s="35">
        <v>6.4300000000000006</v>
      </c>
      <c r="Z1284" s="1" t="s">
        <v>3014</v>
      </c>
      <c r="AA1284" s="36">
        <v>288.62399999999997</v>
      </c>
      <c r="AB1284" s="54">
        <v>4658.6207999999997</v>
      </c>
      <c r="AC1284" s="54">
        <v>157.71372499999998</v>
      </c>
      <c r="AD1284" s="36">
        <v>8109.8499999999985</v>
      </c>
    </row>
    <row r="1285" spans="1:30" s="37" customFormat="1" ht="15.75" customHeight="1" x14ac:dyDescent="0.2">
      <c r="A1285" s="26">
        <v>3011</v>
      </c>
      <c r="B1285" s="27" t="s">
        <v>2314</v>
      </c>
      <c r="C1285" s="27" t="s">
        <v>26</v>
      </c>
      <c r="D1285" s="28">
        <v>0.1</v>
      </c>
      <c r="E1285" s="29">
        <v>104.85</v>
      </c>
      <c r="F1285" s="29">
        <v>4.6500000000000004</v>
      </c>
      <c r="G1285" s="30" t="s">
        <v>39</v>
      </c>
      <c r="H1285" s="27" t="s">
        <v>94</v>
      </c>
      <c r="I1285" s="27" t="s">
        <v>49</v>
      </c>
      <c r="J1285" s="27" t="s">
        <v>88</v>
      </c>
      <c r="K1285" s="27" t="s">
        <v>73</v>
      </c>
      <c r="L1285" s="31" t="s">
        <v>2316</v>
      </c>
      <c r="M1285" s="32">
        <v>0.37</v>
      </c>
      <c r="N1285" s="27" t="s">
        <v>33</v>
      </c>
      <c r="O1285" s="27" t="s">
        <v>111</v>
      </c>
      <c r="P1285" s="27" t="s">
        <v>403</v>
      </c>
      <c r="Q1285" s="27" t="s">
        <v>788</v>
      </c>
      <c r="R1285" s="33">
        <v>2113</v>
      </c>
      <c r="S1285" s="34">
        <v>42122</v>
      </c>
      <c r="T1285" s="34">
        <v>42123</v>
      </c>
      <c r="U1285" s="29">
        <v>1184.1199999999999</v>
      </c>
      <c r="V1285" s="26">
        <v>58</v>
      </c>
      <c r="W1285" s="29">
        <v>5582.63</v>
      </c>
      <c r="X1285" s="26">
        <v>7623</v>
      </c>
      <c r="Y1285" s="35">
        <v>300.62</v>
      </c>
      <c r="Z1285" s="1" t="s">
        <v>3014</v>
      </c>
      <c r="AA1285" s="36">
        <v>608.13</v>
      </c>
      <c r="AB1285" s="54">
        <v>3517.0569</v>
      </c>
      <c r="AC1285" s="54">
        <v>35.613329310344831</v>
      </c>
      <c r="AD1285" s="36">
        <v>3785.73</v>
      </c>
    </row>
    <row r="1286" spans="1:30" s="37" customFormat="1" ht="15.75" customHeight="1" x14ac:dyDescent="0.2">
      <c r="A1286" s="26">
        <v>1217</v>
      </c>
      <c r="B1286" s="27" t="s">
        <v>2325</v>
      </c>
      <c r="C1286" s="27" t="s">
        <v>116</v>
      </c>
      <c r="D1286" s="28">
        <v>0.09</v>
      </c>
      <c r="E1286" s="29">
        <v>130.97999999999999</v>
      </c>
      <c r="F1286" s="29">
        <v>30</v>
      </c>
      <c r="G1286" s="30" t="s">
        <v>27</v>
      </c>
      <c r="H1286" s="27" t="s">
        <v>3095</v>
      </c>
      <c r="I1286" s="27" t="s">
        <v>29</v>
      </c>
      <c r="J1286" s="27" t="s">
        <v>109</v>
      </c>
      <c r="K1286" s="27" t="s">
        <v>58</v>
      </c>
      <c r="L1286" s="31" t="s">
        <v>2199</v>
      </c>
      <c r="M1286" s="32">
        <v>0.78</v>
      </c>
      <c r="N1286" s="27" t="s">
        <v>33</v>
      </c>
      <c r="O1286" s="27" t="s">
        <v>111</v>
      </c>
      <c r="P1286" s="27" t="s">
        <v>403</v>
      </c>
      <c r="Q1286" s="27" t="s">
        <v>788</v>
      </c>
      <c r="R1286" s="33">
        <v>2112</v>
      </c>
      <c r="S1286" s="34">
        <v>42122</v>
      </c>
      <c r="T1286" s="34">
        <v>42125</v>
      </c>
      <c r="U1286" s="29">
        <v>-421.76</v>
      </c>
      <c r="V1286" s="26">
        <v>41</v>
      </c>
      <c r="W1286" s="29">
        <v>5258.94</v>
      </c>
      <c r="X1286" s="26">
        <v>54595</v>
      </c>
      <c r="Y1286" s="35">
        <v>49.93</v>
      </c>
      <c r="Z1286" s="1" t="s">
        <v>3014</v>
      </c>
      <c r="AA1286" s="36">
        <v>483.31619999999992</v>
      </c>
      <c r="AB1286" s="54">
        <v>1156.9667999999997</v>
      </c>
      <c r="AC1286" s="54">
        <v>100.04812682926828</v>
      </c>
      <c r="AD1286" s="36">
        <v>5167.3837999999996</v>
      </c>
    </row>
    <row r="1287" spans="1:30" s="37" customFormat="1" ht="15.75" customHeight="1" x14ac:dyDescent="0.2">
      <c r="A1287" s="26">
        <v>3011</v>
      </c>
      <c r="B1287" s="27" t="s">
        <v>2314</v>
      </c>
      <c r="C1287" s="27" t="s">
        <v>26</v>
      </c>
      <c r="D1287" s="28">
        <v>0.06</v>
      </c>
      <c r="E1287" s="29">
        <v>49.99</v>
      </c>
      <c r="F1287" s="29">
        <v>19.989999999999998</v>
      </c>
      <c r="G1287" s="30" t="s">
        <v>39</v>
      </c>
      <c r="H1287" s="27" t="s">
        <v>94</v>
      </c>
      <c r="I1287" s="27" t="s">
        <v>41</v>
      </c>
      <c r="J1287" s="27" t="s">
        <v>42</v>
      </c>
      <c r="K1287" s="27" t="s">
        <v>73</v>
      </c>
      <c r="L1287" s="31" t="s">
        <v>889</v>
      </c>
      <c r="M1287" s="32">
        <v>0.45</v>
      </c>
      <c r="N1287" s="27" t="s">
        <v>33</v>
      </c>
      <c r="O1287" s="27" t="s">
        <v>111</v>
      </c>
      <c r="P1287" s="27" t="s">
        <v>403</v>
      </c>
      <c r="Q1287" s="27" t="s">
        <v>788</v>
      </c>
      <c r="R1287" s="33">
        <v>2113</v>
      </c>
      <c r="S1287" s="34">
        <v>42122</v>
      </c>
      <c r="T1287" s="34">
        <v>42124</v>
      </c>
      <c r="U1287" s="29">
        <v>17.2</v>
      </c>
      <c r="V1287" s="26">
        <v>67</v>
      </c>
      <c r="W1287" s="29">
        <v>3247.54</v>
      </c>
      <c r="X1287" s="26">
        <v>7623</v>
      </c>
      <c r="Y1287" s="35">
        <v>104.75</v>
      </c>
      <c r="Z1287" s="1" t="s">
        <v>3014</v>
      </c>
      <c r="AA1287" s="36">
        <v>200.9598</v>
      </c>
      <c r="AB1287" s="54">
        <v>1786.1470000000002</v>
      </c>
      <c r="AC1287" s="54">
        <v>21.811835820895524</v>
      </c>
      <c r="AD1287" s="36">
        <v>3009.3901999999998</v>
      </c>
    </row>
    <row r="1288" spans="1:30" s="37" customFormat="1" ht="15.75" customHeight="1" x14ac:dyDescent="0.2">
      <c r="A1288" s="26">
        <v>3012</v>
      </c>
      <c r="B1288" s="27" t="s">
        <v>2317</v>
      </c>
      <c r="C1288" s="27" t="s">
        <v>26</v>
      </c>
      <c r="D1288" s="28">
        <v>0.03</v>
      </c>
      <c r="E1288" s="29">
        <v>300.64999999999998</v>
      </c>
      <c r="F1288" s="29">
        <v>24.49</v>
      </c>
      <c r="G1288" s="30" t="s">
        <v>39</v>
      </c>
      <c r="H1288" s="27" t="s">
        <v>94</v>
      </c>
      <c r="I1288" s="27" t="s">
        <v>49</v>
      </c>
      <c r="J1288" s="27" t="s">
        <v>95</v>
      </c>
      <c r="K1288" s="27" t="s">
        <v>65</v>
      </c>
      <c r="L1288" s="31" t="s">
        <v>2315</v>
      </c>
      <c r="M1288" s="32">
        <v>0.52</v>
      </c>
      <c r="N1288" s="27" t="s">
        <v>33</v>
      </c>
      <c r="O1288" s="27" t="s">
        <v>111</v>
      </c>
      <c r="P1288" s="27" t="s">
        <v>112</v>
      </c>
      <c r="Q1288" s="27" t="s">
        <v>2318</v>
      </c>
      <c r="R1288" s="33">
        <v>14609</v>
      </c>
      <c r="S1288" s="34">
        <v>42122</v>
      </c>
      <c r="T1288" s="34">
        <v>42124</v>
      </c>
      <c r="U1288" s="29">
        <v>1474.8704</v>
      </c>
      <c r="V1288" s="26">
        <v>8</v>
      </c>
      <c r="W1288" s="29">
        <v>2426.36</v>
      </c>
      <c r="X1288" s="26">
        <v>86346</v>
      </c>
      <c r="Y1288" s="35">
        <v>300.62</v>
      </c>
      <c r="Z1288" s="1" t="s">
        <v>3014</v>
      </c>
      <c r="AA1288" s="36">
        <v>72.155999999999992</v>
      </c>
      <c r="AB1288" s="54">
        <v>1164.6528000000001</v>
      </c>
      <c r="AC1288" s="54">
        <v>157.71340000000001</v>
      </c>
      <c r="AD1288" s="36">
        <v>854.84360000000015</v>
      </c>
    </row>
    <row r="1289" spans="1:30" s="37" customFormat="1" ht="15.75" customHeight="1" x14ac:dyDescent="0.2">
      <c r="A1289" s="26">
        <v>3012</v>
      </c>
      <c r="B1289" s="27" t="s">
        <v>2317</v>
      </c>
      <c r="C1289" s="27" t="s">
        <v>26</v>
      </c>
      <c r="D1289" s="28">
        <v>0.1</v>
      </c>
      <c r="E1289" s="29">
        <v>104.85</v>
      </c>
      <c r="F1289" s="29">
        <v>4.6500000000000004</v>
      </c>
      <c r="G1289" s="30" t="s">
        <v>39</v>
      </c>
      <c r="H1289" s="27" t="s">
        <v>94</v>
      </c>
      <c r="I1289" s="27" t="s">
        <v>49</v>
      </c>
      <c r="J1289" s="27" t="s">
        <v>88</v>
      </c>
      <c r="K1289" s="27" t="s">
        <v>73</v>
      </c>
      <c r="L1289" s="31" t="s">
        <v>2316</v>
      </c>
      <c r="M1289" s="32">
        <v>0.37</v>
      </c>
      <c r="N1289" s="27" t="s">
        <v>33</v>
      </c>
      <c r="O1289" s="27" t="s">
        <v>111</v>
      </c>
      <c r="P1289" s="27" t="s">
        <v>112</v>
      </c>
      <c r="Q1289" s="27" t="s">
        <v>2318</v>
      </c>
      <c r="R1289" s="33">
        <v>14609</v>
      </c>
      <c r="S1289" s="34">
        <v>42122</v>
      </c>
      <c r="T1289" s="34">
        <v>42123</v>
      </c>
      <c r="U1289" s="29">
        <v>929.79570000000001</v>
      </c>
      <c r="V1289" s="26">
        <v>14</v>
      </c>
      <c r="W1289" s="29">
        <v>1347.53</v>
      </c>
      <c r="X1289" s="26">
        <v>86346</v>
      </c>
      <c r="Y1289" s="35">
        <v>49.93</v>
      </c>
      <c r="Z1289" s="1" t="s">
        <v>3014</v>
      </c>
      <c r="AA1289" s="36">
        <v>146.79</v>
      </c>
      <c r="AB1289" s="54">
        <v>848.94389999999999</v>
      </c>
      <c r="AC1289" s="54">
        <v>35.613292857142859</v>
      </c>
      <c r="AD1289" s="36">
        <v>266.29430000000002</v>
      </c>
    </row>
    <row r="1290" spans="1:30" s="37" customFormat="1" ht="15.75" customHeight="1" x14ac:dyDescent="0.2">
      <c r="A1290" s="26">
        <v>1227</v>
      </c>
      <c r="B1290" s="27" t="s">
        <v>2328</v>
      </c>
      <c r="C1290" s="27" t="s">
        <v>116</v>
      </c>
      <c r="D1290" s="28">
        <v>0.09</v>
      </c>
      <c r="E1290" s="29">
        <v>130.97999999999999</v>
      </c>
      <c r="F1290" s="29">
        <v>30</v>
      </c>
      <c r="G1290" s="30" t="s">
        <v>27</v>
      </c>
      <c r="H1290" s="27" t="s">
        <v>3095</v>
      </c>
      <c r="I1290" s="27" t="s">
        <v>29</v>
      </c>
      <c r="J1290" s="27" t="s">
        <v>109</v>
      </c>
      <c r="K1290" s="27" t="s">
        <v>58</v>
      </c>
      <c r="L1290" s="31" t="s">
        <v>2199</v>
      </c>
      <c r="M1290" s="32">
        <v>0.78</v>
      </c>
      <c r="N1290" s="27" t="s">
        <v>33</v>
      </c>
      <c r="O1290" s="27" t="s">
        <v>111</v>
      </c>
      <c r="P1290" s="27" t="s">
        <v>633</v>
      </c>
      <c r="Q1290" s="27" t="s">
        <v>634</v>
      </c>
      <c r="R1290" s="33">
        <v>5403</v>
      </c>
      <c r="S1290" s="34">
        <v>42122</v>
      </c>
      <c r="T1290" s="34">
        <v>42125</v>
      </c>
      <c r="U1290" s="29">
        <v>-421.76</v>
      </c>
      <c r="V1290" s="26">
        <v>10</v>
      </c>
      <c r="W1290" s="29">
        <v>1282.67</v>
      </c>
      <c r="X1290" s="26">
        <v>90800</v>
      </c>
      <c r="Y1290" s="35">
        <v>104.75</v>
      </c>
      <c r="Z1290" s="1" t="s">
        <v>3014</v>
      </c>
      <c r="AA1290" s="36">
        <v>117.88199999999998</v>
      </c>
      <c r="AB1290" s="54">
        <v>282.18739999999997</v>
      </c>
      <c r="AC1290" s="54">
        <v>100.04826</v>
      </c>
      <c r="AD1290" s="36">
        <v>1556.5480000000002</v>
      </c>
    </row>
    <row r="1291" spans="1:30" s="37" customFormat="1" ht="15.75" customHeight="1" x14ac:dyDescent="0.2">
      <c r="A1291" s="26">
        <v>3012</v>
      </c>
      <c r="B1291" s="27" t="s">
        <v>2317</v>
      </c>
      <c r="C1291" s="27" t="s">
        <v>26</v>
      </c>
      <c r="D1291" s="28">
        <v>0.06</v>
      </c>
      <c r="E1291" s="29">
        <v>49.99</v>
      </c>
      <c r="F1291" s="29">
        <v>19.989999999999998</v>
      </c>
      <c r="G1291" s="30" t="s">
        <v>39</v>
      </c>
      <c r="H1291" s="27" t="s">
        <v>94</v>
      </c>
      <c r="I1291" s="27" t="s">
        <v>41</v>
      </c>
      <c r="J1291" s="27" t="s">
        <v>42</v>
      </c>
      <c r="K1291" s="27" t="s">
        <v>73</v>
      </c>
      <c r="L1291" s="31" t="s">
        <v>889</v>
      </c>
      <c r="M1291" s="32">
        <v>0.45</v>
      </c>
      <c r="N1291" s="27" t="s">
        <v>33</v>
      </c>
      <c r="O1291" s="27" t="s">
        <v>111</v>
      </c>
      <c r="P1291" s="27" t="s">
        <v>112</v>
      </c>
      <c r="Q1291" s="27" t="s">
        <v>2318</v>
      </c>
      <c r="R1291" s="33">
        <v>14609</v>
      </c>
      <c r="S1291" s="34">
        <v>42122</v>
      </c>
      <c r="T1291" s="34">
        <v>42124</v>
      </c>
      <c r="U1291" s="29">
        <v>19.78</v>
      </c>
      <c r="V1291" s="26">
        <v>17</v>
      </c>
      <c r="W1291" s="29">
        <v>824</v>
      </c>
      <c r="X1291" s="26">
        <v>86346</v>
      </c>
      <c r="Y1291" s="35">
        <v>48.809999999999995</v>
      </c>
      <c r="Z1291" s="1" t="s">
        <v>3014</v>
      </c>
      <c r="AA1291" s="36">
        <v>50.989800000000002</v>
      </c>
      <c r="AB1291" s="54">
        <v>453.20000000000005</v>
      </c>
      <c r="AC1291" s="54">
        <v>21.811764705882354</v>
      </c>
      <c r="AD1291" s="36">
        <v>733.24019999999996</v>
      </c>
    </row>
    <row r="1292" spans="1:30" s="37" customFormat="1" ht="15.75" customHeight="1" x14ac:dyDescent="0.2">
      <c r="A1292" s="26">
        <v>2912</v>
      </c>
      <c r="B1292" s="27" t="s">
        <v>2320</v>
      </c>
      <c r="C1292" s="27" t="s">
        <v>38</v>
      </c>
      <c r="D1292" s="28">
        <v>0.06</v>
      </c>
      <c r="E1292" s="29">
        <v>55.48</v>
      </c>
      <c r="F1292" s="29">
        <v>14.3</v>
      </c>
      <c r="G1292" s="30" t="s">
        <v>39</v>
      </c>
      <c r="H1292" s="27" t="s">
        <v>71</v>
      </c>
      <c r="I1292" s="27" t="s">
        <v>49</v>
      </c>
      <c r="J1292" s="27" t="s">
        <v>88</v>
      </c>
      <c r="K1292" s="27" t="s">
        <v>73</v>
      </c>
      <c r="L1292" s="31" t="s">
        <v>847</v>
      </c>
      <c r="M1292" s="32">
        <v>0.37</v>
      </c>
      <c r="N1292" s="27" t="s">
        <v>33</v>
      </c>
      <c r="O1292" s="27" t="s">
        <v>53</v>
      </c>
      <c r="P1292" s="27" t="s">
        <v>565</v>
      </c>
      <c r="Q1292" s="27" t="s">
        <v>2321</v>
      </c>
      <c r="R1292" s="33">
        <v>58201</v>
      </c>
      <c r="S1292" s="34">
        <v>42122</v>
      </c>
      <c r="T1292" s="34">
        <v>42124</v>
      </c>
      <c r="U1292" s="29">
        <v>443.02140000000003</v>
      </c>
      <c r="V1292" s="26">
        <v>12</v>
      </c>
      <c r="W1292" s="29">
        <v>642.05999999999995</v>
      </c>
      <c r="X1292" s="26">
        <v>87396</v>
      </c>
      <c r="Y1292" s="35">
        <v>5.9</v>
      </c>
      <c r="Z1292" s="1" t="s">
        <v>3012</v>
      </c>
      <c r="AA1292" s="36">
        <v>39.945599999999999</v>
      </c>
      <c r="AB1292" s="54">
        <v>404.49779999999998</v>
      </c>
      <c r="AC1292" s="54">
        <v>19.796849999999999</v>
      </c>
      <c r="AD1292" s="36">
        <v>144.79299999999989</v>
      </c>
    </row>
    <row r="1293" spans="1:30" s="37" customFormat="1" ht="15.75" customHeight="1" x14ac:dyDescent="0.2">
      <c r="A1293" s="26">
        <v>2254</v>
      </c>
      <c r="B1293" s="27" t="s">
        <v>825</v>
      </c>
      <c r="C1293" s="27" t="s">
        <v>38</v>
      </c>
      <c r="D1293" s="28">
        <v>0.1</v>
      </c>
      <c r="E1293" s="29">
        <v>48.91</v>
      </c>
      <c r="F1293" s="29">
        <v>5.97</v>
      </c>
      <c r="G1293" s="30" t="s">
        <v>39</v>
      </c>
      <c r="H1293" s="27" t="s">
        <v>94</v>
      </c>
      <c r="I1293" s="27" t="s">
        <v>49</v>
      </c>
      <c r="J1293" s="27" t="s">
        <v>88</v>
      </c>
      <c r="K1293" s="27" t="s">
        <v>73</v>
      </c>
      <c r="L1293" s="31" t="s">
        <v>2319</v>
      </c>
      <c r="M1293" s="32">
        <v>0.38</v>
      </c>
      <c r="N1293" s="27" t="s">
        <v>33</v>
      </c>
      <c r="O1293" s="27" t="s">
        <v>34</v>
      </c>
      <c r="P1293" s="27" t="s">
        <v>388</v>
      </c>
      <c r="Q1293" s="27" t="s">
        <v>827</v>
      </c>
      <c r="R1293" s="33">
        <v>42003</v>
      </c>
      <c r="S1293" s="34">
        <v>42122</v>
      </c>
      <c r="T1293" s="34">
        <v>42124</v>
      </c>
      <c r="U1293" s="29">
        <v>156.74340000000001</v>
      </c>
      <c r="V1293" s="26">
        <v>14</v>
      </c>
      <c r="W1293" s="29">
        <v>618.96</v>
      </c>
      <c r="X1293" s="26">
        <v>89279</v>
      </c>
      <c r="Y1293" s="35">
        <v>4.09</v>
      </c>
      <c r="Z1293" s="1" t="s">
        <v>3011</v>
      </c>
      <c r="AA1293" s="36">
        <v>68.474000000000004</v>
      </c>
      <c r="AB1293" s="54">
        <v>383.7552</v>
      </c>
      <c r="AC1293" s="54">
        <v>16.800342857142859</v>
      </c>
      <c r="AD1293" s="36">
        <v>387.77260000000001</v>
      </c>
    </row>
    <row r="1294" spans="1:30" s="37" customFormat="1" ht="15.75" customHeight="1" x14ac:dyDescent="0.2">
      <c r="A1294" s="26">
        <v>3359</v>
      </c>
      <c r="B1294" s="27" t="s">
        <v>2322</v>
      </c>
      <c r="C1294" s="27" t="s">
        <v>38</v>
      </c>
      <c r="D1294" s="28">
        <v>0.09</v>
      </c>
      <c r="E1294" s="29">
        <v>28.53</v>
      </c>
      <c r="F1294" s="29">
        <v>1.49</v>
      </c>
      <c r="G1294" s="30" t="s">
        <v>39</v>
      </c>
      <c r="H1294" s="27" t="s">
        <v>71</v>
      </c>
      <c r="I1294" s="27" t="s">
        <v>49</v>
      </c>
      <c r="J1294" s="27" t="s">
        <v>72</v>
      </c>
      <c r="K1294" s="27" t="s">
        <v>73</v>
      </c>
      <c r="L1294" s="31" t="s">
        <v>1832</v>
      </c>
      <c r="M1294" s="32">
        <v>0.38</v>
      </c>
      <c r="N1294" s="27" t="s">
        <v>33</v>
      </c>
      <c r="O1294" s="27" t="s">
        <v>53</v>
      </c>
      <c r="P1294" s="27" t="s">
        <v>357</v>
      </c>
      <c r="Q1294" s="27" t="s">
        <v>2323</v>
      </c>
      <c r="R1294" s="33">
        <v>53213</v>
      </c>
      <c r="S1294" s="34">
        <v>42122</v>
      </c>
      <c r="T1294" s="34">
        <v>42124</v>
      </c>
      <c r="U1294" s="29">
        <v>107.45462000000001</v>
      </c>
      <c r="V1294" s="26">
        <v>6</v>
      </c>
      <c r="W1294" s="29">
        <v>157.33000000000001</v>
      </c>
      <c r="X1294" s="26">
        <v>91437</v>
      </c>
      <c r="Y1294" s="35">
        <v>55.419999999999995</v>
      </c>
      <c r="Z1294" s="1" t="s">
        <v>3012</v>
      </c>
      <c r="AA1294" s="36">
        <v>15.406199999999998</v>
      </c>
      <c r="AB1294" s="54">
        <v>97.544600000000003</v>
      </c>
      <c r="AC1294" s="54">
        <v>9.9642333333333344</v>
      </c>
      <c r="AD1294" s="36">
        <v>32.979180000000014</v>
      </c>
    </row>
    <row r="1295" spans="1:30" s="37" customFormat="1" ht="15.75" customHeight="1" x14ac:dyDescent="0.2">
      <c r="A1295" s="26">
        <v>2254</v>
      </c>
      <c r="B1295" s="27" t="s">
        <v>825</v>
      </c>
      <c r="C1295" s="27" t="s">
        <v>38</v>
      </c>
      <c r="D1295" s="28">
        <v>0.08</v>
      </c>
      <c r="E1295" s="29">
        <v>5.98</v>
      </c>
      <c r="F1295" s="29">
        <v>5.46</v>
      </c>
      <c r="G1295" s="30" t="s">
        <v>39</v>
      </c>
      <c r="H1295" s="27" t="s">
        <v>94</v>
      </c>
      <c r="I1295" s="27" t="s">
        <v>49</v>
      </c>
      <c r="J1295" s="27" t="s">
        <v>88</v>
      </c>
      <c r="K1295" s="27" t="s">
        <v>73</v>
      </c>
      <c r="L1295" s="31" t="s">
        <v>1156</v>
      </c>
      <c r="M1295" s="32">
        <v>0.36</v>
      </c>
      <c r="N1295" s="27" t="s">
        <v>33</v>
      </c>
      <c r="O1295" s="27" t="s">
        <v>34</v>
      </c>
      <c r="P1295" s="27" t="s">
        <v>388</v>
      </c>
      <c r="Q1295" s="27" t="s">
        <v>827</v>
      </c>
      <c r="R1295" s="33">
        <v>42003</v>
      </c>
      <c r="S1295" s="34">
        <v>42122</v>
      </c>
      <c r="T1295" s="34">
        <v>42122</v>
      </c>
      <c r="U1295" s="29">
        <v>110.11799999999999</v>
      </c>
      <c r="V1295" s="26">
        <v>13</v>
      </c>
      <c r="W1295" s="29">
        <v>77.540000000000006</v>
      </c>
      <c r="X1295" s="26">
        <v>89279</v>
      </c>
      <c r="Y1295" s="35">
        <v>28.44</v>
      </c>
      <c r="Z1295" s="1" t="s">
        <v>3011</v>
      </c>
      <c r="AA1295" s="36">
        <v>6.2192000000000007</v>
      </c>
      <c r="AB1295" s="54">
        <v>49.625600000000006</v>
      </c>
      <c r="AC1295" s="54">
        <v>2.1472615384615388</v>
      </c>
      <c r="AD1295" s="36">
        <v>-44.257199999999983</v>
      </c>
    </row>
    <row r="1296" spans="1:30" s="37" customFormat="1" ht="15.75" customHeight="1" x14ac:dyDescent="0.2">
      <c r="A1296" s="26">
        <v>1226</v>
      </c>
      <c r="B1296" s="27" t="s">
        <v>2326</v>
      </c>
      <c r="C1296" s="27" t="s">
        <v>116</v>
      </c>
      <c r="D1296" s="28">
        <v>0.02</v>
      </c>
      <c r="E1296" s="29">
        <v>8.34</v>
      </c>
      <c r="F1296" s="29">
        <v>2.64</v>
      </c>
      <c r="G1296" s="30" t="s">
        <v>39</v>
      </c>
      <c r="H1296" s="27" t="s">
        <v>3095</v>
      </c>
      <c r="I1296" s="27" t="s">
        <v>49</v>
      </c>
      <c r="J1296" s="27" t="s">
        <v>568</v>
      </c>
      <c r="K1296" s="27" t="s">
        <v>43</v>
      </c>
      <c r="L1296" s="31" t="s">
        <v>883</v>
      </c>
      <c r="M1296" s="32">
        <v>0.59</v>
      </c>
      <c r="N1296" s="27" t="s">
        <v>33</v>
      </c>
      <c r="O1296" s="27" t="s">
        <v>111</v>
      </c>
      <c r="P1296" s="27" t="s">
        <v>584</v>
      </c>
      <c r="Q1296" s="27" t="s">
        <v>2327</v>
      </c>
      <c r="R1296" s="33">
        <v>2861</v>
      </c>
      <c r="S1296" s="34">
        <v>42122</v>
      </c>
      <c r="T1296" s="34">
        <v>42124</v>
      </c>
      <c r="U1296" s="29">
        <v>6.79</v>
      </c>
      <c r="V1296" s="26">
        <v>8</v>
      </c>
      <c r="W1296" s="29">
        <v>66.739999999999995</v>
      </c>
      <c r="X1296" s="26">
        <v>90800</v>
      </c>
      <c r="Y1296" s="35">
        <v>3.28</v>
      </c>
      <c r="Z1296" s="1" t="s">
        <v>3014</v>
      </c>
      <c r="AA1296" s="36">
        <v>1.3344</v>
      </c>
      <c r="AB1296" s="54">
        <v>27.363399999999999</v>
      </c>
      <c r="AC1296" s="54">
        <v>4.9220749999999995</v>
      </c>
      <c r="AD1296" s="36">
        <v>55.975599999999993</v>
      </c>
    </row>
    <row r="1297" spans="1:30" s="37" customFormat="1" ht="15.75" customHeight="1" x14ac:dyDescent="0.2">
      <c r="A1297" s="26">
        <v>2912</v>
      </c>
      <c r="B1297" s="27" t="s">
        <v>2320</v>
      </c>
      <c r="C1297" s="27" t="s">
        <v>38</v>
      </c>
      <c r="D1297" s="28">
        <v>0.04</v>
      </c>
      <c r="E1297" s="29">
        <v>4.13</v>
      </c>
      <c r="F1297" s="29">
        <v>0.99</v>
      </c>
      <c r="G1297" s="30" t="s">
        <v>87</v>
      </c>
      <c r="H1297" s="27" t="s">
        <v>71</v>
      </c>
      <c r="I1297" s="27" t="s">
        <v>49</v>
      </c>
      <c r="J1297" s="27" t="s">
        <v>152</v>
      </c>
      <c r="K1297" s="27" t="s">
        <v>73</v>
      </c>
      <c r="L1297" s="31" t="s">
        <v>326</v>
      </c>
      <c r="M1297" s="32">
        <v>0.39</v>
      </c>
      <c r="N1297" s="27" t="s">
        <v>33</v>
      </c>
      <c r="O1297" s="27" t="s">
        <v>53</v>
      </c>
      <c r="P1297" s="27" t="s">
        <v>565</v>
      </c>
      <c r="Q1297" s="27" t="s">
        <v>2321</v>
      </c>
      <c r="R1297" s="33">
        <v>58201</v>
      </c>
      <c r="S1297" s="34">
        <v>42122</v>
      </c>
      <c r="T1297" s="34">
        <v>42124</v>
      </c>
      <c r="U1297" s="29">
        <v>22.307700000000001</v>
      </c>
      <c r="V1297" s="26">
        <v>7</v>
      </c>
      <c r="W1297" s="29">
        <v>32.33</v>
      </c>
      <c r="X1297" s="26">
        <v>87396</v>
      </c>
      <c r="Y1297" s="35">
        <v>130.88999999999999</v>
      </c>
      <c r="Z1297" s="1" t="s">
        <v>3012</v>
      </c>
      <c r="AA1297" s="36">
        <v>1.1563999999999999</v>
      </c>
      <c r="AB1297" s="54">
        <v>19.721299999999999</v>
      </c>
      <c r="AC1297" s="54">
        <v>1.8012428571428571</v>
      </c>
      <c r="AD1297" s="36">
        <v>7.8758999999999979</v>
      </c>
    </row>
    <row r="1298" spans="1:30" s="37" customFormat="1" ht="15.75" customHeight="1" x14ac:dyDescent="0.2">
      <c r="A1298" s="26">
        <v>234</v>
      </c>
      <c r="B1298" s="27" t="s">
        <v>985</v>
      </c>
      <c r="C1298" s="27" t="s">
        <v>48</v>
      </c>
      <c r="D1298" s="28">
        <v>0.06</v>
      </c>
      <c r="E1298" s="29">
        <v>3.34</v>
      </c>
      <c r="F1298" s="29">
        <v>7.49</v>
      </c>
      <c r="G1298" s="30" t="s">
        <v>87</v>
      </c>
      <c r="H1298" s="27" t="s">
        <v>3095</v>
      </c>
      <c r="I1298" s="27" t="s">
        <v>49</v>
      </c>
      <c r="J1298" s="27" t="s">
        <v>50</v>
      </c>
      <c r="K1298" s="27" t="s">
        <v>51</v>
      </c>
      <c r="L1298" s="31" t="s">
        <v>2324</v>
      </c>
      <c r="M1298" s="32">
        <v>0.54</v>
      </c>
      <c r="N1298" s="27" t="s">
        <v>33</v>
      </c>
      <c r="O1298" s="27" t="s">
        <v>53</v>
      </c>
      <c r="P1298" s="27" t="s">
        <v>213</v>
      </c>
      <c r="Q1298" s="27" t="s">
        <v>737</v>
      </c>
      <c r="R1298" s="33">
        <v>50208</v>
      </c>
      <c r="S1298" s="34">
        <v>42122</v>
      </c>
      <c r="T1298" s="34">
        <v>42124</v>
      </c>
      <c r="U1298" s="29">
        <v>-175.86</v>
      </c>
      <c r="V1298" s="26">
        <v>8</v>
      </c>
      <c r="W1298" s="29">
        <v>27.45</v>
      </c>
      <c r="X1298" s="26">
        <v>90239</v>
      </c>
      <c r="Y1298" s="35">
        <v>8.32</v>
      </c>
      <c r="Z1298" s="1" t="s">
        <v>3012</v>
      </c>
      <c r="AA1298" s="36">
        <v>1.6032</v>
      </c>
      <c r="AB1298" s="54">
        <v>12.626999999999999</v>
      </c>
      <c r="AC1298" s="54">
        <v>1.852875</v>
      </c>
      <c r="AD1298" s="36">
        <v>194.21680000000001</v>
      </c>
    </row>
    <row r="1299" spans="1:30" s="37" customFormat="1" ht="15.75" customHeight="1" x14ac:dyDescent="0.2">
      <c r="A1299" s="26">
        <v>1439</v>
      </c>
      <c r="B1299" s="27" t="s">
        <v>2312</v>
      </c>
      <c r="C1299" s="27" t="s">
        <v>26</v>
      </c>
      <c r="D1299" s="28">
        <v>0.05</v>
      </c>
      <c r="E1299" s="29">
        <v>6.48</v>
      </c>
      <c r="F1299" s="29">
        <v>6.22</v>
      </c>
      <c r="G1299" s="30" t="s">
        <v>39</v>
      </c>
      <c r="H1299" s="27" t="s">
        <v>94</v>
      </c>
      <c r="I1299" s="27" t="s">
        <v>49</v>
      </c>
      <c r="J1299" s="27" t="s">
        <v>88</v>
      </c>
      <c r="K1299" s="27" t="s">
        <v>73</v>
      </c>
      <c r="L1299" s="31" t="s">
        <v>1078</v>
      </c>
      <c r="M1299" s="32">
        <v>0.37</v>
      </c>
      <c r="N1299" s="27" t="s">
        <v>33</v>
      </c>
      <c r="O1299" s="27" t="s">
        <v>111</v>
      </c>
      <c r="P1299" s="27" t="s">
        <v>317</v>
      </c>
      <c r="Q1299" s="27" t="s">
        <v>2313</v>
      </c>
      <c r="R1299" s="33">
        <v>44117</v>
      </c>
      <c r="S1299" s="34">
        <v>42122</v>
      </c>
      <c r="T1299" s="34">
        <v>42123</v>
      </c>
      <c r="U1299" s="29">
        <v>-29.07</v>
      </c>
      <c r="V1299" s="26">
        <v>3</v>
      </c>
      <c r="W1299" s="29">
        <v>21.46</v>
      </c>
      <c r="X1299" s="26">
        <v>90121</v>
      </c>
      <c r="Y1299" s="35">
        <v>130.88999999999999</v>
      </c>
      <c r="Z1299" s="1" t="s">
        <v>3014</v>
      </c>
      <c r="AA1299" s="36">
        <v>0.9720000000000002</v>
      </c>
      <c r="AB1299" s="54">
        <v>13.5198</v>
      </c>
      <c r="AC1299" s="54">
        <v>2.6467333333333332</v>
      </c>
      <c r="AD1299" s="36">
        <v>43.338000000000001</v>
      </c>
    </row>
    <row r="1300" spans="1:30" s="37" customFormat="1" ht="15.75" customHeight="1" x14ac:dyDescent="0.2">
      <c r="A1300" s="26">
        <v>2115</v>
      </c>
      <c r="B1300" s="27" t="s">
        <v>2337</v>
      </c>
      <c r="C1300" s="27" t="s">
        <v>116</v>
      </c>
      <c r="D1300" s="28">
        <v>0.02</v>
      </c>
      <c r="E1300" s="29">
        <v>95.95</v>
      </c>
      <c r="F1300" s="29">
        <v>74.349999999999994</v>
      </c>
      <c r="G1300" s="30" t="s">
        <v>27</v>
      </c>
      <c r="H1300" s="27" t="s">
        <v>94</v>
      </c>
      <c r="I1300" s="27" t="s">
        <v>29</v>
      </c>
      <c r="J1300" s="27" t="s">
        <v>109</v>
      </c>
      <c r="K1300" s="27" t="s">
        <v>58</v>
      </c>
      <c r="L1300" s="31" t="s">
        <v>2338</v>
      </c>
      <c r="M1300" s="32">
        <v>0.56999999999999995</v>
      </c>
      <c r="N1300" s="27" t="s">
        <v>33</v>
      </c>
      <c r="O1300" s="27" t="s">
        <v>34</v>
      </c>
      <c r="P1300" s="27" t="s">
        <v>242</v>
      </c>
      <c r="Q1300" s="27" t="s">
        <v>1635</v>
      </c>
      <c r="R1300" s="33">
        <v>22124</v>
      </c>
      <c r="S1300" s="34">
        <v>42123</v>
      </c>
      <c r="T1300" s="34">
        <v>42125</v>
      </c>
      <c r="U1300" s="29">
        <v>636.52200000000005</v>
      </c>
      <c r="V1300" s="26">
        <v>14</v>
      </c>
      <c r="W1300" s="29">
        <v>1377.46</v>
      </c>
      <c r="X1300" s="26">
        <v>88406</v>
      </c>
      <c r="Y1300" s="35">
        <v>5.94</v>
      </c>
      <c r="Z1300" s="1" t="s">
        <v>3011</v>
      </c>
      <c r="AA1300" s="36">
        <v>26.866</v>
      </c>
      <c r="AB1300" s="54">
        <v>592.30780000000004</v>
      </c>
      <c r="AC1300" s="54">
        <v>56.082299999999996</v>
      </c>
      <c r="AD1300" s="36">
        <v>639.72199999999998</v>
      </c>
    </row>
    <row r="1301" spans="1:30" s="37" customFormat="1" ht="15.75" customHeight="1" x14ac:dyDescent="0.2">
      <c r="A1301" s="26">
        <v>3393</v>
      </c>
      <c r="B1301" s="27" t="s">
        <v>1171</v>
      </c>
      <c r="C1301" s="27" t="s">
        <v>116</v>
      </c>
      <c r="D1301" s="28">
        <v>0.08</v>
      </c>
      <c r="E1301" s="29">
        <v>125.99</v>
      </c>
      <c r="F1301" s="29">
        <v>7.69</v>
      </c>
      <c r="G1301" s="30" t="s">
        <v>39</v>
      </c>
      <c r="H1301" s="27" t="s">
        <v>40</v>
      </c>
      <c r="I1301" s="27" t="s">
        <v>41</v>
      </c>
      <c r="J1301" s="27" t="s">
        <v>135</v>
      </c>
      <c r="K1301" s="27" t="s">
        <v>73</v>
      </c>
      <c r="L1301" s="31" t="s">
        <v>645</v>
      </c>
      <c r="M1301" s="32">
        <v>0.59</v>
      </c>
      <c r="N1301" s="27" t="s">
        <v>33</v>
      </c>
      <c r="O1301" s="27" t="s">
        <v>60</v>
      </c>
      <c r="P1301" s="27" t="s">
        <v>67</v>
      </c>
      <c r="Q1301" s="27" t="s">
        <v>1172</v>
      </c>
      <c r="R1301" s="33">
        <v>99163</v>
      </c>
      <c r="S1301" s="34">
        <v>42123</v>
      </c>
      <c r="T1301" s="34">
        <v>42124</v>
      </c>
      <c r="U1301" s="29">
        <v>374.625</v>
      </c>
      <c r="V1301" s="26">
        <v>7</v>
      </c>
      <c r="W1301" s="29">
        <v>710.36</v>
      </c>
      <c r="X1301" s="26">
        <v>87908</v>
      </c>
      <c r="Y1301" s="35">
        <v>20.979999999999997</v>
      </c>
      <c r="Z1301" s="1" t="s">
        <v>3013</v>
      </c>
      <c r="AA1301" s="36">
        <v>70.554400000000001</v>
      </c>
      <c r="AB1301" s="54">
        <v>291.24760000000003</v>
      </c>
      <c r="AC1301" s="54">
        <v>59.873199999999997</v>
      </c>
      <c r="AD1301" s="36">
        <v>257.49060000000003</v>
      </c>
    </row>
    <row r="1302" spans="1:30" s="37" customFormat="1" ht="15.75" customHeight="1" x14ac:dyDescent="0.2">
      <c r="A1302" s="26">
        <v>3381</v>
      </c>
      <c r="B1302" s="27" t="s">
        <v>1811</v>
      </c>
      <c r="C1302" s="27" t="s">
        <v>116</v>
      </c>
      <c r="D1302" s="28">
        <v>0.02</v>
      </c>
      <c r="E1302" s="29">
        <v>28.53</v>
      </c>
      <c r="F1302" s="29">
        <v>1.49</v>
      </c>
      <c r="G1302" s="30" t="s">
        <v>39</v>
      </c>
      <c r="H1302" s="27" t="s">
        <v>71</v>
      </c>
      <c r="I1302" s="27" t="s">
        <v>49</v>
      </c>
      <c r="J1302" s="27" t="s">
        <v>72</v>
      </c>
      <c r="K1302" s="27" t="s">
        <v>73</v>
      </c>
      <c r="L1302" s="31" t="s">
        <v>1832</v>
      </c>
      <c r="M1302" s="32">
        <v>0.38</v>
      </c>
      <c r="N1302" s="27" t="s">
        <v>33</v>
      </c>
      <c r="O1302" s="27" t="s">
        <v>34</v>
      </c>
      <c r="P1302" s="27" t="s">
        <v>75</v>
      </c>
      <c r="Q1302" s="27" t="s">
        <v>1813</v>
      </c>
      <c r="R1302" s="33">
        <v>31204</v>
      </c>
      <c r="S1302" s="34">
        <v>42123</v>
      </c>
      <c r="T1302" s="34">
        <v>42123</v>
      </c>
      <c r="U1302" s="29">
        <v>1.992</v>
      </c>
      <c r="V1302" s="26">
        <v>18</v>
      </c>
      <c r="W1302" s="29">
        <v>513.33000000000004</v>
      </c>
      <c r="X1302" s="26">
        <v>88840</v>
      </c>
      <c r="Y1302" s="35">
        <v>34.72</v>
      </c>
      <c r="Z1302" s="1" t="s">
        <v>3011</v>
      </c>
      <c r="AA1302" s="36">
        <v>10.270799999999999</v>
      </c>
      <c r="AB1302" s="54">
        <v>318.26460000000003</v>
      </c>
      <c r="AC1302" s="54">
        <v>10.836966666666667</v>
      </c>
      <c r="AD1302" s="36">
        <v>499.57720000000006</v>
      </c>
    </row>
    <row r="1303" spans="1:30" s="37" customFormat="1" ht="15.75" customHeight="1" x14ac:dyDescent="0.2">
      <c r="A1303" s="26">
        <v>617</v>
      </c>
      <c r="B1303" s="27" t="s">
        <v>2339</v>
      </c>
      <c r="C1303" s="27" t="s">
        <v>3094</v>
      </c>
      <c r="D1303" s="28">
        <v>0.02</v>
      </c>
      <c r="E1303" s="29">
        <v>20.89</v>
      </c>
      <c r="F1303" s="29">
        <v>11.52</v>
      </c>
      <c r="G1303" s="30" t="s">
        <v>39</v>
      </c>
      <c r="H1303" s="27" t="s">
        <v>40</v>
      </c>
      <c r="I1303" s="27" t="s">
        <v>49</v>
      </c>
      <c r="J1303" s="27" t="s">
        <v>78</v>
      </c>
      <c r="K1303" s="27" t="s">
        <v>73</v>
      </c>
      <c r="L1303" s="31" t="s">
        <v>1873</v>
      </c>
      <c r="M1303" s="32">
        <v>0.83</v>
      </c>
      <c r="N1303" s="27" t="s">
        <v>33</v>
      </c>
      <c r="O1303" s="27" t="s">
        <v>60</v>
      </c>
      <c r="P1303" s="27" t="s">
        <v>61</v>
      </c>
      <c r="Q1303" s="27" t="s">
        <v>952</v>
      </c>
      <c r="R1303" s="33">
        <v>81001</v>
      </c>
      <c r="S1303" s="34">
        <v>42123</v>
      </c>
      <c r="T1303" s="34">
        <v>42124</v>
      </c>
      <c r="U1303" s="29">
        <v>-276.11279999999999</v>
      </c>
      <c r="V1303" s="26">
        <v>13</v>
      </c>
      <c r="W1303" s="29">
        <v>279.27999999999997</v>
      </c>
      <c r="X1303" s="26">
        <v>88198</v>
      </c>
      <c r="Y1303" s="35">
        <v>35.96</v>
      </c>
      <c r="Z1303" s="1" t="s">
        <v>3013</v>
      </c>
      <c r="AA1303" s="36">
        <v>5.4314</v>
      </c>
      <c r="AB1303" s="54">
        <v>47.47760000000001</v>
      </c>
      <c r="AC1303" s="54">
        <v>17.830953846153843</v>
      </c>
      <c r="AD1303" s="36">
        <v>538.44139999999993</v>
      </c>
    </row>
    <row r="1304" spans="1:30" s="37" customFormat="1" ht="15.75" customHeight="1" x14ac:dyDescent="0.2">
      <c r="A1304" s="26">
        <v>782</v>
      </c>
      <c r="B1304" s="27" t="s">
        <v>2332</v>
      </c>
      <c r="C1304" s="27" t="s">
        <v>38</v>
      </c>
      <c r="D1304" s="28">
        <v>0.04</v>
      </c>
      <c r="E1304" s="29">
        <v>34.76</v>
      </c>
      <c r="F1304" s="29">
        <v>5.49</v>
      </c>
      <c r="G1304" s="30" t="s">
        <v>39</v>
      </c>
      <c r="H1304" s="27" t="s">
        <v>3095</v>
      </c>
      <c r="I1304" s="27" t="s">
        <v>49</v>
      </c>
      <c r="J1304" s="27" t="s">
        <v>78</v>
      </c>
      <c r="K1304" s="27" t="s">
        <v>73</v>
      </c>
      <c r="L1304" s="31" t="s">
        <v>2333</v>
      </c>
      <c r="M1304" s="32">
        <v>0.6</v>
      </c>
      <c r="N1304" s="27" t="s">
        <v>33</v>
      </c>
      <c r="O1304" s="27" t="s">
        <v>60</v>
      </c>
      <c r="P1304" s="27" t="s">
        <v>90</v>
      </c>
      <c r="Q1304" s="27" t="s">
        <v>2334</v>
      </c>
      <c r="R1304" s="33">
        <v>90604</v>
      </c>
      <c r="S1304" s="34">
        <v>42123</v>
      </c>
      <c r="T1304" s="34">
        <v>42124</v>
      </c>
      <c r="U1304" s="29">
        <v>192.51689999999999</v>
      </c>
      <c r="V1304" s="26">
        <v>8</v>
      </c>
      <c r="W1304" s="29">
        <v>279.01</v>
      </c>
      <c r="X1304" s="26">
        <v>90962</v>
      </c>
      <c r="Y1304" s="35">
        <v>95.93</v>
      </c>
      <c r="Z1304" s="1" t="s">
        <v>3013</v>
      </c>
      <c r="AA1304" s="36">
        <v>11.123199999999999</v>
      </c>
      <c r="AB1304" s="54">
        <v>111.604</v>
      </c>
      <c r="AC1304" s="54">
        <v>20.925749999999997</v>
      </c>
      <c r="AD1304" s="36">
        <v>69.879899999999992</v>
      </c>
    </row>
    <row r="1305" spans="1:30" s="37" customFormat="1" ht="15.75" customHeight="1" x14ac:dyDescent="0.2">
      <c r="A1305" s="26">
        <v>2353</v>
      </c>
      <c r="B1305" s="27" t="s">
        <v>2329</v>
      </c>
      <c r="C1305" s="27" t="s">
        <v>26</v>
      </c>
      <c r="D1305" s="28">
        <v>0.04</v>
      </c>
      <c r="E1305" s="29">
        <v>5.98</v>
      </c>
      <c r="F1305" s="29">
        <v>0.96</v>
      </c>
      <c r="G1305" s="30" t="s">
        <v>39</v>
      </c>
      <c r="H1305" s="27" t="s">
        <v>94</v>
      </c>
      <c r="I1305" s="27" t="s">
        <v>49</v>
      </c>
      <c r="J1305" s="27" t="s">
        <v>50</v>
      </c>
      <c r="K1305" s="27" t="s">
        <v>51</v>
      </c>
      <c r="L1305" s="31" t="s">
        <v>1267</v>
      </c>
      <c r="M1305" s="32">
        <v>0.6</v>
      </c>
      <c r="N1305" s="27" t="s">
        <v>33</v>
      </c>
      <c r="O1305" s="27" t="s">
        <v>111</v>
      </c>
      <c r="P1305" s="27" t="s">
        <v>418</v>
      </c>
      <c r="Q1305" s="27" t="s">
        <v>2330</v>
      </c>
      <c r="R1305" s="33">
        <v>21040</v>
      </c>
      <c r="S1305" s="34">
        <v>42123</v>
      </c>
      <c r="T1305" s="34">
        <v>42124</v>
      </c>
      <c r="U1305" s="29">
        <v>52.697600000000001</v>
      </c>
      <c r="V1305" s="26">
        <v>22</v>
      </c>
      <c r="W1305" s="29">
        <v>131.79</v>
      </c>
      <c r="X1305" s="26">
        <v>86164</v>
      </c>
      <c r="Y1305" s="35">
        <v>28.51</v>
      </c>
      <c r="Z1305" s="1" t="s">
        <v>3014</v>
      </c>
      <c r="AA1305" s="36">
        <v>5.2624000000000004</v>
      </c>
      <c r="AB1305" s="54">
        <v>52.716000000000001</v>
      </c>
      <c r="AC1305" s="54">
        <v>3.5942727272727271</v>
      </c>
      <c r="AD1305" s="36">
        <v>72.86999999999999</v>
      </c>
    </row>
    <row r="1306" spans="1:30" s="37" customFormat="1" ht="15.75" customHeight="1" x14ac:dyDescent="0.2">
      <c r="A1306" s="26">
        <v>803</v>
      </c>
      <c r="B1306" s="27" t="s">
        <v>2335</v>
      </c>
      <c r="C1306" s="27" t="s">
        <v>116</v>
      </c>
      <c r="D1306" s="28">
        <v>0.03</v>
      </c>
      <c r="E1306" s="29">
        <v>35.99</v>
      </c>
      <c r="F1306" s="29">
        <v>5</v>
      </c>
      <c r="G1306" s="30" t="s">
        <v>39</v>
      </c>
      <c r="H1306" s="27" t="s">
        <v>3095</v>
      </c>
      <c r="I1306" s="27" t="s">
        <v>41</v>
      </c>
      <c r="J1306" s="27" t="s">
        <v>135</v>
      </c>
      <c r="K1306" s="27" t="s">
        <v>73</v>
      </c>
      <c r="L1306" s="31" t="s">
        <v>951</v>
      </c>
      <c r="M1306" s="32">
        <v>0.85</v>
      </c>
      <c r="N1306" s="27" t="s">
        <v>33</v>
      </c>
      <c r="O1306" s="27" t="s">
        <v>34</v>
      </c>
      <c r="P1306" s="27" t="s">
        <v>123</v>
      </c>
      <c r="Q1306" s="27" t="s">
        <v>2336</v>
      </c>
      <c r="R1306" s="33">
        <v>32168</v>
      </c>
      <c r="S1306" s="34">
        <v>42123</v>
      </c>
      <c r="T1306" s="34">
        <v>42124</v>
      </c>
      <c r="U1306" s="29">
        <v>-184.548</v>
      </c>
      <c r="V1306" s="26">
        <v>3</v>
      </c>
      <c r="W1306" s="29">
        <v>93.82</v>
      </c>
      <c r="X1306" s="26">
        <v>90048</v>
      </c>
      <c r="Y1306" s="35">
        <v>125.91</v>
      </c>
      <c r="Z1306" s="1" t="s">
        <v>3011</v>
      </c>
      <c r="AA1306" s="36">
        <v>3.2391000000000005</v>
      </c>
      <c r="AB1306" s="54">
        <v>14.073</v>
      </c>
      <c r="AC1306" s="54">
        <v>26.582333333333331</v>
      </c>
      <c r="AD1306" s="36">
        <v>270.12889999999999</v>
      </c>
    </row>
    <row r="1307" spans="1:30" s="37" customFormat="1" ht="15.75" customHeight="1" x14ac:dyDescent="0.2">
      <c r="A1307" s="26">
        <v>618</v>
      </c>
      <c r="B1307" s="27" t="s">
        <v>1814</v>
      </c>
      <c r="C1307" s="27" t="s">
        <v>3094</v>
      </c>
      <c r="D1307" s="28">
        <v>0.06</v>
      </c>
      <c r="E1307" s="29">
        <v>5.38</v>
      </c>
      <c r="F1307" s="29">
        <v>5.24</v>
      </c>
      <c r="G1307" s="30" t="s">
        <v>87</v>
      </c>
      <c r="H1307" s="27" t="s">
        <v>40</v>
      </c>
      <c r="I1307" s="27" t="s">
        <v>49</v>
      </c>
      <c r="J1307" s="27" t="s">
        <v>72</v>
      </c>
      <c r="K1307" s="27" t="s">
        <v>73</v>
      </c>
      <c r="L1307" s="31" t="s">
        <v>2341</v>
      </c>
      <c r="M1307" s="32">
        <v>0.36</v>
      </c>
      <c r="N1307" s="27" t="s">
        <v>33</v>
      </c>
      <c r="O1307" s="27" t="s">
        <v>60</v>
      </c>
      <c r="P1307" s="27" t="s">
        <v>61</v>
      </c>
      <c r="Q1307" s="27" t="s">
        <v>1815</v>
      </c>
      <c r="R1307" s="33">
        <v>81007</v>
      </c>
      <c r="S1307" s="34">
        <v>42123</v>
      </c>
      <c r="T1307" s="34">
        <v>42124</v>
      </c>
      <c r="U1307" s="29">
        <v>-64.670940000000002</v>
      </c>
      <c r="V1307" s="26">
        <v>14</v>
      </c>
      <c r="W1307" s="29">
        <v>81.819999999999993</v>
      </c>
      <c r="X1307" s="26">
        <v>88198</v>
      </c>
      <c r="Y1307" s="35">
        <v>15.55</v>
      </c>
      <c r="Z1307" s="1" t="s">
        <v>3013</v>
      </c>
      <c r="AA1307" s="36">
        <v>4.5191999999999997</v>
      </c>
      <c r="AB1307" s="54">
        <v>52.364799999999995</v>
      </c>
      <c r="AC1307" s="54">
        <v>2.1039428571428567</v>
      </c>
      <c r="AD1307" s="36">
        <v>136.73174</v>
      </c>
    </row>
    <row r="1308" spans="1:30" s="37" customFormat="1" ht="15.75" customHeight="1" x14ac:dyDescent="0.2">
      <c r="A1308" s="26">
        <v>617</v>
      </c>
      <c r="B1308" s="27" t="s">
        <v>2339</v>
      </c>
      <c r="C1308" s="27" t="s">
        <v>3094</v>
      </c>
      <c r="D1308" s="28">
        <v>0.02</v>
      </c>
      <c r="E1308" s="29">
        <v>15.57</v>
      </c>
      <c r="F1308" s="29">
        <v>1.39</v>
      </c>
      <c r="G1308" s="30" t="s">
        <v>39</v>
      </c>
      <c r="H1308" s="27" t="s">
        <v>40</v>
      </c>
      <c r="I1308" s="27" t="s">
        <v>49</v>
      </c>
      <c r="J1308" s="27" t="s">
        <v>345</v>
      </c>
      <c r="K1308" s="27" t="s">
        <v>73</v>
      </c>
      <c r="L1308" s="31" t="s">
        <v>2340</v>
      </c>
      <c r="M1308" s="32">
        <v>0.38</v>
      </c>
      <c r="N1308" s="27" t="s">
        <v>33</v>
      </c>
      <c r="O1308" s="27" t="s">
        <v>60</v>
      </c>
      <c r="P1308" s="27" t="s">
        <v>61</v>
      </c>
      <c r="Q1308" s="27" t="s">
        <v>952</v>
      </c>
      <c r="R1308" s="33">
        <v>81001</v>
      </c>
      <c r="S1308" s="34">
        <v>42123</v>
      </c>
      <c r="T1308" s="34">
        <v>42124</v>
      </c>
      <c r="U1308" s="29">
        <v>23.5428</v>
      </c>
      <c r="V1308" s="26">
        <v>3</v>
      </c>
      <c r="W1308" s="29">
        <v>46.23</v>
      </c>
      <c r="X1308" s="26">
        <v>88198</v>
      </c>
      <c r="Y1308" s="35">
        <v>20.87</v>
      </c>
      <c r="Z1308" s="1" t="s">
        <v>3013</v>
      </c>
      <c r="AA1308" s="36">
        <v>0.93420000000000003</v>
      </c>
      <c r="AB1308" s="54">
        <v>28.662599999999998</v>
      </c>
      <c r="AC1308" s="54">
        <v>5.8557999999999995</v>
      </c>
      <c r="AD1308" s="36">
        <v>20.362999999999996</v>
      </c>
    </row>
    <row r="1309" spans="1:30" s="37" customFormat="1" ht="15.75" customHeight="1" x14ac:dyDescent="0.2">
      <c r="A1309" s="26">
        <v>2353</v>
      </c>
      <c r="B1309" s="27" t="s">
        <v>2329</v>
      </c>
      <c r="C1309" s="27" t="s">
        <v>26</v>
      </c>
      <c r="D1309" s="28">
        <v>0.01</v>
      </c>
      <c r="E1309" s="29">
        <v>20.99</v>
      </c>
      <c r="F1309" s="29">
        <v>0.99</v>
      </c>
      <c r="G1309" s="30" t="s">
        <v>39</v>
      </c>
      <c r="H1309" s="27" t="s">
        <v>94</v>
      </c>
      <c r="I1309" s="27" t="s">
        <v>41</v>
      </c>
      <c r="J1309" s="27" t="s">
        <v>135</v>
      </c>
      <c r="K1309" s="27" t="s">
        <v>51</v>
      </c>
      <c r="L1309" s="31" t="s">
        <v>2331</v>
      </c>
      <c r="M1309" s="32">
        <v>0.56999999999999995</v>
      </c>
      <c r="N1309" s="27" t="s">
        <v>33</v>
      </c>
      <c r="O1309" s="27" t="s">
        <v>111</v>
      </c>
      <c r="P1309" s="27" t="s">
        <v>418</v>
      </c>
      <c r="Q1309" s="27" t="s">
        <v>2330</v>
      </c>
      <c r="R1309" s="33">
        <v>21040</v>
      </c>
      <c r="S1309" s="34">
        <v>42123</v>
      </c>
      <c r="T1309" s="34">
        <v>42124</v>
      </c>
      <c r="U1309" s="29">
        <v>-78.194159999999997</v>
      </c>
      <c r="V1309" s="26">
        <v>2</v>
      </c>
      <c r="W1309" s="29">
        <v>35.33</v>
      </c>
      <c r="X1309" s="26">
        <v>86164</v>
      </c>
      <c r="Y1309" s="35">
        <v>5.32</v>
      </c>
      <c r="Z1309" s="1" t="s">
        <v>3014</v>
      </c>
      <c r="AA1309" s="36">
        <v>0.41979999999999995</v>
      </c>
      <c r="AB1309" s="54">
        <v>15.1919</v>
      </c>
      <c r="AC1309" s="54">
        <v>10.069049999999999</v>
      </c>
      <c r="AD1309" s="36">
        <v>112.11436</v>
      </c>
    </row>
    <row r="1310" spans="1:30" s="37" customFormat="1" ht="15.75" customHeight="1" x14ac:dyDescent="0.2">
      <c r="A1310" s="26">
        <v>618</v>
      </c>
      <c r="B1310" s="27" t="s">
        <v>1814</v>
      </c>
      <c r="C1310" s="27" t="s">
        <v>3094</v>
      </c>
      <c r="D1310" s="28">
        <v>0.03</v>
      </c>
      <c r="E1310" s="29">
        <v>7.35</v>
      </c>
      <c r="F1310" s="29">
        <v>5.96</v>
      </c>
      <c r="G1310" s="30" t="s">
        <v>39</v>
      </c>
      <c r="H1310" s="27" t="s">
        <v>40</v>
      </c>
      <c r="I1310" s="27" t="s">
        <v>49</v>
      </c>
      <c r="J1310" s="27" t="s">
        <v>88</v>
      </c>
      <c r="K1310" s="27" t="s">
        <v>73</v>
      </c>
      <c r="L1310" s="31" t="s">
        <v>2342</v>
      </c>
      <c r="M1310" s="32">
        <v>0.38</v>
      </c>
      <c r="N1310" s="27" t="s">
        <v>33</v>
      </c>
      <c r="O1310" s="27" t="s">
        <v>60</v>
      </c>
      <c r="P1310" s="27" t="s">
        <v>61</v>
      </c>
      <c r="Q1310" s="27" t="s">
        <v>1815</v>
      </c>
      <c r="R1310" s="33">
        <v>81007</v>
      </c>
      <c r="S1310" s="34">
        <v>42123</v>
      </c>
      <c r="T1310" s="34">
        <v>42124</v>
      </c>
      <c r="U1310" s="29">
        <v>-11.113200000000001</v>
      </c>
      <c r="V1310" s="26">
        <v>1</v>
      </c>
      <c r="W1310" s="29">
        <v>13.16</v>
      </c>
      <c r="X1310" s="26">
        <v>88198</v>
      </c>
      <c r="Y1310" s="35">
        <v>7.3199999999999994</v>
      </c>
      <c r="Z1310" s="1" t="s">
        <v>3013</v>
      </c>
      <c r="AA1310" s="36">
        <v>0.22049999999999997</v>
      </c>
      <c r="AB1310" s="54">
        <v>8.1592000000000002</v>
      </c>
      <c r="AC1310" s="54">
        <v>5.0007999999999999</v>
      </c>
      <c r="AD1310" s="36">
        <v>18.092700000000001</v>
      </c>
    </row>
    <row r="1311" spans="1:30" s="37" customFormat="1" ht="15.75" customHeight="1" x14ac:dyDescent="0.2">
      <c r="A1311" s="26">
        <v>640</v>
      </c>
      <c r="B1311" s="27" t="s">
        <v>1185</v>
      </c>
      <c r="C1311" s="27" t="s">
        <v>26</v>
      </c>
      <c r="D1311" s="28">
        <v>0</v>
      </c>
      <c r="E1311" s="29">
        <v>195.99</v>
      </c>
      <c r="F1311" s="29">
        <v>4.2</v>
      </c>
      <c r="G1311" s="30" t="s">
        <v>87</v>
      </c>
      <c r="H1311" s="27" t="s">
        <v>40</v>
      </c>
      <c r="I1311" s="27" t="s">
        <v>41</v>
      </c>
      <c r="J1311" s="27" t="s">
        <v>135</v>
      </c>
      <c r="K1311" s="27" t="s">
        <v>73</v>
      </c>
      <c r="L1311" s="31" t="s">
        <v>2345</v>
      </c>
      <c r="M1311" s="32">
        <v>0.56999999999999995</v>
      </c>
      <c r="N1311" s="27" t="s">
        <v>33</v>
      </c>
      <c r="O1311" s="27" t="s">
        <v>60</v>
      </c>
      <c r="P1311" s="27" t="s">
        <v>67</v>
      </c>
      <c r="Q1311" s="27" t="s">
        <v>142</v>
      </c>
      <c r="R1311" s="33">
        <v>98119</v>
      </c>
      <c r="S1311" s="34">
        <v>42124</v>
      </c>
      <c r="T1311" s="34">
        <v>42126</v>
      </c>
      <c r="U1311" s="29">
        <v>1030.509</v>
      </c>
      <c r="V1311" s="26">
        <v>24</v>
      </c>
      <c r="W1311" s="29">
        <v>4170.87</v>
      </c>
      <c r="X1311" s="26">
        <v>45380</v>
      </c>
      <c r="Y1311" s="35">
        <v>65.929999999999993</v>
      </c>
      <c r="Z1311" s="1" t="s">
        <v>3013</v>
      </c>
      <c r="AA1311" s="36">
        <v>0</v>
      </c>
      <c r="AB1311" s="54">
        <v>1793.4741000000001</v>
      </c>
      <c r="AC1311" s="54">
        <v>99.058162499999995</v>
      </c>
      <c r="AD1311" s="36">
        <v>3136.1610000000001</v>
      </c>
    </row>
    <row r="1312" spans="1:30" s="37" customFormat="1" ht="15.75" customHeight="1" x14ac:dyDescent="0.2">
      <c r="A1312" s="26">
        <v>640</v>
      </c>
      <c r="B1312" s="27" t="s">
        <v>1185</v>
      </c>
      <c r="C1312" s="27" t="s">
        <v>26</v>
      </c>
      <c r="D1312" s="28">
        <v>0.06</v>
      </c>
      <c r="E1312" s="29">
        <v>65.989999999999995</v>
      </c>
      <c r="F1312" s="29">
        <v>8.8000000000000007</v>
      </c>
      <c r="G1312" s="30" t="s">
        <v>87</v>
      </c>
      <c r="H1312" s="27" t="s">
        <v>40</v>
      </c>
      <c r="I1312" s="27" t="s">
        <v>41</v>
      </c>
      <c r="J1312" s="27" t="s">
        <v>135</v>
      </c>
      <c r="K1312" s="27" t="s">
        <v>73</v>
      </c>
      <c r="L1312" s="31" t="s">
        <v>452</v>
      </c>
      <c r="M1312" s="32">
        <v>0.57999999999999996</v>
      </c>
      <c r="N1312" s="27" t="s">
        <v>33</v>
      </c>
      <c r="O1312" s="27" t="s">
        <v>60</v>
      </c>
      <c r="P1312" s="27" t="s">
        <v>67</v>
      </c>
      <c r="Q1312" s="27" t="s">
        <v>142</v>
      </c>
      <c r="R1312" s="33">
        <v>98119</v>
      </c>
      <c r="S1312" s="34">
        <v>42124</v>
      </c>
      <c r="T1312" s="34">
        <v>42125</v>
      </c>
      <c r="U1312" s="29">
        <v>288.08999999999997</v>
      </c>
      <c r="V1312" s="26">
        <v>34</v>
      </c>
      <c r="W1312" s="29">
        <v>1912.98</v>
      </c>
      <c r="X1312" s="26">
        <v>45380</v>
      </c>
      <c r="Y1312" s="35">
        <v>195.99</v>
      </c>
      <c r="Z1312" s="1" t="s">
        <v>3013</v>
      </c>
      <c r="AA1312" s="36">
        <v>134.61959999999999</v>
      </c>
      <c r="AB1312" s="54">
        <v>803.4516000000001</v>
      </c>
      <c r="AC1312" s="54">
        <v>32.633188235294114</v>
      </c>
      <c r="AD1312" s="36">
        <v>1481.4704000000002</v>
      </c>
    </row>
    <row r="1313" spans="1:30" s="37" customFormat="1" ht="15.75" customHeight="1" x14ac:dyDescent="0.2">
      <c r="A1313" s="26">
        <v>638</v>
      </c>
      <c r="B1313" s="27" t="s">
        <v>2343</v>
      </c>
      <c r="C1313" s="27" t="s">
        <v>26</v>
      </c>
      <c r="D1313" s="28">
        <v>0</v>
      </c>
      <c r="E1313" s="29">
        <v>195.99</v>
      </c>
      <c r="F1313" s="29">
        <v>4.2</v>
      </c>
      <c r="G1313" s="30" t="s">
        <v>87</v>
      </c>
      <c r="H1313" s="27" t="s">
        <v>40</v>
      </c>
      <c r="I1313" s="27" t="s">
        <v>41</v>
      </c>
      <c r="J1313" s="27" t="s">
        <v>135</v>
      </c>
      <c r="K1313" s="27" t="s">
        <v>73</v>
      </c>
      <c r="L1313" s="31" t="s">
        <v>2345</v>
      </c>
      <c r="M1313" s="32">
        <v>0.56999999999999995</v>
      </c>
      <c r="N1313" s="27" t="s">
        <v>33</v>
      </c>
      <c r="O1313" s="27" t="s">
        <v>60</v>
      </c>
      <c r="P1313" s="27" t="s">
        <v>90</v>
      </c>
      <c r="Q1313" s="27" t="s">
        <v>2344</v>
      </c>
      <c r="R1313" s="33">
        <v>95062</v>
      </c>
      <c r="S1313" s="34">
        <v>42124</v>
      </c>
      <c r="T1313" s="34">
        <v>42126</v>
      </c>
      <c r="U1313" s="29">
        <v>719.47680000000003</v>
      </c>
      <c r="V1313" s="26">
        <v>6</v>
      </c>
      <c r="W1313" s="29">
        <v>1042.72</v>
      </c>
      <c r="X1313" s="26">
        <v>87954</v>
      </c>
      <c r="Y1313" s="35">
        <v>65.929999999999993</v>
      </c>
      <c r="Z1313" s="1" t="s">
        <v>3013</v>
      </c>
      <c r="AA1313" s="36">
        <v>0</v>
      </c>
      <c r="AB1313" s="54">
        <v>448.36960000000005</v>
      </c>
      <c r="AC1313" s="54">
        <v>99.058399999999992</v>
      </c>
      <c r="AD1313" s="36">
        <v>319.04319999999996</v>
      </c>
    </row>
    <row r="1314" spans="1:30" s="37" customFormat="1" ht="15.75" customHeight="1" x14ac:dyDescent="0.2">
      <c r="A1314" s="26">
        <v>855</v>
      </c>
      <c r="B1314" s="27" t="s">
        <v>2349</v>
      </c>
      <c r="C1314" s="27" t="s">
        <v>26</v>
      </c>
      <c r="D1314" s="28">
        <v>0.02</v>
      </c>
      <c r="E1314" s="29">
        <v>24.98</v>
      </c>
      <c r="F1314" s="29">
        <v>8.7899999999999991</v>
      </c>
      <c r="G1314" s="30" t="s">
        <v>39</v>
      </c>
      <c r="H1314" s="27" t="s">
        <v>94</v>
      </c>
      <c r="I1314" s="27" t="s">
        <v>49</v>
      </c>
      <c r="J1314" s="27" t="s">
        <v>78</v>
      </c>
      <c r="K1314" s="27" t="s">
        <v>73</v>
      </c>
      <c r="L1314" s="31" t="s">
        <v>2350</v>
      </c>
      <c r="M1314" s="32">
        <v>0.66</v>
      </c>
      <c r="N1314" s="27" t="s">
        <v>33</v>
      </c>
      <c r="O1314" s="27" t="s">
        <v>111</v>
      </c>
      <c r="P1314" s="27" t="s">
        <v>248</v>
      </c>
      <c r="Q1314" s="27" t="s">
        <v>2351</v>
      </c>
      <c r="R1314" s="33">
        <v>6810</v>
      </c>
      <c r="S1314" s="34">
        <v>42124</v>
      </c>
      <c r="T1314" s="34">
        <v>42125</v>
      </c>
      <c r="U1314" s="29">
        <v>4.3148</v>
      </c>
      <c r="V1314" s="26">
        <v>23</v>
      </c>
      <c r="W1314" s="29">
        <v>606.51</v>
      </c>
      <c r="X1314" s="26">
        <v>88571</v>
      </c>
      <c r="Y1314" s="35">
        <v>195.99</v>
      </c>
      <c r="Z1314" s="1" t="s">
        <v>3014</v>
      </c>
      <c r="AA1314" s="36">
        <v>11.4908</v>
      </c>
      <c r="AB1314" s="54">
        <v>206.21339999999998</v>
      </c>
      <c r="AC1314" s="54">
        <v>17.404200000000003</v>
      </c>
      <c r="AD1314" s="36">
        <v>581.9144</v>
      </c>
    </row>
    <row r="1315" spans="1:30" s="37" customFormat="1" ht="15.75" customHeight="1" x14ac:dyDescent="0.2">
      <c r="A1315" s="26">
        <v>638</v>
      </c>
      <c r="B1315" s="27" t="s">
        <v>2343</v>
      </c>
      <c r="C1315" s="27" t="s">
        <v>26</v>
      </c>
      <c r="D1315" s="28">
        <v>0.06</v>
      </c>
      <c r="E1315" s="29">
        <v>65.989999999999995</v>
      </c>
      <c r="F1315" s="29">
        <v>8.8000000000000007</v>
      </c>
      <c r="G1315" s="30" t="s">
        <v>87</v>
      </c>
      <c r="H1315" s="27" t="s">
        <v>40</v>
      </c>
      <c r="I1315" s="27" t="s">
        <v>41</v>
      </c>
      <c r="J1315" s="27" t="s">
        <v>135</v>
      </c>
      <c r="K1315" s="27" t="s">
        <v>73</v>
      </c>
      <c r="L1315" s="31" t="s">
        <v>452</v>
      </c>
      <c r="M1315" s="32">
        <v>0.57999999999999996</v>
      </c>
      <c r="N1315" s="27" t="s">
        <v>33</v>
      </c>
      <c r="O1315" s="27" t="s">
        <v>60</v>
      </c>
      <c r="P1315" s="27" t="s">
        <v>90</v>
      </c>
      <c r="Q1315" s="27" t="s">
        <v>2344</v>
      </c>
      <c r="R1315" s="33">
        <v>95062</v>
      </c>
      <c r="S1315" s="34">
        <v>42124</v>
      </c>
      <c r="T1315" s="34">
        <v>42125</v>
      </c>
      <c r="U1315" s="29">
        <v>288.08999999999997</v>
      </c>
      <c r="V1315" s="26">
        <v>9</v>
      </c>
      <c r="W1315" s="29">
        <v>506.38</v>
      </c>
      <c r="X1315" s="26">
        <v>87954</v>
      </c>
      <c r="Y1315" s="35">
        <v>1.2</v>
      </c>
      <c r="Z1315" s="1" t="s">
        <v>3013</v>
      </c>
      <c r="AA1315" s="36">
        <v>35.634599999999999</v>
      </c>
      <c r="AB1315" s="54">
        <v>212.67960000000002</v>
      </c>
      <c r="AC1315" s="54">
        <v>32.633377777777774</v>
      </c>
      <c r="AD1315" s="36">
        <v>173.85540000000003</v>
      </c>
    </row>
    <row r="1316" spans="1:30" s="37" customFormat="1" ht="15.75" customHeight="1" x14ac:dyDescent="0.2">
      <c r="A1316" s="26">
        <v>1352</v>
      </c>
      <c r="B1316" s="27" t="s">
        <v>2355</v>
      </c>
      <c r="C1316" s="27" t="s">
        <v>38</v>
      </c>
      <c r="D1316" s="28">
        <v>0.05</v>
      </c>
      <c r="E1316" s="29">
        <v>17.670000000000002</v>
      </c>
      <c r="F1316" s="29">
        <v>8.99</v>
      </c>
      <c r="G1316" s="30" t="s">
        <v>39</v>
      </c>
      <c r="H1316" s="27" t="s">
        <v>71</v>
      </c>
      <c r="I1316" s="27" t="s">
        <v>29</v>
      </c>
      <c r="J1316" s="27" t="s">
        <v>126</v>
      </c>
      <c r="K1316" s="27" t="s">
        <v>43</v>
      </c>
      <c r="L1316" s="31" t="s">
        <v>2056</v>
      </c>
      <c r="M1316" s="32">
        <v>0.47</v>
      </c>
      <c r="N1316" s="27" t="s">
        <v>33</v>
      </c>
      <c r="O1316" s="27" t="s">
        <v>111</v>
      </c>
      <c r="P1316" s="27" t="s">
        <v>418</v>
      </c>
      <c r="Q1316" s="27" t="s">
        <v>1701</v>
      </c>
      <c r="R1316" s="33">
        <v>20746</v>
      </c>
      <c r="S1316" s="34">
        <v>42124</v>
      </c>
      <c r="T1316" s="34">
        <v>42125</v>
      </c>
      <c r="U1316" s="29">
        <v>46.036799999999999</v>
      </c>
      <c r="V1316" s="26">
        <v>16</v>
      </c>
      <c r="W1316" s="29">
        <v>283.44</v>
      </c>
      <c r="X1316" s="26">
        <v>88234</v>
      </c>
      <c r="Y1316" s="35">
        <v>1.7</v>
      </c>
      <c r="Z1316" s="1" t="s">
        <v>3014</v>
      </c>
      <c r="AA1316" s="36">
        <v>14.136000000000003</v>
      </c>
      <c r="AB1316" s="54">
        <v>150.22320000000002</v>
      </c>
      <c r="AC1316" s="54">
        <v>8.3260499999999986</v>
      </c>
      <c r="AD1316" s="36">
        <v>214.27719999999999</v>
      </c>
    </row>
    <row r="1317" spans="1:30" s="37" customFormat="1" ht="15.75" customHeight="1" x14ac:dyDescent="0.2">
      <c r="A1317" s="26">
        <v>2823</v>
      </c>
      <c r="B1317" s="27" t="s">
        <v>2358</v>
      </c>
      <c r="C1317" s="27" t="s">
        <v>48</v>
      </c>
      <c r="D1317" s="28">
        <v>0.02</v>
      </c>
      <c r="E1317" s="29">
        <v>21.98</v>
      </c>
      <c r="F1317" s="29">
        <v>2.87</v>
      </c>
      <c r="G1317" s="30" t="s">
        <v>39</v>
      </c>
      <c r="H1317" s="27" t="s">
        <v>94</v>
      </c>
      <c r="I1317" s="27" t="s">
        <v>49</v>
      </c>
      <c r="J1317" s="27" t="s">
        <v>50</v>
      </c>
      <c r="K1317" s="27" t="s">
        <v>43</v>
      </c>
      <c r="L1317" s="31" t="s">
        <v>1738</v>
      </c>
      <c r="M1317" s="32">
        <v>0.55000000000000004</v>
      </c>
      <c r="N1317" s="27" t="s">
        <v>33</v>
      </c>
      <c r="O1317" s="27" t="s">
        <v>60</v>
      </c>
      <c r="P1317" s="27" t="s">
        <v>296</v>
      </c>
      <c r="Q1317" s="27" t="s">
        <v>2359</v>
      </c>
      <c r="R1317" s="33">
        <v>89031</v>
      </c>
      <c r="S1317" s="34">
        <v>42124</v>
      </c>
      <c r="T1317" s="34">
        <v>42126</v>
      </c>
      <c r="U1317" s="29">
        <v>165.6345</v>
      </c>
      <c r="V1317" s="26">
        <v>11</v>
      </c>
      <c r="W1317" s="29">
        <v>240.05</v>
      </c>
      <c r="X1317" s="26">
        <v>87240</v>
      </c>
      <c r="Y1317" s="35">
        <v>24.96</v>
      </c>
      <c r="Z1317" s="1" t="s">
        <v>3013</v>
      </c>
      <c r="AA1317" s="36">
        <v>4.8355999999999995</v>
      </c>
      <c r="AB1317" s="54">
        <v>108.02249999999999</v>
      </c>
      <c r="AC1317" s="54">
        <v>12.002500000000001</v>
      </c>
      <c r="AD1317" s="36">
        <v>66.709900000000005</v>
      </c>
    </row>
    <row r="1318" spans="1:30" s="37" customFormat="1" ht="15.75" customHeight="1" x14ac:dyDescent="0.2">
      <c r="A1318" s="26">
        <v>858</v>
      </c>
      <c r="B1318" s="27" t="s">
        <v>2352</v>
      </c>
      <c r="C1318" s="27" t="s">
        <v>26</v>
      </c>
      <c r="D1318" s="28">
        <v>0.05</v>
      </c>
      <c r="E1318" s="29">
        <v>35.99</v>
      </c>
      <c r="F1318" s="29">
        <v>5.99</v>
      </c>
      <c r="G1318" s="30" t="s">
        <v>87</v>
      </c>
      <c r="H1318" s="27" t="s">
        <v>94</v>
      </c>
      <c r="I1318" s="27" t="s">
        <v>41</v>
      </c>
      <c r="J1318" s="27" t="s">
        <v>135</v>
      </c>
      <c r="K1318" s="27" t="s">
        <v>51</v>
      </c>
      <c r="L1318" s="31" t="s">
        <v>1372</v>
      </c>
      <c r="M1318" s="32">
        <v>0.38</v>
      </c>
      <c r="N1318" s="27" t="s">
        <v>33</v>
      </c>
      <c r="O1318" s="27" t="s">
        <v>111</v>
      </c>
      <c r="P1318" s="27" t="s">
        <v>331</v>
      </c>
      <c r="Q1318" s="27" t="s">
        <v>1658</v>
      </c>
      <c r="R1318" s="33">
        <v>4240</v>
      </c>
      <c r="S1318" s="34">
        <v>42124</v>
      </c>
      <c r="T1318" s="34">
        <v>42126</v>
      </c>
      <c r="U1318" s="29">
        <v>-125.83296</v>
      </c>
      <c r="V1318" s="26">
        <v>2</v>
      </c>
      <c r="W1318" s="29">
        <v>64.89</v>
      </c>
      <c r="X1318" s="26">
        <v>88571</v>
      </c>
      <c r="Y1318" s="35">
        <v>35.940000000000005</v>
      </c>
      <c r="Z1318" s="1" t="s">
        <v>3014</v>
      </c>
      <c r="AA1318" s="36">
        <v>3.5990000000000002</v>
      </c>
      <c r="AB1318" s="54">
        <v>40.2318</v>
      </c>
      <c r="AC1318" s="54">
        <v>12.3291</v>
      </c>
      <c r="AD1318" s="36">
        <v>181.13396</v>
      </c>
    </row>
    <row r="1319" spans="1:30" s="37" customFormat="1" ht="15.75" customHeight="1" x14ac:dyDescent="0.2">
      <c r="A1319" s="26">
        <v>2704</v>
      </c>
      <c r="B1319" s="27" t="s">
        <v>2353</v>
      </c>
      <c r="C1319" s="27" t="s">
        <v>48</v>
      </c>
      <c r="D1319" s="28">
        <v>0.03</v>
      </c>
      <c r="E1319" s="29">
        <v>13.48</v>
      </c>
      <c r="F1319" s="29">
        <v>4.51</v>
      </c>
      <c r="G1319" s="30" t="s">
        <v>87</v>
      </c>
      <c r="H1319" s="27" t="s">
        <v>40</v>
      </c>
      <c r="I1319" s="27" t="s">
        <v>49</v>
      </c>
      <c r="J1319" s="27" t="s">
        <v>78</v>
      </c>
      <c r="K1319" s="27" t="s">
        <v>73</v>
      </c>
      <c r="L1319" s="31" t="s">
        <v>1781</v>
      </c>
      <c r="M1319" s="32">
        <v>0.59</v>
      </c>
      <c r="N1319" s="27" t="s">
        <v>33</v>
      </c>
      <c r="O1319" s="27" t="s">
        <v>34</v>
      </c>
      <c r="P1319" s="27" t="s">
        <v>123</v>
      </c>
      <c r="Q1319" s="27" t="s">
        <v>2354</v>
      </c>
      <c r="R1319" s="33">
        <v>32503</v>
      </c>
      <c r="S1319" s="34">
        <v>42124</v>
      </c>
      <c r="T1319" s="34">
        <v>42128</v>
      </c>
      <c r="U1319" s="29">
        <v>-256.01799999999997</v>
      </c>
      <c r="V1319" s="26">
        <v>4</v>
      </c>
      <c r="W1319" s="29">
        <v>59.49</v>
      </c>
      <c r="X1319" s="26">
        <v>91408</v>
      </c>
      <c r="Y1319" s="35">
        <v>3.54</v>
      </c>
      <c r="Z1319" s="1" t="s">
        <v>3011</v>
      </c>
      <c r="AA1319" s="36">
        <v>1.6175999999999999</v>
      </c>
      <c r="AB1319" s="54">
        <v>24.390900000000002</v>
      </c>
      <c r="AC1319" s="54">
        <v>8.774775</v>
      </c>
      <c r="AD1319" s="36">
        <v>309.38039999999995</v>
      </c>
    </row>
    <row r="1320" spans="1:30" s="37" customFormat="1" ht="15.75" customHeight="1" x14ac:dyDescent="0.2">
      <c r="A1320" s="26">
        <v>1347</v>
      </c>
      <c r="B1320" s="27" t="s">
        <v>2356</v>
      </c>
      <c r="C1320" s="27" t="s">
        <v>48</v>
      </c>
      <c r="D1320" s="28">
        <v>0.1</v>
      </c>
      <c r="E1320" s="29">
        <v>2.62</v>
      </c>
      <c r="F1320" s="29">
        <v>0.8</v>
      </c>
      <c r="G1320" s="30" t="s">
        <v>39</v>
      </c>
      <c r="H1320" s="27" t="s">
        <v>71</v>
      </c>
      <c r="I1320" s="27" t="s">
        <v>49</v>
      </c>
      <c r="J1320" s="27" t="s">
        <v>176</v>
      </c>
      <c r="K1320" s="27" t="s">
        <v>51</v>
      </c>
      <c r="L1320" s="31" t="s">
        <v>2124</v>
      </c>
      <c r="M1320" s="32">
        <v>0.39</v>
      </c>
      <c r="N1320" s="27" t="s">
        <v>33</v>
      </c>
      <c r="O1320" s="27" t="s">
        <v>34</v>
      </c>
      <c r="P1320" s="27" t="s">
        <v>123</v>
      </c>
      <c r="Q1320" s="27" t="s">
        <v>2357</v>
      </c>
      <c r="R1320" s="33">
        <v>33511</v>
      </c>
      <c r="S1320" s="34">
        <v>42124</v>
      </c>
      <c r="T1320" s="34">
        <v>42130</v>
      </c>
      <c r="U1320" s="29">
        <v>-94.490899999999996</v>
      </c>
      <c r="V1320" s="26">
        <v>21</v>
      </c>
      <c r="W1320" s="29">
        <v>51.86</v>
      </c>
      <c r="X1320" s="26">
        <v>89686</v>
      </c>
      <c r="Y1320" s="35">
        <v>17.62</v>
      </c>
      <c r="Z1320" s="1" t="s">
        <v>3011</v>
      </c>
      <c r="AA1320" s="36">
        <v>5.5020000000000007</v>
      </c>
      <c r="AB1320" s="54">
        <v>31.634599999999999</v>
      </c>
      <c r="AC1320" s="54">
        <v>0.9631142857142857</v>
      </c>
      <c r="AD1320" s="36">
        <v>140.0489</v>
      </c>
    </row>
    <row r="1321" spans="1:30" s="37" customFormat="1" ht="15.75" customHeight="1" x14ac:dyDescent="0.2">
      <c r="A1321" s="26">
        <v>854</v>
      </c>
      <c r="B1321" s="27" t="s">
        <v>2347</v>
      </c>
      <c r="C1321" s="27" t="s">
        <v>26</v>
      </c>
      <c r="D1321" s="28">
        <v>0.06</v>
      </c>
      <c r="E1321" s="29">
        <v>1.76</v>
      </c>
      <c r="F1321" s="29">
        <v>0.7</v>
      </c>
      <c r="G1321" s="30" t="s">
        <v>39</v>
      </c>
      <c r="H1321" s="27" t="s">
        <v>94</v>
      </c>
      <c r="I1321" s="27" t="s">
        <v>49</v>
      </c>
      <c r="J1321" s="27" t="s">
        <v>50</v>
      </c>
      <c r="K1321" s="27" t="s">
        <v>51</v>
      </c>
      <c r="L1321" s="31" t="s">
        <v>1663</v>
      </c>
      <c r="M1321" s="32">
        <v>0.56000000000000005</v>
      </c>
      <c r="N1321" s="27" t="s">
        <v>33</v>
      </c>
      <c r="O1321" s="27" t="s">
        <v>111</v>
      </c>
      <c r="P1321" s="27" t="s">
        <v>248</v>
      </c>
      <c r="Q1321" s="27" t="s">
        <v>2348</v>
      </c>
      <c r="R1321" s="33">
        <v>6405</v>
      </c>
      <c r="S1321" s="34">
        <v>42124</v>
      </c>
      <c r="T1321" s="34">
        <v>42126</v>
      </c>
      <c r="U1321" s="29">
        <v>1.2236</v>
      </c>
      <c r="V1321" s="26">
        <v>22</v>
      </c>
      <c r="W1321" s="29">
        <v>39.26</v>
      </c>
      <c r="X1321" s="26">
        <v>88571</v>
      </c>
      <c r="Y1321" s="35">
        <v>2.52</v>
      </c>
      <c r="Z1321" s="1" t="s">
        <v>3014</v>
      </c>
      <c r="AA1321" s="36">
        <v>2.3231999999999999</v>
      </c>
      <c r="AB1321" s="54">
        <v>17.274399999999996</v>
      </c>
      <c r="AC1321" s="54">
        <v>0.99934545454545454</v>
      </c>
      <c r="AD1321" s="36">
        <v>35.013199999999998</v>
      </c>
    </row>
    <row r="1322" spans="1:30" s="37" customFormat="1" ht="15.75" customHeight="1" x14ac:dyDescent="0.2">
      <c r="A1322" s="26">
        <v>1989</v>
      </c>
      <c r="B1322" s="27" t="s">
        <v>693</v>
      </c>
      <c r="C1322" s="27" t="s">
        <v>116</v>
      </c>
      <c r="D1322" s="28">
        <v>0.1</v>
      </c>
      <c r="E1322" s="29">
        <v>1.6</v>
      </c>
      <c r="F1322" s="29">
        <v>1.29</v>
      </c>
      <c r="G1322" s="30" t="s">
        <v>39</v>
      </c>
      <c r="H1322" s="27" t="s">
        <v>71</v>
      </c>
      <c r="I1322" s="27" t="s">
        <v>49</v>
      </c>
      <c r="J1322" s="27" t="s">
        <v>50</v>
      </c>
      <c r="K1322" s="27" t="s">
        <v>51</v>
      </c>
      <c r="L1322" s="31" t="s">
        <v>2360</v>
      </c>
      <c r="M1322" s="32">
        <v>0.42</v>
      </c>
      <c r="N1322" s="27" t="s">
        <v>33</v>
      </c>
      <c r="O1322" s="27" t="s">
        <v>60</v>
      </c>
      <c r="P1322" s="27" t="s">
        <v>146</v>
      </c>
      <c r="Q1322" s="27" t="s">
        <v>695</v>
      </c>
      <c r="R1322" s="33">
        <v>84117</v>
      </c>
      <c r="S1322" s="34">
        <v>42124</v>
      </c>
      <c r="T1322" s="34">
        <v>42124</v>
      </c>
      <c r="U1322" s="29">
        <v>-14.990399999999999</v>
      </c>
      <c r="V1322" s="26">
        <v>11</v>
      </c>
      <c r="W1322" s="29">
        <v>16.88</v>
      </c>
      <c r="X1322" s="26">
        <v>90003</v>
      </c>
      <c r="Y1322" s="35">
        <v>13.450000000000001</v>
      </c>
      <c r="Z1322" s="1" t="s">
        <v>3013</v>
      </c>
      <c r="AA1322" s="36">
        <v>1.7600000000000002</v>
      </c>
      <c r="AB1322" s="54">
        <v>9.7904</v>
      </c>
      <c r="AC1322" s="54">
        <v>0.64450909090909081</v>
      </c>
      <c r="AD1322" s="36">
        <v>28.820399999999999</v>
      </c>
    </row>
    <row r="1323" spans="1:30" s="37" customFormat="1" ht="15.75" customHeight="1" x14ac:dyDescent="0.2">
      <c r="A1323" s="26">
        <v>2704</v>
      </c>
      <c r="B1323" s="27" t="s">
        <v>2353</v>
      </c>
      <c r="C1323" s="27" t="s">
        <v>26</v>
      </c>
      <c r="D1323" s="28">
        <v>0.06</v>
      </c>
      <c r="E1323" s="29">
        <v>3.6</v>
      </c>
      <c r="F1323" s="29">
        <v>2.2000000000000002</v>
      </c>
      <c r="G1323" s="30" t="s">
        <v>39</v>
      </c>
      <c r="H1323" s="27" t="s">
        <v>40</v>
      </c>
      <c r="I1323" s="27" t="s">
        <v>49</v>
      </c>
      <c r="J1323" s="27" t="s">
        <v>88</v>
      </c>
      <c r="K1323" s="27" t="s">
        <v>51</v>
      </c>
      <c r="L1323" s="31" t="s">
        <v>1384</v>
      </c>
      <c r="M1323" s="32">
        <v>0.39</v>
      </c>
      <c r="N1323" s="27" t="s">
        <v>33</v>
      </c>
      <c r="O1323" s="27" t="s">
        <v>34</v>
      </c>
      <c r="P1323" s="27" t="s">
        <v>123</v>
      </c>
      <c r="Q1323" s="27" t="s">
        <v>2354</v>
      </c>
      <c r="R1323" s="33">
        <v>32503</v>
      </c>
      <c r="S1323" s="34">
        <v>42124</v>
      </c>
      <c r="T1323" s="34">
        <v>42126</v>
      </c>
      <c r="U1323" s="29">
        <v>2755.6421999999998</v>
      </c>
      <c r="V1323" s="26">
        <v>4</v>
      </c>
      <c r="W1323" s="29">
        <v>15.19</v>
      </c>
      <c r="X1323" s="26">
        <v>91407</v>
      </c>
      <c r="Y1323" s="35">
        <v>21.96</v>
      </c>
      <c r="Z1323" s="1" t="s">
        <v>3011</v>
      </c>
      <c r="AA1323" s="36">
        <v>0.86399999999999999</v>
      </c>
      <c r="AB1323" s="54">
        <v>9.2659000000000002</v>
      </c>
      <c r="AC1323" s="54">
        <v>1.481025</v>
      </c>
      <c r="AD1323" s="36">
        <v>-2743.5161999999996</v>
      </c>
    </row>
    <row r="1324" spans="1:30" s="37" customFormat="1" ht="15.75" customHeight="1" x14ac:dyDescent="0.2">
      <c r="A1324" s="26">
        <v>851</v>
      </c>
      <c r="B1324" s="27" t="s">
        <v>1364</v>
      </c>
      <c r="C1324" s="27" t="s">
        <v>26</v>
      </c>
      <c r="D1324" s="28">
        <v>0.06</v>
      </c>
      <c r="E1324" s="29">
        <v>1.26</v>
      </c>
      <c r="F1324" s="29">
        <v>0.7</v>
      </c>
      <c r="G1324" s="30" t="s">
        <v>39</v>
      </c>
      <c r="H1324" s="27" t="s">
        <v>94</v>
      </c>
      <c r="I1324" s="27" t="s">
        <v>49</v>
      </c>
      <c r="J1324" s="27" t="s">
        <v>176</v>
      </c>
      <c r="K1324" s="27" t="s">
        <v>51</v>
      </c>
      <c r="L1324" s="31" t="s">
        <v>2346</v>
      </c>
      <c r="M1324" s="32">
        <v>0.81</v>
      </c>
      <c r="N1324" s="27" t="s">
        <v>33</v>
      </c>
      <c r="O1324" s="27" t="s">
        <v>60</v>
      </c>
      <c r="P1324" s="27" t="s">
        <v>90</v>
      </c>
      <c r="Q1324" s="27" t="s">
        <v>1366</v>
      </c>
      <c r="R1324" s="33">
        <v>91745</v>
      </c>
      <c r="S1324" s="34">
        <v>42124</v>
      </c>
      <c r="T1324" s="34">
        <v>42124</v>
      </c>
      <c r="U1324" s="29">
        <v>-6.6096000000000004</v>
      </c>
      <c r="V1324" s="26">
        <v>4</v>
      </c>
      <c r="W1324" s="29">
        <v>5.28</v>
      </c>
      <c r="X1324" s="26">
        <v>88571</v>
      </c>
      <c r="Y1324" s="35">
        <v>1.5</v>
      </c>
      <c r="Z1324" s="1" t="s">
        <v>3013</v>
      </c>
      <c r="AA1324" s="36">
        <v>0.3024</v>
      </c>
      <c r="AB1324" s="54">
        <v>1.0031999999999999</v>
      </c>
      <c r="AC1324" s="54">
        <v>1.0692000000000002</v>
      </c>
      <c r="AD1324" s="36">
        <v>10.8872</v>
      </c>
    </row>
    <row r="1325" spans="1:30" s="37" customFormat="1" ht="15.75" customHeight="1" x14ac:dyDescent="0.2">
      <c r="A1325" s="26">
        <v>1193</v>
      </c>
      <c r="B1325" s="27" t="s">
        <v>1351</v>
      </c>
      <c r="C1325" s="27" t="s">
        <v>3094</v>
      </c>
      <c r="D1325" s="28">
        <v>0.03</v>
      </c>
      <c r="E1325" s="29">
        <v>5.98</v>
      </c>
      <c r="F1325" s="29">
        <v>1.49</v>
      </c>
      <c r="G1325" s="30" t="s">
        <v>39</v>
      </c>
      <c r="H1325" s="27" t="s">
        <v>3095</v>
      </c>
      <c r="I1325" s="27" t="s">
        <v>49</v>
      </c>
      <c r="J1325" s="27" t="s">
        <v>72</v>
      </c>
      <c r="K1325" s="27" t="s">
        <v>73</v>
      </c>
      <c r="L1325" s="31" t="s">
        <v>1587</v>
      </c>
      <c r="M1325" s="32">
        <v>0.39</v>
      </c>
      <c r="N1325" s="27" t="s">
        <v>33</v>
      </c>
      <c r="O1325" s="27" t="s">
        <v>111</v>
      </c>
      <c r="P1325" s="27" t="s">
        <v>374</v>
      </c>
      <c r="Q1325" s="27" t="s">
        <v>67</v>
      </c>
      <c r="R1325" s="33">
        <v>20016</v>
      </c>
      <c r="S1325" s="34">
        <v>42125</v>
      </c>
      <c r="T1325" s="34">
        <v>42127</v>
      </c>
      <c r="U1325" s="29">
        <v>38.08</v>
      </c>
      <c r="V1325" s="26">
        <v>85</v>
      </c>
      <c r="W1325" s="29">
        <v>517.85</v>
      </c>
      <c r="X1325" s="26">
        <v>38852</v>
      </c>
      <c r="Y1325" s="35">
        <v>11.69</v>
      </c>
      <c r="Z1325" s="1" t="s">
        <v>3014</v>
      </c>
      <c r="AA1325" s="36">
        <v>15.249000000000001</v>
      </c>
      <c r="AB1325" s="54">
        <v>315.88850000000002</v>
      </c>
      <c r="AC1325" s="54">
        <v>2.3760176470588239</v>
      </c>
      <c r="AD1325" s="36">
        <v>463.03100000000001</v>
      </c>
    </row>
    <row r="1326" spans="1:30" s="37" customFormat="1" ht="15.75" customHeight="1" x14ac:dyDescent="0.2">
      <c r="A1326" s="26">
        <v>381</v>
      </c>
      <c r="B1326" s="27" t="s">
        <v>2368</v>
      </c>
      <c r="C1326" s="27" t="s">
        <v>3094</v>
      </c>
      <c r="D1326" s="28">
        <v>7.0000000000000007E-2</v>
      </c>
      <c r="E1326" s="29">
        <v>415.88</v>
      </c>
      <c r="F1326" s="29">
        <v>11.37</v>
      </c>
      <c r="G1326" s="30" t="s">
        <v>39</v>
      </c>
      <c r="H1326" s="27" t="s">
        <v>94</v>
      </c>
      <c r="I1326" s="27" t="s">
        <v>49</v>
      </c>
      <c r="J1326" s="27" t="s">
        <v>78</v>
      </c>
      <c r="K1326" s="27" t="s">
        <v>73</v>
      </c>
      <c r="L1326" s="31" t="s">
        <v>1381</v>
      </c>
      <c r="M1326" s="32">
        <v>0.56999999999999995</v>
      </c>
      <c r="N1326" s="27" t="s">
        <v>33</v>
      </c>
      <c r="O1326" s="27" t="s">
        <v>53</v>
      </c>
      <c r="P1326" s="27" t="s">
        <v>103</v>
      </c>
      <c r="Q1326" s="27" t="s">
        <v>1847</v>
      </c>
      <c r="R1326" s="33">
        <v>61701</v>
      </c>
      <c r="S1326" s="34">
        <v>42125</v>
      </c>
      <c r="T1326" s="34">
        <v>42125</v>
      </c>
      <c r="U1326" s="29">
        <v>-539.59</v>
      </c>
      <c r="V1326" s="26">
        <v>1</v>
      </c>
      <c r="W1326" s="29">
        <v>394.51</v>
      </c>
      <c r="X1326" s="26">
        <v>88929</v>
      </c>
      <c r="Y1326" s="35">
        <v>4.5199999999999996</v>
      </c>
      <c r="Z1326" s="1" t="s">
        <v>3012</v>
      </c>
      <c r="AA1326" s="36">
        <v>29.111600000000003</v>
      </c>
      <c r="AB1326" s="54">
        <v>169.63930000000002</v>
      </c>
      <c r="AC1326" s="54">
        <v>224.87069999999997</v>
      </c>
      <c r="AD1326" s="36">
        <v>893.61840000000007</v>
      </c>
    </row>
    <row r="1327" spans="1:30" s="37" customFormat="1" ht="15.75" customHeight="1" x14ac:dyDescent="0.2">
      <c r="A1327" s="26">
        <v>1271</v>
      </c>
      <c r="B1327" s="27" t="s">
        <v>2111</v>
      </c>
      <c r="C1327" s="27" t="s">
        <v>48</v>
      </c>
      <c r="D1327" s="28">
        <v>0.1</v>
      </c>
      <c r="E1327" s="29">
        <v>34.229999999999997</v>
      </c>
      <c r="F1327" s="29">
        <v>5.0199999999999996</v>
      </c>
      <c r="G1327" s="30" t="s">
        <v>39</v>
      </c>
      <c r="H1327" s="27" t="s">
        <v>94</v>
      </c>
      <c r="I1327" s="27" t="s">
        <v>29</v>
      </c>
      <c r="J1327" s="27" t="s">
        <v>126</v>
      </c>
      <c r="K1327" s="27" t="s">
        <v>73</v>
      </c>
      <c r="L1327" s="31" t="s">
        <v>1318</v>
      </c>
      <c r="M1327" s="32">
        <v>0.55000000000000004</v>
      </c>
      <c r="N1327" s="27" t="s">
        <v>33</v>
      </c>
      <c r="O1327" s="27" t="s">
        <v>60</v>
      </c>
      <c r="P1327" s="27" t="s">
        <v>90</v>
      </c>
      <c r="Q1327" s="27" t="s">
        <v>2112</v>
      </c>
      <c r="R1327" s="33">
        <v>91941</v>
      </c>
      <c r="S1327" s="34">
        <v>42125</v>
      </c>
      <c r="T1327" s="34">
        <v>42130</v>
      </c>
      <c r="U1327" s="29">
        <v>151.56540000000001</v>
      </c>
      <c r="V1327" s="26">
        <v>7</v>
      </c>
      <c r="W1327" s="29">
        <v>219.66</v>
      </c>
      <c r="X1327" s="26">
        <v>88411</v>
      </c>
      <c r="Y1327" s="35">
        <v>4.9200000000000008</v>
      </c>
      <c r="Z1327" s="1" t="s">
        <v>3013</v>
      </c>
      <c r="AA1327" s="36">
        <v>23.960999999999999</v>
      </c>
      <c r="AB1327" s="54">
        <v>98.846999999999994</v>
      </c>
      <c r="AC1327" s="54">
        <v>17.259</v>
      </c>
      <c r="AD1327" s="36">
        <v>39.113599999999991</v>
      </c>
    </row>
    <row r="1328" spans="1:30" s="37" customFormat="1" ht="15.75" customHeight="1" x14ac:dyDescent="0.2">
      <c r="A1328" s="26">
        <v>2394</v>
      </c>
      <c r="B1328" s="27" t="s">
        <v>2361</v>
      </c>
      <c r="C1328" s="27" t="s">
        <v>26</v>
      </c>
      <c r="D1328" s="28">
        <v>0.01</v>
      </c>
      <c r="E1328" s="29">
        <v>11.7</v>
      </c>
      <c r="F1328" s="29">
        <v>5.63</v>
      </c>
      <c r="G1328" s="30" t="s">
        <v>39</v>
      </c>
      <c r="H1328" s="27" t="s">
        <v>94</v>
      </c>
      <c r="I1328" s="27" t="s">
        <v>49</v>
      </c>
      <c r="J1328" s="27" t="s">
        <v>72</v>
      </c>
      <c r="K1328" s="27" t="s">
        <v>73</v>
      </c>
      <c r="L1328" s="31" t="s">
        <v>2362</v>
      </c>
      <c r="M1328" s="32">
        <v>0.4</v>
      </c>
      <c r="N1328" s="27" t="s">
        <v>33</v>
      </c>
      <c r="O1328" s="27" t="s">
        <v>34</v>
      </c>
      <c r="P1328" s="27" t="s">
        <v>75</v>
      </c>
      <c r="Q1328" s="27" t="s">
        <v>2363</v>
      </c>
      <c r="R1328" s="33">
        <v>30328</v>
      </c>
      <c r="S1328" s="34">
        <v>42125</v>
      </c>
      <c r="T1328" s="34">
        <v>42127</v>
      </c>
      <c r="U1328" s="29">
        <v>39.21</v>
      </c>
      <c r="V1328" s="26">
        <v>16</v>
      </c>
      <c r="W1328" s="29">
        <v>196.69</v>
      </c>
      <c r="X1328" s="26">
        <v>86949</v>
      </c>
      <c r="Y1328" s="35">
        <v>6.4700000000000006</v>
      </c>
      <c r="Z1328" s="1" t="s">
        <v>3011</v>
      </c>
      <c r="AA1328" s="36">
        <v>1.8719999999999999</v>
      </c>
      <c r="AB1328" s="54">
        <v>118.014</v>
      </c>
      <c r="AC1328" s="54">
        <v>4.9172500000000001</v>
      </c>
      <c r="AD1328" s="36">
        <v>149.97800000000001</v>
      </c>
    </row>
    <row r="1329" spans="1:30" s="37" customFormat="1" ht="15.75" customHeight="1" x14ac:dyDescent="0.2">
      <c r="A1329" s="26">
        <v>1194</v>
      </c>
      <c r="B1329" s="27" t="s">
        <v>2369</v>
      </c>
      <c r="C1329" s="27" t="s">
        <v>3094</v>
      </c>
      <c r="D1329" s="28">
        <v>0.03</v>
      </c>
      <c r="E1329" s="29">
        <v>5.98</v>
      </c>
      <c r="F1329" s="29">
        <v>1.49</v>
      </c>
      <c r="G1329" s="30" t="s">
        <v>39</v>
      </c>
      <c r="H1329" s="27" t="s">
        <v>3095</v>
      </c>
      <c r="I1329" s="27" t="s">
        <v>49</v>
      </c>
      <c r="J1329" s="27" t="s">
        <v>72</v>
      </c>
      <c r="K1329" s="27" t="s">
        <v>73</v>
      </c>
      <c r="L1329" s="31" t="s">
        <v>1587</v>
      </c>
      <c r="M1329" s="32">
        <v>0.39</v>
      </c>
      <c r="N1329" s="27" t="s">
        <v>33</v>
      </c>
      <c r="O1329" s="27" t="s">
        <v>34</v>
      </c>
      <c r="P1329" s="27" t="s">
        <v>123</v>
      </c>
      <c r="Q1329" s="27" t="s">
        <v>2370</v>
      </c>
      <c r="R1329" s="33">
        <v>34142</v>
      </c>
      <c r="S1329" s="34">
        <v>42125</v>
      </c>
      <c r="T1329" s="34">
        <v>42127</v>
      </c>
      <c r="U1329" s="29">
        <v>20.495999999999999</v>
      </c>
      <c r="V1329" s="26">
        <v>21</v>
      </c>
      <c r="W1329" s="29">
        <v>127.94</v>
      </c>
      <c r="X1329" s="26">
        <v>87586</v>
      </c>
      <c r="Y1329" s="35">
        <v>34.129999999999995</v>
      </c>
      <c r="Z1329" s="1" t="s">
        <v>3011</v>
      </c>
      <c r="AA1329" s="36">
        <v>3.7674000000000003</v>
      </c>
      <c r="AB1329" s="54">
        <v>78.043399999999991</v>
      </c>
      <c r="AC1329" s="54">
        <v>2.3760285714285714</v>
      </c>
      <c r="AD1329" s="36">
        <v>102.1866</v>
      </c>
    </row>
    <row r="1330" spans="1:30" s="37" customFormat="1" ht="15.75" customHeight="1" x14ac:dyDescent="0.2">
      <c r="A1330" s="26">
        <v>2724</v>
      </c>
      <c r="B1330" s="27" t="s">
        <v>2364</v>
      </c>
      <c r="C1330" s="27" t="s">
        <v>26</v>
      </c>
      <c r="D1330" s="28">
        <v>0.01</v>
      </c>
      <c r="E1330" s="29">
        <v>6.48</v>
      </c>
      <c r="F1330" s="29">
        <v>7.37</v>
      </c>
      <c r="G1330" s="30" t="s">
        <v>39</v>
      </c>
      <c r="H1330" s="27" t="s">
        <v>71</v>
      </c>
      <c r="I1330" s="27" t="s">
        <v>49</v>
      </c>
      <c r="J1330" s="27" t="s">
        <v>88</v>
      </c>
      <c r="K1330" s="27" t="s">
        <v>73</v>
      </c>
      <c r="L1330" s="31" t="s">
        <v>1615</v>
      </c>
      <c r="M1330" s="32">
        <v>0.37</v>
      </c>
      <c r="N1330" s="27" t="s">
        <v>33</v>
      </c>
      <c r="O1330" s="27" t="s">
        <v>34</v>
      </c>
      <c r="P1330" s="27" t="s">
        <v>400</v>
      </c>
      <c r="Q1330" s="27" t="s">
        <v>2365</v>
      </c>
      <c r="R1330" s="33">
        <v>37421</v>
      </c>
      <c r="S1330" s="34">
        <v>42125</v>
      </c>
      <c r="T1330" s="34">
        <v>42127</v>
      </c>
      <c r="U1330" s="29">
        <v>-449.69400000000002</v>
      </c>
      <c r="V1330" s="26">
        <v>18</v>
      </c>
      <c r="W1330" s="29">
        <v>122.8</v>
      </c>
      <c r="X1330" s="26">
        <v>88959</v>
      </c>
      <c r="Y1330" s="35">
        <v>2.2000000000000002</v>
      </c>
      <c r="Z1330" s="1" t="s">
        <v>3011</v>
      </c>
      <c r="AA1330" s="36">
        <v>1.1664000000000001</v>
      </c>
      <c r="AB1330" s="54">
        <v>77.364000000000004</v>
      </c>
      <c r="AC1330" s="54">
        <v>2.5242222222222219</v>
      </c>
      <c r="AD1330" s="36">
        <v>563.95759999999996</v>
      </c>
    </row>
    <row r="1331" spans="1:30" s="37" customFormat="1" ht="15.75" customHeight="1" x14ac:dyDescent="0.2">
      <c r="A1331" s="26">
        <v>2724</v>
      </c>
      <c r="B1331" s="27" t="s">
        <v>2364</v>
      </c>
      <c r="C1331" s="27" t="s">
        <v>26</v>
      </c>
      <c r="D1331" s="28">
        <v>0.06</v>
      </c>
      <c r="E1331" s="29">
        <v>4.9800000000000004</v>
      </c>
      <c r="F1331" s="29">
        <v>7.44</v>
      </c>
      <c r="G1331" s="30" t="s">
        <v>39</v>
      </c>
      <c r="H1331" s="27" t="s">
        <v>71</v>
      </c>
      <c r="I1331" s="27" t="s">
        <v>49</v>
      </c>
      <c r="J1331" s="27" t="s">
        <v>88</v>
      </c>
      <c r="K1331" s="27" t="s">
        <v>73</v>
      </c>
      <c r="L1331" s="31" t="s">
        <v>2174</v>
      </c>
      <c r="M1331" s="32">
        <v>0.36</v>
      </c>
      <c r="N1331" s="27" t="s">
        <v>33</v>
      </c>
      <c r="O1331" s="27" t="s">
        <v>34</v>
      </c>
      <c r="P1331" s="27" t="s">
        <v>400</v>
      </c>
      <c r="Q1331" s="27" t="s">
        <v>2365</v>
      </c>
      <c r="R1331" s="33">
        <v>37421</v>
      </c>
      <c r="S1331" s="34">
        <v>42125</v>
      </c>
      <c r="T1331" s="34">
        <v>42126</v>
      </c>
      <c r="U1331" s="29">
        <v>-37.561999999999998</v>
      </c>
      <c r="V1331" s="26">
        <v>10</v>
      </c>
      <c r="W1331" s="29">
        <v>53.21</v>
      </c>
      <c r="X1331" s="26">
        <v>88959</v>
      </c>
      <c r="Y1331" s="35">
        <v>415.81</v>
      </c>
      <c r="Z1331" s="1" t="s">
        <v>3011</v>
      </c>
      <c r="AA1331" s="36">
        <v>2.988</v>
      </c>
      <c r="AB1331" s="54">
        <v>34.054400000000001</v>
      </c>
      <c r="AC1331" s="54">
        <v>1.9155599999999999</v>
      </c>
      <c r="AD1331" s="36">
        <v>80.343999999999994</v>
      </c>
    </row>
    <row r="1332" spans="1:30" s="37" customFormat="1" ht="15.75" customHeight="1" x14ac:dyDescent="0.2">
      <c r="A1332" s="26">
        <v>2394</v>
      </c>
      <c r="B1332" s="27" t="s">
        <v>2361</v>
      </c>
      <c r="C1332" s="27" t="s">
        <v>26</v>
      </c>
      <c r="D1332" s="28">
        <v>0.03</v>
      </c>
      <c r="E1332" s="29">
        <v>4.55</v>
      </c>
      <c r="F1332" s="29">
        <v>1.49</v>
      </c>
      <c r="G1332" s="30" t="s">
        <v>39</v>
      </c>
      <c r="H1332" s="27" t="s">
        <v>94</v>
      </c>
      <c r="I1332" s="27" t="s">
        <v>49</v>
      </c>
      <c r="J1332" s="27" t="s">
        <v>72</v>
      </c>
      <c r="K1332" s="27" t="s">
        <v>73</v>
      </c>
      <c r="L1332" s="31" t="s">
        <v>1503</v>
      </c>
      <c r="M1332" s="32">
        <v>0.35</v>
      </c>
      <c r="N1332" s="27" t="s">
        <v>33</v>
      </c>
      <c r="O1332" s="27" t="s">
        <v>34</v>
      </c>
      <c r="P1332" s="27" t="s">
        <v>75</v>
      </c>
      <c r="Q1332" s="27" t="s">
        <v>2363</v>
      </c>
      <c r="R1332" s="33">
        <v>30328</v>
      </c>
      <c r="S1332" s="34">
        <v>42125</v>
      </c>
      <c r="T1332" s="34">
        <v>42125</v>
      </c>
      <c r="U1332" s="29">
        <v>100.38</v>
      </c>
      <c r="V1332" s="26">
        <v>9</v>
      </c>
      <c r="W1332" s="29">
        <v>40.28</v>
      </c>
      <c r="X1332" s="26">
        <v>86949</v>
      </c>
      <c r="Y1332" s="35">
        <v>5.95</v>
      </c>
      <c r="Z1332" s="1" t="s">
        <v>3011</v>
      </c>
      <c r="AA1332" s="36">
        <v>1.2284999999999999</v>
      </c>
      <c r="AB1332" s="54">
        <v>26.182000000000002</v>
      </c>
      <c r="AC1332" s="54">
        <v>1.5664444444444443</v>
      </c>
      <c r="AD1332" s="36">
        <v>-62.818499999999986</v>
      </c>
    </row>
    <row r="1333" spans="1:30" s="37" customFormat="1" ht="15.75" customHeight="1" x14ac:dyDescent="0.2">
      <c r="A1333" s="26">
        <v>1383</v>
      </c>
      <c r="B1333" s="27" t="s">
        <v>2366</v>
      </c>
      <c r="C1333" s="27" t="s">
        <v>116</v>
      </c>
      <c r="D1333" s="28">
        <v>0.03</v>
      </c>
      <c r="E1333" s="29">
        <v>2.23</v>
      </c>
      <c r="F1333" s="29">
        <v>4.57</v>
      </c>
      <c r="G1333" s="30" t="s">
        <v>39</v>
      </c>
      <c r="H1333" s="27" t="s">
        <v>40</v>
      </c>
      <c r="I1333" s="27" t="s">
        <v>29</v>
      </c>
      <c r="J1333" s="27" t="s">
        <v>126</v>
      </c>
      <c r="K1333" s="27" t="s">
        <v>43</v>
      </c>
      <c r="L1333" s="31" t="s">
        <v>2367</v>
      </c>
      <c r="M1333" s="32">
        <v>0.41</v>
      </c>
      <c r="N1333" s="27" t="s">
        <v>33</v>
      </c>
      <c r="O1333" s="27" t="s">
        <v>60</v>
      </c>
      <c r="P1333" s="27" t="s">
        <v>146</v>
      </c>
      <c r="Q1333" s="27" t="s">
        <v>1232</v>
      </c>
      <c r="R1333" s="33">
        <v>84120</v>
      </c>
      <c r="S1333" s="34">
        <v>42125</v>
      </c>
      <c r="T1333" s="34">
        <v>42126</v>
      </c>
      <c r="U1333" s="29">
        <v>-93.25</v>
      </c>
      <c r="V1333" s="26">
        <v>12</v>
      </c>
      <c r="W1333" s="29">
        <v>28.66</v>
      </c>
      <c r="X1333" s="26">
        <v>89406</v>
      </c>
      <c r="Y1333" s="35">
        <v>5.95</v>
      </c>
      <c r="Z1333" s="1" t="s">
        <v>3013</v>
      </c>
      <c r="AA1333" s="36">
        <v>0.80279999999999996</v>
      </c>
      <c r="AB1333" s="54">
        <v>16.909400000000002</v>
      </c>
      <c r="AC1333" s="54">
        <v>0.97921666666666651</v>
      </c>
      <c r="AD1333" s="36">
        <v>116.5372</v>
      </c>
    </row>
    <row r="1334" spans="1:30" s="37" customFormat="1" ht="15.75" customHeight="1" x14ac:dyDescent="0.2">
      <c r="A1334" s="26">
        <v>3139</v>
      </c>
      <c r="B1334" s="27" t="s">
        <v>2371</v>
      </c>
      <c r="C1334" s="27" t="s">
        <v>26</v>
      </c>
      <c r="D1334" s="28">
        <v>0.09</v>
      </c>
      <c r="E1334" s="29">
        <v>280.98</v>
      </c>
      <c r="F1334" s="29">
        <v>57</v>
      </c>
      <c r="G1334" s="30" t="s">
        <v>27</v>
      </c>
      <c r="H1334" s="27" t="s">
        <v>71</v>
      </c>
      <c r="I1334" s="27" t="s">
        <v>29</v>
      </c>
      <c r="J1334" s="27" t="s">
        <v>109</v>
      </c>
      <c r="K1334" s="27" t="s">
        <v>58</v>
      </c>
      <c r="L1334" s="31" t="s">
        <v>862</v>
      </c>
      <c r="M1334" s="32">
        <v>0.78</v>
      </c>
      <c r="N1334" s="27" t="s">
        <v>33</v>
      </c>
      <c r="O1334" s="27" t="s">
        <v>111</v>
      </c>
      <c r="P1334" s="27" t="s">
        <v>397</v>
      </c>
      <c r="Q1334" s="27" t="s">
        <v>2372</v>
      </c>
      <c r="R1334" s="33">
        <v>7016</v>
      </c>
      <c r="S1334" s="34">
        <v>42126</v>
      </c>
      <c r="T1334" s="34">
        <v>42129</v>
      </c>
      <c r="U1334" s="29">
        <v>252.488</v>
      </c>
      <c r="V1334" s="26">
        <v>31</v>
      </c>
      <c r="W1334" s="29">
        <v>7974.21</v>
      </c>
      <c r="X1334" s="26">
        <v>86793</v>
      </c>
      <c r="Y1334" s="35">
        <v>280.89000000000004</v>
      </c>
      <c r="Z1334" s="1" t="s">
        <v>3014</v>
      </c>
      <c r="AA1334" s="36">
        <v>783.93420000000003</v>
      </c>
      <c r="AB1334" s="54">
        <v>1754.3261999999997</v>
      </c>
      <c r="AC1334" s="54">
        <v>200.64141290322581</v>
      </c>
      <c r="AD1334" s="36">
        <v>6880.7878000000001</v>
      </c>
    </row>
    <row r="1335" spans="1:30" s="37" customFormat="1" ht="15.75" customHeight="1" x14ac:dyDescent="0.2">
      <c r="A1335" s="26">
        <v>2578</v>
      </c>
      <c r="B1335" s="27" t="s">
        <v>2378</v>
      </c>
      <c r="C1335" s="27" t="s">
        <v>48</v>
      </c>
      <c r="D1335" s="28">
        <v>0.08</v>
      </c>
      <c r="E1335" s="29">
        <v>105.49</v>
      </c>
      <c r="F1335" s="29">
        <v>41.64</v>
      </c>
      <c r="G1335" s="30" t="s">
        <v>27</v>
      </c>
      <c r="H1335" s="27" t="s">
        <v>71</v>
      </c>
      <c r="I1335" s="27" t="s">
        <v>29</v>
      </c>
      <c r="J1335" s="27" t="s">
        <v>30</v>
      </c>
      <c r="K1335" s="27" t="s">
        <v>31</v>
      </c>
      <c r="L1335" s="31" t="s">
        <v>2380</v>
      </c>
      <c r="M1335" s="32">
        <v>0.75</v>
      </c>
      <c r="N1335" s="27" t="s">
        <v>33</v>
      </c>
      <c r="O1335" s="27" t="s">
        <v>34</v>
      </c>
      <c r="P1335" s="27" t="s">
        <v>164</v>
      </c>
      <c r="Q1335" s="27" t="s">
        <v>2379</v>
      </c>
      <c r="R1335" s="33">
        <v>36801</v>
      </c>
      <c r="S1335" s="34">
        <v>42126</v>
      </c>
      <c r="T1335" s="34">
        <v>42133</v>
      </c>
      <c r="U1335" s="29">
        <v>-36.945999999999998</v>
      </c>
      <c r="V1335" s="26">
        <v>34</v>
      </c>
      <c r="W1335" s="29">
        <v>2694.49</v>
      </c>
      <c r="X1335" s="26">
        <v>88298</v>
      </c>
      <c r="Y1335" s="35">
        <v>30.89</v>
      </c>
      <c r="Z1335" s="1" t="s">
        <v>3011</v>
      </c>
      <c r="AA1335" s="36">
        <v>286.93279999999999</v>
      </c>
      <c r="AB1335" s="54">
        <v>673.62249999999995</v>
      </c>
      <c r="AC1335" s="54">
        <v>59.437279411764706</v>
      </c>
      <c r="AD1335" s="36">
        <v>2402.8631999999998</v>
      </c>
    </row>
    <row r="1336" spans="1:30" s="37" customFormat="1" ht="15.75" customHeight="1" x14ac:dyDescent="0.2">
      <c r="A1336" s="26">
        <v>3367</v>
      </c>
      <c r="B1336" s="27" t="s">
        <v>2373</v>
      </c>
      <c r="C1336" s="27" t="s">
        <v>26</v>
      </c>
      <c r="D1336" s="28">
        <v>0.08</v>
      </c>
      <c r="E1336" s="29">
        <v>30.97</v>
      </c>
      <c r="F1336" s="29">
        <v>4</v>
      </c>
      <c r="G1336" s="30" t="s">
        <v>39</v>
      </c>
      <c r="H1336" s="27" t="s">
        <v>71</v>
      </c>
      <c r="I1336" s="27" t="s">
        <v>41</v>
      </c>
      <c r="J1336" s="27" t="s">
        <v>42</v>
      </c>
      <c r="K1336" s="27" t="s">
        <v>73</v>
      </c>
      <c r="L1336" s="31" t="s">
        <v>2162</v>
      </c>
      <c r="M1336" s="32">
        <v>0.74</v>
      </c>
      <c r="N1336" s="27" t="s">
        <v>33</v>
      </c>
      <c r="O1336" s="27" t="s">
        <v>111</v>
      </c>
      <c r="P1336" s="27" t="s">
        <v>317</v>
      </c>
      <c r="Q1336" s="27" t="s">
        <v>2374</v>
      </c>
      <c r="R1336" s="33">
        <v>43221</v>
      </c>
      <c r="S1336" s="34">
        <v>42126</v>
      </c>
      <c r="T1336" s="34">
        <v>42127</v>
      </c>
      <c r="U1336" s="29">
        <v>10.68</v>
      </c>
      <c r="V1336" s="26">
        <v>26</v>
      </c>
      <c r="W1336" s="29">
        <v>758.97</v>
      </c>
      <c r="X1336" s="26">
        <v>90502</v>
      </c>
      <c r="Y1336" s="35">
        <v>4.03</v>
      </c>
      <c r="Z1336" s="1" t="s">
        <v>3014</v>
      </c>
      <c r="AA1336" s="36">
        <v>64.417599999999993</v>
      </c>
      <c r="AB1336" s="54">
        <v>197.3322</v>
      </c>
      <c r="AC1336" s="54">
        <v>21.601453846153845</v>
      </c>
      <c r="AD1336" s="36">
        <v>679.87239999999997</v>
      </c>
    </row>
    <row r="1337" spans="1:30" s="37" customFormat="1" ht="15.75" customHeight="1" x14ac:dyDescent="0.2">
      <c r="A1337" s="26">
        <v>408</v>
      </c>
      <c r="B1337" s="27" t="s">
        <v>2376</v>
      </c>
      <c r="C1337" s="27" t="s">
        <v>48</v>
      </c>
      <c r="D1337" s="28">
        <v>7.0000000000000007E-2</v>
      </c>
      <c r="E1337" s="29">
        <v>29.17</v>
      </c>
      <c r="F1337" s="29">
        <v>6.27</v>
      </c>
      <c r="G1337" s="30" t="s">
        <v>39</v>
      </c>
      <c r="H1337" s="27" t="s">
        <v>94</v>
      </c>
      <c r="I1337" s="27" t="s">
        <v>49</v>
      </c>
      <c r="J1337" s="27" t="s">
        <v>72</v>
      </c>
      <c r="K1337" s="27" t="s">
        <v>73</v>
      </c>
      <c r="L1337" s="31" t="s">
        <v>74</v>
      </c>
      <c r="M1337" s="32">
        <v>0.37</v>
      </c>
      <c r="N1337" s="27" t="s">
        <v>33</v>
      </c>
      <c r="O1337" s="27" t="s">
        <v>53</v>
      </c>
      <c r="P1337" s="27" t="s">
        <v>187</v>
      </c>
      <c r="Q1337" s="27" t="s">
        <v>2377</v>
      </c>
      <c r="R1337" s="33">
        <v>78589</v>
      </c>
      <c r="S1337" s="34">
        <v>42126</v>
      </c>
      <c r="T1337" s="34">
        <v>42130</v>
      </c>
      <c r="U1337" s="29">
        <v>236.2371</v>
      </c>
      <c r="V1337" s="26">
        <v>14</v>
      </c>
      <c r="W1337" s="29">
        <v>400.47</v>
      </c>
      <c r="X1337" s="26">
        <v>89639</v>
      </c>
      <c r="Y1337" s="35">
        <v>29.1</v>
      </c>
      <c r="Z1337" s="1" t="s">
        <v>3012</v>
      </c>
      <c r="AA1337" s="36">
        <v>28.586600000000008</v>
      </c>
      <c r="AB1337" s="54">
        <v>252.29610000000002</v>
      </c>
      <c r="AC1337" s="54">
        <v>10.58385</v>
      </c>
      <c r="AD1337" s="36">
        <v>129.37630000000001</v>
      </c>
    </row>
    <row r="1338" spans="1:30" s="37" customFormat="1" ht="15.75" customHeight="1" x14ac:dyDescent="0.2">
      <c r="A1338" s="26">
        <v>2426</v>
      </c>
      <c r="B1338" s="27" t="s">
        <v>1650</v>
      </c>
      <c r="C1338" s="27" t="s">
        <v>48</v>
      </c>
      <c r="D1338" s="28">
        <v>0.08</v>
      </c>
      <c r="E1338" s="29">
        <v>4.4800000000000004</v>
      </c>
      <c r="F1338" s="29">
        <v>49</v>
      </c>
      <c r="G1338" s="30" t="s">
        <v>39</v>
      </c>
      <c r="H1338" s="27" t="s">
        <v>3095</v>
      </c>
      <c r="I1338" s="27" t="s">
        <v>49</v>
      </c>
      <c r="J1338" s="27" t="s">
        <v>95</v>
      </c>
      <c r="K1338" s="27" t="s">
        <v>65</v>
      </c>
      <c r="L1338" s="31" t="s">
        <v>468</v>
      </c>
      <c r="M1338" s="32">
        <v>0.6</v>
      </c>
      <c r="N1338" s="27" t="s">
        <v>33</v>
      </c>
      <c r="O1338" s="27" t="s">
        <v>53</v>
      </c>
      <c r="P1338" s="27" t="s">
        <v>187</v>
      </c>
      <c r="Q1338" s="27" t="s">
        <v>1652</v>
      </c>
      <c r="R1338" s="33">
        <v>75061</v>
      </c>
      <c r="S1338" s="34">
        <v>42126</v>
      </c>
      <c r="T1338" s="34">
        <v>42126</v>
      </c>
      <c r="U1338" s="29">
        <v>139.58009999999999</v>
      </c>
      <c r="V1338" s="26">
        <v>37</v>
      </c>
      <c r="W1338" s="29">
        <v>202.29</v>
      </c>
      <c r="X1338" s="26">
        <v>90861</v>
      </c>
      <c r="Y1338" s="35">
        <v>4.4000000000000004</v>
      </c>
      <c r="Z1338" s="1" t="s">
        <v>3012</v>
      </c>
      <c r="AA1338" s="36">
        <v>13.260800000000001</v>
      </c>
      <c r="AB1338" s="54">
        <v>80.915999999999997</v>
      </c>
      <c r="AC1338" s="54">
        <v>3.2803783783783782</v>
      </c>
      <c r="AD1338" s="36">
        <v>0.4491000000000156</v>
      </c>
    </row>
    <row r="1339" spans="1:30" s="37" customFormat="1" ht="15.75" customHeight="1" x14ac:dyDescent="0.2">
      <c r="A1339" s="26">
        <v>2426</v>
      </c>
      <c r="B1339" s="27" t="s">
        <v>1650</v>
      </c>
      <c r="C1339" s="27" t="s">
        <v>48</v>
      </c>
      <c r="D1339" s="28">
        <v>0</v>
      </c>
      <c r="E1339" s="29">
        <v>17.670000000000002</v>
      </c>
      <c r="F1339" s="29">
        <v>8.99</v>
      </c>
      <c r="G1339" s="30" t="s">
        <v>39</v>
      </c>
      <c r="H1339" s="27" t="s">
        <v>3095</v>
      </c>
      <c r="I1339" s="27" t="s">
        <v>29</v>
      </c>
      <c r="J1339" s="27" t="s">
        <v>126</v>
      </c>
      <c r="K1339" s="27" t="s">
        <v>43</v>
      </c>
      <c r="L1339" s="31" t="s">
        <v>2056</v>
      </c>
      <c r="M1339" s="32">
        <v>0.47</v>
      </c>
      <c r="N1339" s="27" t="s">
        <v>33</v>
      </c>
      <c r="O1339" s="27" t="s">
        <v>53</v>
      </c>
      <c r="P1339" s="27" t="s">
        <v>187</v>
      </c>
      <c r="Q1339" s="27" t="s">
        <v>1652</v>
      </c>
      <c r="R1339" s="33">
        <v>75061</v>
      </c>
      <c r="S1339" s="34">
        <v>42126</v>
      </c>
      <c r="T1339" s="34">
        <v>42133</v>
      </c>
      <c r="U1339" s="29">
        <v>109.67</v>
      </c>
      <c r="V1339" s="26">
        <v>9</v>
      </c>
      <c r="W1339" s="29">
        <v>168.71</v>
      </c>
      <c r="X1339" s="26">
        <v>90861</v>
      </c>
      <c r="Y1339" s="35">
        <v>17.670000000000002</v>
      </c>
      <c r="Z1339" s="1" t="s">
        <v>3012</v>
      </c>
      <c r="AA1339" s="36">
        <v>0</v>
      </c>
      <c r="AB1339" s="54">
        <v>89.416300000000007</v>
      </c>
      <c r="AC1339" s="54">
        <v>8.8104111111111099</v>
      </c>
      <c r="AD1339" s="36">
        <v>50.050000000000011</v>
      </c>
    </row>
    <row r="1340" spans="1:30" s="37" customFormat="1" ht="15.75" customHeight="1" x14ac:dyDescent="0.2">
      <c r="A1340" s="26">
        <v>2578</v>
      </c>
      <c r="B1340" s="27" t="s">
        <v>2378</v>
      </c>
      <c r="C1340" s="27" t="s">
        <v>48</v>
      </c>
      <c r="D1340" s="28">
        <v>0.01</v>
      </c>
      <c r="E1340" s="29">
        <v>3.58</v>
      </c>
      <c r="F1340" s="29">
        <v>1.63</v>
      </c>
      <c r="G1340" s="30" t="s">
        <v>39</v>
      </c>
      <c r="H1340" s="27" t="s">
        <v>71</v>
      </c>
      <c r="I1340" s="27" t="s">
        <v>49</v>
      </c>
      <c r="J1340" s="27" t="s">
        <v>176</v>
      </c>
      <c r="K1340" s="27" t="s">
        <v>51</v>
      </c>
      <c r="L1340" s="31" t="s">
        <v>2221</v>
      </c>
      <c r="M1340" s="32">
        <v>0.36</v>
      </c>
      <c r="N1340" s="27" t="s">
        <v>33</v>
      </c>
      <c r="O1340" s="27" t="s">
        <v>34</v>
      </c>
      <c r="P1340" s="27" t="s">
        <v>164</v>
      </c>
      <c r="Q1340" s="27" t="s">
        <v>2379</v>
      </c>
      <c r="R1340" s="33">
        <v>36801</v>
      </c>
      <c r="S1340" s="34">
        <v>42126</v>
      </c>
      <c r="T1340" s="34">
        <v>42130</v>
      </c>
      <c r="U1340" s="29">
        <v>-128.85599999999999</v>
      </c>
      <c r="V1340" s="26">
        <v>26</v>
      </c>
      <c r="W1340" s="29">
        <v>93.57</v>
      </c>
      <c r="X1340" s="26">
        <v>88298</v>
      </c>
      <c r="Y1340" s="35">
        <v>8.56</v>
      </c>
      <c r="Z1340" s="1" t="s">
        <v>3011</v>
      </c>
      <c r="AA1340" s="36">
        <v>0.93079999999999996</v>
      </c>
      <c r="AB1340" s="54">
        <v>59.884799999999998</v>
      </c>
      <c r="AC1340" s="54">
        <v>1.2955846153846153</v>
      </c>
      <c r="AD1340" s="36">
        <v>219.86519999999999</v>
      </c>
    </row>
    <row r="1341" spans="1:30" s="37" customFormat="1" ht="15.75" customHeight="1" x14ac:dyDescent="0.2">
      <c r="A1341" s="26">
        <v>3367</v>
      </c>
      <c r="B1341" s="27" t="s">
        <v>2373</v>
      </c>
      <c r="C1341" s="27" t="s">
        <v>26</v>
      </c>
      <c r="D1341" s="28">
        <v>0.1</v>
      </c>
      <c r="E1341" s="29">
        <v>4.13</v>
      </c>
      <c r="F1341" s="29">
        <v>0.5</v>
      </c>
      <c r="G1341" s="30" t="s">
        <v>87</v>
      </c>
      <c r="H1341" s="27" t="s">
        <v>71</v>
      </c>
      <c r="I1341" s="27" t="s">
        <v>49</v>
      </c>
      <c r="J1341" s="27" t="s">
        <v>152</v>
      </c>
      <c r="K1341" s="27" t="s">
        <v>73</v>
      </c>
      <c r="L1341" s="31" t="s">
        <v>2375</v>
      </c>
      <c r="M1341" s="32">
        <v>0.39</v>
      </c>
      <c r="N1341" s="27" t="s">
        <v>33</v>
      </c>
      <c r="O1341" s="27" t="s">
        <v>111</v>
      </c>
      <c r="P1341" s="27" t="s">
        <v>317</v>
      </c>
      <c r="Q1341" s="27" t="s">
        <v>2374</v>
      </c>
      <c r="R1341" s="33">
        <v>43221</v>
      </c>
      <c r="S1341" s="34">
        <v>42126</v>
      </c>
      <c r="T1341" s="34">
        <v>42128</v>
      </c>
      <c r="U1341" s="29">
        <v>58.263599999999997</v>
      </c>
      <c r="V1341" s="26">
        <v>18</v>
      </c>
      <c r="W1341" s="29">
        <v>84.44</v>
      </c>
      <c r="X1341" s="26">
        <v>90502</v>
      </c>
      <c r="Y1341" s="35">
        <v>3.5700000000000003</v>
      </c>
      <c r="Z1341" s="1" t="s">
        <v>3014</v>
      </c>
      <c r="AA1341" s="36">
        <v>7.4340000000000011</v>
      </c>
      <c r="AB1341" s="54">
        <v>51.508399999999995</v>
      </c>
      <c r="AC1341" s="54">
        <v>1.8295333333333332</v>
      </c>
      <c r="AD1341" s="36">
        <v>18.242400000000004</v>
      </c>
    </row>
    <row r="1342" spans="1:30" s="37" customFormat="1" ht="15.75" customHeight="1" x14ac:dyDescent="0.2">
      <c r="A1342" s="26">
        <v>27</v>
      </c>
      <c r="B1342" s="27" t="s">
        <v>2383</v>
      </c>
      <c r="C1342" s="27" t="s">
        <v>3094</v>
      </c>
      <c r="D1342" s="28">
        <v>0.04</v>
      </c>
      <c r="E1342" s="29">
        <v>4.1399999999999997</v>
      </c>
      <c r="F1342" s="29">
        <v>6.6</v>
      </c>
      <c r="G1342" s="30" t="s">
        <v>39</v>
      </c>
      <c r="H1342" s="27" t="s">
        <v>94</v>
      </c>
      <c r="I1342" s="27" t="s">
        <v>29</v>
      </c>
      <c r="J1342" s="27" t="s">
        <v>126</v>
      </c>
      <c r="K1342" s="27" t="s">
        <v>73</v>
      </c>
      <c r="L1342" s="31" t="s">
        <v>412</v>
      </c>
      <c r="M1342" s="32">
        <v>0.49</v>
      </c>
      <c r="N1342" s="27" t="s">
        <v>33</v>
      </c>
      <c r="O1342" s="27" t="s">
        <v>60</v>
      </c>
      <c r="P1342" s="27" t="s">
        <v>90</v>
      </c>
      <c r="Q1342" s="27" t="s">
        <v>1963</v>
      </c>
      <c r="R1342" s="33">
        <v>90712</v>
      </c>
      <c r="S1342" s="34">
        <v>42126</v>
      </c>
      <c r="T1342" s="34">
        <v>42128</v>
      </c>
      <c r="U1342" s="29">
        <v>8.8940000000000001</v>
      </c>
      <c r="V1342" s="26">
        <v>12</v>
      </c>
      <c r="W1342" s="29">
        <v>54.78</v>
      </c>
      <c r="X1342" s="26">
        <v>87652</v>
      </c>
      <c r="Y1342" s="35">
        <v>105.41</v>
      </c>
      <c r="Z1342" s="1" t="s">
        <v>3013</v>
      </c>
      <c r="AA1342" s="36">
        <v>1.9872000000000001</v>
      </c>
      <c r="AB1342" s="54">
        <v>27.937799999999999</v>
      </c>
      <c r="AC1342" s="54">
        <v>2.23685</v>
      </c>
      <c r="AD1342" s="36">
        <v>37.2988</v>
      </c>
    </row>
    <row r="1343" spans="1:30" s="37" customFormat="1" ht="15.75" customHeight="1" x14ac:dyDescent="0.2">
      <c r="A1343" s="26">
        <v>2531</v>
      </c>
      <c r="B1343" s="27" t="s">
        <v>2381</v>
      </c>
      <c r="C1343" s="27" t="s">
        <v>116</v>
      </c>
      <c r="D1343" s="28">
        <v>0.08</v>
      </c>
      <c r="E1343" s="29">
        <v>4</v>
      </c>
      <c r="F1343" s="29">
        <v>1.3</v>
      </c>
      <c r="G1343" s="30" t="s">
        <v>39</v>
      </c>
      <c r="H1343" s="27" t="s">
        <v>3095</v>
      </c>
      <c r="I1343" s="27" t="s">
        <v>49</v>
      </c>
      <c r="J1343" s="27" t="s">
        <v>88</v>
      </c>
      <c r="K1343" s="27" t="s">
        <v>51</v>
      </c>
      <c r="L1343" s="31" t="s">
        <v>371</v>
      </c>
      <c r="M1343" s="32">
        <v>0.37</v>
      </c>
      <c r="N1343" s="27" t="s">
        <v>33</v>
      </c>
      <c r="O1343" s="27" t="s">
        <v>60</v>
      </c>
      <c r="P1343" s="27" t="s">
        <v>90</v>
      </c>
      <c r="Q1343" s="27" t="s">
        <v>2382</v>
      </c>
      <c r="R1343" s="33">
        <v>93422</v>
      </c>
      <c r="S1343" s="34">
        <v>42126</v>
      </c>
      <c r="T1343" s="34">
        <v>42128</v>
      </c>
      <c r="U1343" s="29">
        <v>28.4</v>
      </c>
      <c r="V1343" s="26">
        <v>14</v>
      </c>
      <c r="W1343" s="29">
        <v>51.99</v>
      </c>
      <c r="X1343" s="26">
        <v>87452</v>
      </c>
      <c r="Y1343" s="35">
        <v>3.92</v>
      </c>
      <c r="Z1343" s="1" t="s">
        <v>3013</v>
      </c>
      <c r="AA1343" s="36">
        <v>4.4800000000000004</v>
      </c>
      <c r="AB1343" s="54">
        <v>32.753700000000002</v>
      </c>
      <c r="AC1343" s="54">
        <v>1.3740214285714285</v>
      </c>
      <c r="AD1343" s="36">
        <v>17.810000000000002</v>
      </c>
    </row>
    <row r="1344" spans="1:30" s="37" customFormat="1" ht="15.75" customHeight="1" x14ac:dyDescent="0.2">
      <c r="A1344" s="26">
        <v>2578</v>
      </c>
      <c r="B1344" s="27" t="s">
        <v>2378</v>
      </c>
      <c r="C1344" s="27" t="s">
        <v>48</v>
      </c>
      <c r="D1344" s="28">
        <v>0.04</v>
      </c>
      <c r="E1344" s="29">
        <v>8.6</v>
      </c>
      <c r="F1344" s="29">
        <v>6.19</v>
      </c>
      <c r="G1344" s="30" t="s">
        <v>39</v>
      </c>
      <c r="H1344" s="27" t="s">
        <v>71</v>
      </c>
      <c r="I1344" s="27" t="s">
        <v>49</v>
      </c>
      <c r="J1344" s="27" t="s">
        <v>72</v>
      </c>
      <c r="K1344" s="27" t="s">
        <v>73</v>
      </c>
      <c r="L1344" s="31" t="s">
        <v>532</v>
      </c>
      <c r="M1344" s="32">
        <v>0.38</v>
      </c>
      <c r="N1344" s="27" t="s">
        <v>33</v>
      </c>
      <c r="O1344" s="27" t="s">
        <v>34</v>
      </c>
      <c r="P1344" s="27" t="s">
        <v>164</v>
      </c>
      <c r="Q1344" s="27" t="s">
        <v>2379</v>
      </c>
      <c r="R1344" s="33">
        <v>36801</v>
      </c>
      <c r="S1344" s="34">
        <v>42126</v>
      </c>
      <c r="T1344" s="34">
        <v>42128</v>
      </c>
      <c r="U1344" s="29">
        <v>309.71159999999998</v>
      </c>
      <c r="V1344" s="26">
        <v>5</v>
      </c>
      <c r="W1344" s="29">
        <v>46.85</v>
      </c>
      <c r="X1344" s="26">
        <v>88298</v>
      </c>
      <c r="Y1344" s="35">
        <v>4.0999999999999996</v>
      </c>
      <c r="Z1344" s="1" t="s">
        <v>3011</v>
      </c>
      <c r="AA1344" s="36">
        <v>1.7199999999999998</v>
      </c>
      <c r="AB1344" s="54">
        <v>29.047000000000001</v>
      </c>
      <c r="AC1344" s="54">
        <v>3.5606000000000004</v>
      </c>
      <c r="AD1344" s="36">
        <v>-270.77159999999998</v>
      </c>
    </row>
    <row r="1345" spans="1:30" s="37" customFormat="1" ht="15.75" customHeight="1" x14ac:dyDescent="0.2">
      <c r="A1345" s="26">
        <v>94</v>
      </c>
      <c r="B1345" s="27" t="s">
        <v>2390</v>
      </c>
      <c r="C1345" s="27" t="s">
        <v>3094</v>
      </c>
      <c r="D1345" s="28">
        <v>0.04</v>
      </c>
      <c r="E1345" s="29">
        <v>160.97999999999999</v>
      </c>
      <c r="F1345" s="29">
        <v>30</v>
      </c>
      <c r="G1345" s="30" t="s">
        <v>27</v>
      </c>
      <c r="H1345" s="27" t="s">
        <v>71</v>
      </c>
      <c r="I1345" s="27" t="s">
        <v>29</v>
      </c>
      <c r="J1345" s="27" t="s">
        <v>109</v>
      </c>
      <c r="K1345" s="27" t="s">
        <v>58</v>
      </c>
      <c r="L1345" s="31" t="s">
        <v>892</v>
      </c>
      <c r="M1345" s="32">
        <v>0.62</v>
      </c>
      <c r="N1345" s="27" t="s">
        <v>33</v>
      </c>
      <c r="O1345" s="27" t="s">
        <v>53</v>
      </c>
      <c r="P1345" s="27" t="s">
        <v>103</v>
      </c>
      <c r="Q1345" s="27" t="s">
        <v>533</v>
      </c>
      <c r="R1345" s="33">
        <v>60601</v>
      </c>
      <c r="S1345" s="34">
        <v>42127</v>
      </c>
      <c r="T1345" s="34">
        <v>42129</v>
      </c>
      <c r="U1345" s="29">
        <v>116.1</v>
      </c>
      <c r="V1345" s="26">
        <v>37</v>
      </c>
      <c r="W1345" s="29">
        <v>6276.34</v>
      </c>
      <c r="X1345" s="26">
        <v>44231</v>
      </c>
      <c r="Y1345" s="35">
        <v>2.61</v>
      </c>
      <c r="Z1345" s="1" t="s">
        <v>3012</v>
      </c>
      <c r="AA1345" s="36">
        <v>238.25039999999998</v>
      </c>
      <c r="AB1345" s="54">
        <v>2385.0092</v>
      </c>
      <c r="AC1345" s="54">
        <v>105.17110270270271</v>
      </c>
      <c r="AD1345" s="36">
        <v>5891.9895999999999</v>
      </c>
    </row>
    <row r="1346" spans="1:30" s="37" customFormat="1" ht="15.75" customHeight="1" x14ac:dyDescent="0.2">
      <c r="A1346" s="26">
        <v>2157</v>
      </c>
      <c r="B1346" s="27" t="s">
        <v>1681</v>
      </c>
      <c r="C1346" s="27" t="s">
        <v>38</v>
      </c>
      <c r="D1346" s="28">
        <v>0.05</v>
      </c>
      <c r="E1346" s="29">
        <v>297.48</v>
      </c>
      <c r="F1346" s="29">
        <v>18.059999999999999</v>
      </c>
      <c r="G1346" s="30" t="s">
        <v>27</v>
      </c>
      <c r="H1346" s="27" t="s">
        <v>71</v>
      </c>
      <c r="I1346" s="27" t="s">
        <v>41</v>
      </c>
      <c r="J1346" s="27" t="s">
        <v>57</v>
      </c>
      <c r="K1346" s="27" t="s">
        <v>58</v>
      </c>
      <c r="L1346" s="31" t="s">
        <v>387</v>
      </c>
      <c r="M1346" s="32">
        <v>0.6</v>
      </c>
      <c r="N1346" s="27" t="s">
        <v>33</v>
      </c>
      <c r="O1346" s="27" t="s">
        <v>53</v>
      </c>
      <c r="P1346" s="27" t="s">
        <v>289</v>
      </c>
      <c r="Q1346" s="27" t="s">
        <v>1683</v>
      </c>
      <c r="R1346" s="33">
        <v>48093</v>
      </c>
      <c r="S1346" s="34">
        <v>42127</v>
      </c>
      <c r="T1346" s="34">
        <v>42128</v>
      </c>
      <c r="U1346" s="29">
        <v>709.85199999999998</v>
      </c>
      <c r="V1346" s="26">
        <v>14</v>
      </c>
      <c r="W1346" s="29">
        <v>4075.18</v>
      </c>
      <c r="X1346" s="26">
        <v>90386</v>
      </c>
      <c r="Y1346" s="35">
        <v>25.34</v>
      </c>
      <c r="Z1346" s="1" t="s">
        <v>3012</v>
      </c>
      <c r="AA1346" s="36">
        <v>208.23600000000005</v>
      </c>
      <c r="AB1346" s="54">
        <v>1630.0720000000001</v>
      </c>
      <c r="AC1346" s="54">
        <v>174.65057142857142</v>
      </c>
      <c r="AD1346" s="36">
        <v>3139.0320000000002</v>
      </c>
    </row>
    <row r="1347" spans="1:30" s="37" customFormat="1" ht="15.75" customHeight="1" x14ac:dyDescent="0.2">
      <c r="A1347" s="26">
        <v>94</v>
      </c>
      <c r="B1347" s="27" t="s">
        <v>2390</v>
      </c>
      <c r="C1347" s="27" t="s">
        <v>3094</v>
      </c>
      <c r="D1347" s="28">
        <v>0.01</v>
      </c>
      <c r="E1347" s="29">
        <v>17.98</v>
      </c>
      <c r="F1347" s="29">
        <v>4</v>
      </c>
      <c r="G1347" s="30" t="s">
        <v>39</v>
      </c>
      <c r="H1347" s="27" t="s">
        <v>71</v>
      </c>
      <c r="I1347" s="27" t="s">
        <v>41</v>
      </c>
      <c r="J1347" s="27" t="s">
        <v>42</v>
      </c>
      <c r="K1347" s="27" t="s">
        <v>73</v>
      </c>
      <c r="L1347" s="31" t="s">
        <v>1657</v>
      </c>
      <c r="M1347" s="32">
        <v>0.79</v>
      </c>
      <c r="N1347" s="27" t="s">
        <v>33</v>
      </c>
      <c r="O1347" s="27" t="s">
        <v>53</v>
      </c>
      <c r="P1347" s="27" t="s">
        <v>103</v>
      </c>
      <c r="Q1347" s="27" t="s">
        <v>533</v>
      </c>
      <c r="R1347" s="33">
        <v>60601</v>
      </c>
      <c r="S1347" s="34">
        <v>42127</v>
      </c>
      <c r="T1347" s="34">
        <v>42129</v>
      </c>
      <c r="U1347" s="29">
        <v>-87.96</v>
      </c>
      <c r="V1347" s="26">
        <v>146</v>
      </c>
      <c r="W1347" s="29">
        <v>2664.4</v>
      </c>
      <c r="X1347" s="26">
        <v>44231</v>
      </c>
      <c r="Y1347" s="35">
        <v>30.86</v>
      </c>
      <c r="Z1347" s="1" t="s">
        <v>3012</v>
      </c>
      <c r="AA1347" s="36">
        <v>26.250800000000002</v>
      </c>
      <c r="AB1347" s="54">
        <v>559.52399999999989</v>
      </c>
      <c r="AC1347" s="54">
        <v>14.41695890410959</v>
      </c>
      <c r="AD1347" s="36">
        <v>2722.1091999999999</v>
      </c>
    </row>
    <row r="1348" spans="1:30" s="37" customFormat="1" ht="15.75" customHeight="1" x14ac:dyDescent="0.2">
      <c r="A1348" s="26">
        <v>97</v>
      </c>
      <c r="B1348" s="27" t="s">
        <v>2391</v>
      </c>
      <c r="C1348" s="27" t="s">
        <v>3094</v>
      </c>
      <c r="D1348" s="28">
        <v>0.06</v>
      </c>
      <c r="E1348" s="29">
        <v>115.99</v>
      </c>
      <c r="F1348" s="29">
        <v>8.99</v>
      </c>
      <c r="G1348" s="30" t="s">
        <v>39</v>
      </c>
      <c r="H1348" s="27" t="s">
        <v>71</v>
      </c>
      <c r="I1348" s="27" t="s">
        <v>41</v>
      </c>
      <c r="J1348" s="27" t="s">
        <v>135</v>
      </c>
      <c r="K1348" s="27" t="s">
        <v>73</v>
      </c>
      <c r="L1348" s="31" t="s">
        <v>2109</v>
      </c>
      <c r="M1348" s="32">
        <v>0.57999999999999996</v>
      </c>
      <c r="N1348" s="27" t="s">
        <v>33</v>
      </c>
      <c r="O1348" s="27" t="s">
        <v>53</v>
      </c>
      <c r="P1348" s="27" t="s">
        <v>537</v>
      </c>
      <c r="Q1348" s="27" t="s">
        <v>2392</v>
      </c>
      <c r="R1348" s="33">
        <v>66502</v>
      </c>
      <c r="S1348" s="34">
        <v>42127</v>
      </c>
      <c r="T1348" s="34">
        <v>42128</v>
      </c>
      <c r="U1348" s="29">
        <v>685.6146</v>
      </c>
      <c r="V1348" s="26">
        <v>20</v>
      </c>
      <c r="W1348" s="29">
        <v>1952.56</v>
      </c>
      <c r="X1348" s="26">
        <v>87306</v>
      </c>
      <c r="Y1348" s="35">
        <v>297.43</v>
      </c>
      <c r="Z1348" s="1" t="s">
        <v>3012</v>
      </c>
      <c r="AA1348" s="36">
        <v>139.18799999999999</v>
      </c>
      <c r="AB1348" s="54">
        <v>820.07520000000011</v>
      </c>
      <c r="AC1348" s="54">
        <v>56.624239999999993</v>
      </c>
      <c r="AD1348" s="36">
        <v>1118.7674</v>
      </c>
    </row>
    <row r="1349" spans="1:30" s="37" customFormat="1" ht="15.75" customHeight="1" x14ac:dyDescent="0.2">
      <c r="A1349" s="26">
        <v>2157</v>
      </c>
      <c r="B1349" s="27" t="s">
        <v>1681</v>
      </c>
      <c r="C1349" s="27" t="s">
        <v>38</v>
      </c>
      <c r="D1349" s="28">
        <v>7.0000000000000007E-2</v>
      </c>
      <c r="E1349" s="29">
        <v>296.18</v>
      </c>
      <c r="F1349" s="29">
        <v>54.12</v>
      </c>
      <c r="G1349" s="30" t="s">
        <v>27</v>
      </c>
      <c r="H1349" s="27" t="s">
        <v>71</v>
      </c>
      <c r="I1349" s="27" t="s">
        <v>29</v>
      </c>
      <c r="J1349" s="27" t="s">
        <v>30</v>
      </c>
      <c r="K1349" s="27" t="s">
        <v>31</v>
      </c>
      <c r="L1349" s="31" t="s">
        <v>1079</v>
      </c>
      <c r="M1349" s="32">
        <v>0.76</v>
      </c>
      <c r="N1349" s="27" t="s">
        <v>33</v>
      </c>
      <c r="O1349" s="27" t="s">
        <v>53</v>
      </c>
      <c r="P1349" s="27" t="s">
        <v>289</v>
      </c>
      <c r="Q1349" s="27" t="s">
        <v>1683</v>
      </c>
      <c r="R1349" s="33">
        <v>48093</v>
      </c>
      <c r="S1349" s="34">
        <v>42127</v>
      </c>
      <c r="T1349" s="34">
        <v>42129</v>
      </c>
      <c r="U1349" s="29">
        <v>80.809200000000004</v>
      </c>
      <c r="V1349" s="26">
        <v>6</v>
      </c>
      <c r="W1349" s="29">
        <v>1798.23</v>
      </c>
      <c r="X1349" s="26">
        <v>90386</v>
      </c>
      <c r="Y1349" s="35">
        <v>296.11</v>
      </c>
      <c r="Z1349" s="1" t="s">
        <v>3012</v>
      </c>
      <c r="AA1349" s="36">
        <v>124.3956</v>
      </c>
      <c r="AB1349" s="54">
        <v>431.5752</v>
      </c>
      <c r="AC1349" s="54">
        <v>227.7758</v>
      </c>
      <c r="AD1349" s="36">
        <v>1538.9052000000001</v>
      </c>
    </row>
    <row r="1350" spans="1:30" s="37" customFormat="1" ht="15.75" customHeight="1" x14ac:dyDescent="0.2">
      <c r="A1350" s="26">
        <v>97</v>
      </c>
      <c r="B1350" s="27" t="s">
        <v>2391</v>
      </c>
      <c r="C1350" s="27" t="s">
        <v>3094</v>
      </c>
      <c r="D1350" s="28">
        <v>0.04</v>
      </c>
      <c r="E1350" s="29">
        <v>160.97999999999999</v>
      </c>
      <c r="F1350" s="29">
        <v>30</v>
      </c>
      <c r="G1350" s="30" t="s">
        <v>27</v>
      </c>
      <c r="H1350" s="27" t="s">
        <v>71</v>
      </c>
      <c r="I1350" s="27" t="s">
        <v>29</v>
      </c>
      <c r="J1350" s="27" t="s">
        <v>109</v>
      </c>
      <c r="K1350" s="27" t="s">
        <v>58</v>
      </c>
      <c r="L1350" s="31" t="s">
        <v>892</v>
      </c>
      <c r="M1350" s="32">
        <v>0.62</v>
      </c>
      <c r="N1350" s="27" t="s">
        <v>33</v>
      </c>
      <c r="O1350" s="27" t="s">
        <v>53</v>
      </c>
      <c r="P1350" s="27" t="s">
        <v>537</v>
      </c>
      <c r="Q1350" s="27" t="s">
        <v>2392</v>
      </c>
      <c r="R1350" s="33">
        <v>66502</v>
      </c>
      <c r="S1350" s="34">
        <v>42127</v>
      </c>
      <c r="T1350" s="34">
        <v>42129</v>
      </c>
      <c r="U1350" s="29">
        <v>255.42</v>
      </c>
      <c r="V1350" s="26">
        <v>9</v>
      </c>
      <c r="W1350" s="29">
        <v>1526.68</v>
      </c>
      <c r="X1350" s="26">
        <v>87306</v>
      </c>
      <c r="Y1350" s="35">
        <v>12.209999999999999</v>
      </c>
      <c r="Z1350" s="1" t="s">
        <v>3012</v>
      </c>
      <c r="AA1350" s="36">
        <v>57.952799999999996</v>
      </c>
      <c r="AB1350" s="54">
        <v>580.13840000000005</v>
      </c>
      <c r="AC1350" s="54">
        <v>105.1712888888889</v>
      </c>
      <c r="AD1350" s="36">
        <v>1183.3072000000002</v>
      </c>
    </row>
    <row r="1351" spans="1:30" s="37" customFormat="1" ht="15.75" customHeight="1" x14ac:dyDescent="0.2">
      <c r="A1351" s="26">
        <v>3386</v>
      </c>
      <c r="B1351" s="27" t="s">
        <v>2384</v>
      </c>
      <c r="C1351" s="27" t="s">
        <v>26</v>
      </c>
      <c r="D1351" s="28">
        <v>0.04</v>
      </c>
      <c r="E1351" s="29">
        <v>25.38</v>
      </c>
      <c r="F1351" s="29">
        <v>8.99</v>
      </c>
      <c r="G1351" s="30" t="s">
        <v>87</v>
      </c>
      <c r="H1351" s="27" t="s">
        <v>94</v>
      </c>
      <c r="I1351" s="27" t="s">
        <v>29</v>
      </c>
      <c r="J1351" s="27" t="s">
        <v>126</v>
      </c>
      <c r="K1351" s="27" t="s">
        <v>43</v>
      </c>
      <c r="L1351" s="31" t="s">
        <v>2385</v>
      </c>
      <c r="M1351" s="32">
        <v>0.5</v>
      </c>
      <c r="N1351" s="27" t="s">
        <v>33</v>
      </c>
      <c r="O1351" s="27" t="s">
        <v>111</v>
      </c>
      <c r="P1351" s="27" t="s">
        <v>317</v>
      </c>
      <c r="Q1351" s="27" t="s">
        <v>2198</v>
      </c>
      <c r="R1351" s="33">
        <v>43402</v>
      </c>
      <c r="S1351" s="34">
        <v>42127</v>
      </c>
      <c r="T1351" s="34">
        <v>42130</v>
      </c>
      <c r="U1351" s="29">
        <v>152.482</v>
      </c>
      <c r="V1351" s="26">
        <v>35</v>
      </c>
      <c r="W1351" s="29">
        <v>861.3</v>
      </c>
      <c r="X1351" s="26">
        <v>88746</v>
      </c>
      <c r="Y1351" s="35">
        <v>30.89</v>
      </c>
      <c r="Z1351" s="1" t="s">
        <v>3014</v>
      </c>
      <c r="AA1351" s="36">
        <v>35.531999999999996</v>
      </c>
      <c r="AB1351" s="54">
        <v>430.65</v>
      </c>
      <c r="AC1351" s="54">
        <v>12.304285714285713</v>
      </c>
      <c r="AD1351" s="36">
        <v>664.29599999999994</v>
      </c>
    </row>
    <row r="1352" spans="1:30" s="37" customFormat="1" ht="15.75" customHeight="1" x14ac:dyDescent="0.2">
      <c r="A1352" s="26">
        <v>1680</v>
      </c>
      <c r="B1352" s="27" t="s">
        <v>2387</v>
      </c>
      <c r="C1352" s="27" t="s">
        <v>48</v>
      </c>
      <c r="D1352" s="28">
        <v>0.03</v>
      </c>
      <c r="E1352" s="29">
        <v>49.34</v>
      </c>
      <c r="F1352" s="29">
        <v>10.25</v>
      </c>
      <c r="G1352" s="30" t="s">
        <v>39</v>
      </c>
      <c r="H1352" s="27" t="s">
        <v>40</v>
      </c>
      <c r="I1352" s="27" t="s">
        <v>29</v>
      </c>
      <c r="J1352" s="27" t="s">
        <v>126</v>
      </c>
      <c r="K1352" s="27" t="s">
        <v>65</v>
      </c>
      <c r="L1352" s="31" t="s">
        <v>2389</v>
      </c>
      <c r="M1352" s="32">
        <v>0.56999999999999995</v>
      </c>
      <c r="N1352" s="27" t="s">
        <v>33</v>
      </c>
      <c r="O1352" s="27" t="s">
        <v>111</v>
      </c>
      <c r="P1352" s="27" t="s">
        <v>317</v>
      </c>
      <c r="Q1352" s="27" t="s">
        <v>764</v>
      </c>
      <c r="R1352" s="33">
        <v>45014</v>
      </c>
      <c r="S1352" s="34">
        <v>42127</v>
      </c>
      <c r="T1352" s="34">
        <v>42129</v>
      </c>
      <c r="U1352" s="29">
        <v>554.77</v>
      </c>
      <c r="V1352" s="26">
        <v>17</v>
      </c>
      <c r="W1352" s="29">
        <v>817.32</v>
      </c>
      <c r="X1352" s="26">
        <v>86645</v>
      </c>
      <c r="Y1352" s="35">
        <v>49.31</v>
      </c>
      <c r="Z1352" s="1" t="s">
        <v>3014</v>
      </c>
      <c r="AA1352" s="36">
        <v>25.163399999999999</v>
      </c>
      <c r="AB1352" s="54">
        <v>351.44760000000008</v>
      </c>
      <c r="AC1352" s="54">
        <v>27.40425882352941</v>
      </c>
      <c r="AD1352" s="36">
        <v>227.13660000000004</v>
      </c>
    </row>
    <row r="1353" spans="1:30" s="37" customFormat="1" ht="15.75" customHeight="1" x14ac:dyDescent="0.2">
      <c r="A1353" s="26">
        <v>2157</v>
      </c>
      <c r="B1353" s="27" t="s">
        <v>1681</v>
      </c>
      <c r="C1353" s="27" t="s">
        <v>38</v>
      </c>
      <c r="D1353" s="28">
        <v>7.0000000000000007E-2</v>
      </c>
      <c r="E1353" s="29">
        <v>30.93</v>
      </c>
      <c r="F1353" s="29">
        <v>3.92</v>
      </c>
      <c r="G1353" s="30" t="s">
        <v>39</v>
      </c>
      <c r="H1353" s="27" t="s">
        <v>71</v>
      </c>
      <c r="I1353" s="27" t="s">
        <v>29</v>
      </c>
      <c r="J1353" s="27" t="s">
        <v>126</v>
      </c>
      <c r="K1353" s="27" t="s">
        <v>43</v>
      </c>
      <c r="L1353" s="31" t="s">
        <v>1651</v>
      </c>
      <c r="M1353" s="32">
        <v>0.44</v>
      </c>
      <c r="N1353" s="27" t="s">
        <v>33</v>
      </c>
      <c r="O1353" s="27" t="s">
        <v>53</v>
      </c>
      <c r="P1353" s="27" t="s">
        <v>289</v>
      </c>
      <c r="Q1353" s="27" t="s">
        <v>1683</v>
      </c>
      <c r="R1353" s="33">
        <v>48093</v>
      </c>
      <c r="S1353" s="34">
        <v>42127</v>
      </c>
      <c r="T1353" s="34">
        <v>42128</v>
      </c>
      <c r="U1353" s="29">
        <v>398.30250000000001</v>
      </c>
      <c r="V1353" s="26">
        <v>19</v>
      </c>
      <c r="W1353" s="29">
        <v>577.25</v>
      </c>
      <c r="X1353" s="26">
        <v>90386</v>
      </c>
      <c r="Y1353" s="35">
        <v>160.94</v>
      </c>
      <c r="Z1353" s="1" t="s">
        <v>3012</v>
      </c>
      <c r="AA1353" s="36">
        <v>41.136900000000004</v>
      </c>
      <c r="AB1353" s="54">
        <v>323.26000000000005</v>
      </c>
      <c r="AC1353" s="54">
        <v>13.367894736842105</v>
      </c>
      <c r="AD1353" s="36">
        <v>133.89059999999995</v>
      </c>
    </row>
    <row r="1354" spans="1:30" s="37" customFormat="1" ht="15.75" customHeight="1" x14ac:dyDescent="0.2">
      <c r="A1354" s="26">
        <v>1680</v>
      </c>
      <c r="B1354" s="27" t="s">
        <v>2387</v>
      </c>
      <c r="C1354" s="27" t="s">
        <v>48</v>
      </c>
      <c r="D1354" s="28">
        <v>0.09</v>
      </c>
      <c r="E1354" s="29">
        <v>30.98</v>
      </c>
      <c r="F1354" s="29">
        <v>19.510000000000002</v>
      </c>
      <c r="G1354" s="30" t="s">
        <v>39</v>
      </c>
      <c r="H1354" s="27" t="s">
        <v>40</v>
      </c>
      <c r="I1354" s="27" t="s">
        <v>49</v>
      </c>
      <c r="J1354" s="27" t="s">
        <v>345</v>
      </c>
      <c r="K1354" s="27" t="s">
        <v>73</v>
      </c>
      <c r="L1354" s="31" t="s">
        <v>2388</v>
      </c>
      <c r="M1354" s="32">
        <v>0.36</v>
      </c>
      <c r="N1354" s="27" t="s">
        <v>33</v>
      </c>
      <c r="O1354" s="27" t="s">
        <v>111</v>
      </c>
      <c r="P1354" s="27" t="s">
        <v>317</v>
      </c>
      <c r="Q1354" s="27" t="s">
        <v>764</v>
      </c>
      <c r="R1354" s="33">
        <v>45014</v>
      </c>
      <c r="S1354" s="34">
        <v>42127</v>
      </c>
      <c r="T1354" s="34">
        <v>42129</v>
      </c>
      <c r="U1354" s="29">
        <v>-163.53</v>
      </c>
      <c r="V1354" s="26">
        <v>18</v>
      </c>
      <c r="W1354" s="29">
        <v>514.62</v>
      </c>
      <c r="X1354" s="26">
        <v>86645</v>
      </c>
      <c r="Y1354" s="35">
        <v>17.97</v>
      </c>
      <c r="Z1354" s="1" t="s">
        <v>3014</v>
      </c>
      <c r="AA1354" s="36">
        <v>50.187599999999996</v>
      </c>
      <c r="AB1354" s="54">
        <v>329.35680000000002</v>
      </c>
      <c r="AC1354" s="54">
        <v>10.292399999999999</v>
      </c>
      <c r="AD1354" s="36">
        <v>608.45240000000001</v>
      </c>
    </row>
    <row r="1355" spans="1:30" s="37" customFormat="1" ht="15.75" customHeight="1" x14ac:dyDescent="0.2">
      <c r="A1355" s="26">
        <v>1391</v>
      </c>
      <c r="B1355" s="27" t="s">
        <v>2292</v>
      </c>
      <c r="C1355" s="27" t="s">
        <v>48</v>
      </c>
      <c r="D1355" s="28">
        <v>7.0000000000000007E-2</v>
      </c>
      <c r="E1355" s="29">
        <v>12.28</v>
      </c>
      <c r="F1355" s="29">
        <v>6.13</v>
      </c>
      <c r="G1355" s="30" t="s">
        <v>39</v>
      </c>
      <c r="H1355" s="27" t="s">
        <v>3095</v>
      </c>
      <c r="I1355" s="27" t="s">
        <v>49</v>
      </c>
      <c r="J1355" s="27" t="s">
        <v>78</v>
      </c>
      <c r="K1355" s="27" t="s">
        <v>73</v>
      </c>
      <c r="L1355" s="31" t="s">
        <v>2386</v>
      </c>
      <c r="M1355" s="32">
        <v>0.56999999999999995</v>
      </c>
      <c r="N1355" s="27" t="s">
        <v>33</v>
      </c>
      <c r="O1355" s="27" t="s">
        <v>60</v>
      </c>
      <c r="P1355" s="27" t="s">
        <v>90</v>
      </c>
      <c r="Q1355" s="27" t="s">
        <v>2293</v>
      </c>
      <c r="R1355" s="33">
        <v>94086</v>
      </c>
      <c r="S1355" s="34">
        <v>42127</v>
      </c>
      <c r="T1355" s="34">
        <v>42134</v>
      </c>
      <c r="U1355" s="29">
        <v>15.236000000000001</v>
      </c>
      <c r="V1355" s="26">
        <v>33</v>
      </c>
      <c r="W1355" s="29">
        <v>389.59</v>
      </c>
      <c r="X1355" s="26">
        <v>88730</v>
      </c>
      <c r="Y1355" s="35">
        <v>160.94</v>
      </c>
      <c r="Z1355" s="1" t="s">
        <v>3013</v>
      </c>
      <c r="AA1355" s="36">
        <v>28.366800000000001</v>
      </c>
      <c r="AB1355" s="54">
        <v>167.52370000000002</v>
      </c>
      <c r="AC1355" s="54">
        <v>6.7292818181818168</v>
      </c>
      <c r="AD1355" s="36">
        <v>339.85719999999998</v>
      </c>
    </row>
    <row r="1356" spans="1:30" s="37" customFormat="1" ht="15.75" customHeight="1" x14ac:dyDescent="0.2">
      <c r="A1356" s="26">
        <v>1869</v>
      </c>
      <c r="B1356" s="27" t="s">
        <v>2393</v>
      </c>
      <c r="C1356" s="27" t="s">
        <v>3094</v>
      </c>
      <c r="D1356" s="28">
        <v>0.08</v>
      </c>
      <c r="E1356" s="29">
        <v>8.09</v>
      </c>
      <c r="F1356" s="29">
        <v>7.96</v>
      </c>
      <c r="G1356" s="30" t="s">
        <v>39</v>
      </c>
      <c r="H1356" s="27" t="s">
        <v>40</v>
      </c>
      <c r="I1356" s="27" t="s">
        <v>29</v>
      </c>
      <c r="J1356" s="27" t="s">
        <v>126</v>
      </c>
      <c r="K1356" s="27" t="s">
        <v>73</v>
      </c>
      <c r="L1356" s="31" t="s">
        <v>522</v>
      </c>
      <c r="M1356" s="32">
        <v>0.49</v>
      </c>
      <c r="N1356" s="27" t="s">
        <v>33</v>
      </c>
      <c r="O1356" s="27" t="s">
        <v>60</v>
      </c>
      <c r="P1356" s="27" t="s">
        <v>640</v>
      </c>
      <c r="Q1356" s="27" t="s">
        <v>2394</v>
      </c>
      <c r="R1356" s="33">
        <v>88310</v>
      </c>
      <c r="S1356" s="34">
        <v>42127</v>
      </c>
      <c r="T1356" s="34">
        <v>42128</v>
      </c>
      <c r="U1356" s="29">
        <v>-88.82</v>
      </c>
      <c r="V1356" s="26">
        <v>10</v>
      </c>
      <c r="W1356" s="29">
        <v>80.349999999999994</v>
      </c>
      <c r="X1356" s="26">
        <v>89209</v>
      </c>
      <c r="Y1356" s="35">
        <v>115.92999999999999</v>
      </c>
      <c r="Z1356" s="1" t="s">
        <v>3013</v>
      </c>
      <c r="AA1356" s="36">
        <v>6.4719999999999995</v>
      </c>
      <c r="AB1356" s="54">
        <v>40.978499999999997</v>
      </c>
      <c r="AC1356" s="54">
        <v>3.9371499999999999</v>
      </c>
      <c r="AD1356" s="36">
        <v>154.738</v>
      </c>
    </row>
    <row r="1357" spans="1:30" s="37" customFormat="1" ht="15.75" customHeight="1" x14ac:dyDescent="0.2">
      <c r="A1357" s="26">
        <v>3386</v>
      </c>
      <c r="B1357" s="27" t="s">
        <v>2384</v>
      </c>
      <c r="C1357" s="27" t="s">
        <v>26</v>
      </c>
      <c r="D1357" s="28">
        <v>0</v>
      </c>
      <c r="E1357" s="29">
        <v>2.61</v>
      </c>
      <c r="F1357" s="29">
        <v>0.5</v>
      </c>
      <c r="G1357" s="30" t="s">
        <v>39</v>
      </c>
      <c r="H1357" s="27" t="s">
        <v>94</v>
      </c>
      <c r="I1357" s="27" t="s">
        <v>49</v>
      </c>
      <c r="J1357" s="27" t="s">
        <v>152</v>
      </c>
      <c r="K1357" s="27" t="s">
        <v>73</v>
      </c>
      <c r="L1357" s="31" t="s">
        <v>1367</v>
      </c>
      <c r="M1357" s="32">
        <v>0.39</v>
      </c>
      <c r="N1357" s="27" t="s">
        <v>33</v>
      </c>
      <c r="O1357" s="27" t="s">
        <v>111</v>
      </c>
      <c r="P1357" s="27" t="s">
        <v>317</v>
      </c>
      <c r="Q1357" s="27" t="s">
        <v>2198</v>
      </c>
      <c r="R1357" s="33">
        <v>43402</v>
      </c>
      <c r="S1357" s="34">
        <v>42127</v>
      </c>
      <c r="T1357" s="34">
        <v>42129</v>
      </c>
      <c r="U1357" s="29">
        <v>19.554600000000001</v>
      </c>
      <c r="V1357" s="26">
        <v>10</v>
      </c>
      <c r="W1357" s="29">
        <v>28.34</v>
      </c>
      <c r="X1357" s="26">
        <v>88746</v>
      </c>
      <c r="Y1357" s="35">
        <v>8.01</v>
      </c>
      <c r="Z1357" s="1" t="s">
        <v>3014</v>
      </c>
      <c r="AA1357" s="36">
        <v>0</v>
      </c>
      <c r="AB1357" s="54">
        <v>17.287399999999998</v>
      </c>
      <c r="AC1357" s="54">
        <v>1.1052600000000001</v>
      </c>
      <c r="AD1357" s="36">
        <v>8.2853999999999992</v>
      </c>
    </row>
    <row r="1358" spans="1:30" s="37" customFormat="1" ht="15.75" customHeight="1" x14ac:dyDescent="0.2">
      <c r="A1358" s="26">
        <v>3356</v>
      </c>
      <c r="B1358" s="27" t="s">
        <v>2412</v>
      </c>
      <c r="C1358" s="27" t="s">
        <v>116</v>
      </c>
      <c r="D1358" s="28">
        <v>0.03</v>
      </c>
      <c r="E1358" s="29">
        <v>160.97999999999999</v>
      </c>
      <c r="F1358" s="29">
        <v>30</v>
      </c>
      <c r="G1358" s="30" t="s">
        <v>27</v>
      </c>
      <c r="H1358" s="27" t="s">
        <v>94</v>
      </c>
      <c r="I1358" s="27" t="s">
        <v>29</v>
      </c>
      <c r="J1358" s="27" t="s">
        <v>109</v>
      </c>
      <c r="K1358" s="27" t="s">
        <v>58</v>
      </c>
      <c r="L1358" s="31" t="s">
        <v>892</v>
      </c>
      <c r="M1358" s="32">
        <v>0.62</v>
      </c>
      <c r="N1358" s="27" t="s">
        <v>33</v>
      </c>
      <c r="O1358" s="27" t="s">
        <v>60</v>
      </c>
      <c r="P1358" s="27" t="s">
        <v>490</v>
      </c>
      <c r="Q1358" s="27" t="s">
        <v>2413</v>
      </c>
      <c r="R1358" s="33">
        <v>83616</v>
      </c>
      <c r="S1358" s="34">
        <v>42128</v>
      </c>
      <c r="T1358" s="34">
        <v>42129</v>
      </c>
      <c r="U1358" s="29">
        <v>1304.9000000000001</v>
      </c>
      <c r="V1358" s="26">
        <v>18</v>
      </c>
      <c r="W1358" s="29">
        <v>2934.16</v>
      </c>
      <c r="X1358" s="26">
        <v>88588</v>
      </c>
      <c r="Y1358" s="35">
        <v>6.19</v>
      </c>
      <c r="Z1358" s="1" t="s">
        <v>3013</v>
      </c>
      <c r="AA1358" s="36">
        <v>86.929199999999994</v>
      </c>
      <c r="AB1358" s="54">
        <v>1114.9808</v>
      </c>
      <c r="AC1358" s="54">
        <v>101.06551111111111</v>
      </c>
      <c r="AD1358" s="36">
        <v>1512.3307999999997</v>
      </c>
    </row>
    <row r="1359" spans="1:30" s="37" customFormat="1" ht="15.75" customHeight="1" x14ac:dyDescent="0.2">
      <c r="A1359" s="26">
        <v>411</v>
      </c>
      <c r="B1359" s="27" t="s">
        <v>2408</v>
      </c>
      <c r="C1359" s="27" t="s">
        <v>38</v>
      </c>
      <c r="D1359" s="28">
        <v>0.05</v>
      </c>
      <c r="E1359" s="29">
        <v>178.47</v>
      </c>
      <c r="F1359" s="29">
        <v>19.989999999999998</v>
      </c>
      <c r="G1359" s="30" t="s">
        <v>87</v>
      </c>
      <c r="H1359" s="27" t="s">
        <v>40</v>
      </c>
      <c r="I1359" s="27" t="s">
        <v>49</v>
      </c>
      <c r="J1359" s="27" t="s">
        <v>78</v>
      </c>
      <c r="K1359" s="27" t="s">
        <v>73</v>
      </c>
      <c r="L1359" s="31" t="s">
        <v>1011</v>
      </c>
      <c r="M1359" s="32">
        <v>0.55000000000000004</v>
      </c>
      <c r="N1359" s="27" t="s">
        <v>33</v>
      </c>
      <c r="O1359" s="27" t="s">
        <v>60</v>
      </c>
      <c r="P1359" s="27" t="s">
        <v>90</v>
      </c>
      <c r="Q1359" s="27" t="s">
        <v>2136</v>
      </c>
      <c r="R1359" s="33">
        <v>94601</v>
      </c>
      <c r="S1359" s="34">
        <v>42128</v>
      </c>
      <c r="T1359" s="34">
        <v>42131</v>
      </c>
      <c r="U1359" s="29">
        <v>943</v>
      </c>
      <c r="V1359" s="26">
        <v>9</v>
      </c>
      <c r="W1359" s="29">
        <v>1531.31</v>
      </c>
      <c r="X1359" s="26">
        <v>87905</v>
      </c>
      <c r="Y1359" s="35">
        <v>3.25</v>
      </c>
      <c r="Z1359" s="1" t="s">
        <v>3013</v>
      </c>
      <c r="AA1359" s="36">
        <v>80.311500000000009</v>
      </c>
      <c r="AB1359" s="54">
        <v>689.08949999999993</v>
      </c>
      <c r="AC1359" s="54">
        <v>93.58005555555556</v>
      </c>
      <c r="AD1359" s="36">
        <v>488.00849999999991</v>
      </c>
    </row>
    <row r="1360" spans="1:30" s="37" customFormat="1" ht="15.75" customHeight="1" x14ac:dyDescent="0.2">
      <c r="A1360" s="26">
        <v>3356</v>
      </c>
      <c r="B1360" s="27" t="s">
        <v>2412</v>
      </c>
      <c r="C1360" s="27" t="s">
        <v>116</v>
      </c>
      <c r="D1360" s="28">
        <v>0.04</v>
      </c>
      <c r="E1360" s="29">
        <v>65.989999999999995</v>
      </c>
      <c r="F1360" s="29">
        <v>5.63</v>
      </c>
      <c r="G1360" s="30" t="s">
        <v>87</v>
      </c>
      <c r="H1360" s="27" t="s">
        <v>94</v>
      </c>
      <c r="I1360" s="27" t="s">
        <v>41</v>
      </c>
      <c r="J1360" s="27" t="s">
        <v>135</v>
      </c>
      <c r="K1360" s="27" t="s">
        <v>73</v>
      </c>
      <c r="L1360" s="31" t="s">
        <v>2414</v>
      </c>
      <c r="M1360" s="32">
        <v>0.56000000000000005</v>
      </c>
      <c r="N1360" s="27" t="s">
        <v>33</v>
      </c>
      <c r="O1360" s="27" t="s">
        <v>60</v>
      </c>
      <c r="P1360" s="27" t="s">
        <v>490</v>
      </c>
      <c r="Q1360" s="27" t="s">
        <v>2413</v>
      </c>
      <c r="R1360" s="33">
        <v>83616</v>
      </c>
      <c r="S1360" s="34">
        <v>42128</v>
      </c>
      <c r="T1360" s="34">
        <v>42128</v>
      </c>
      <c r="U1360" s="29">
        <v>605.04719999999998</v>
      </c>
      <c r="V1360" s="26">
        <v>15</v>
      </c>
      <c r="W1360" s="29">
        <v>876.88</v>
      </c>
      <c r="X1360" s="26">
        <v>88588</v>
      </c>
      <c r="Y1360" s="35">
        <v>3.25</v>
      </c>
      <c r="Z1360" s="1" t="s">
        <v>3013</v>
      </c>
      <c r="AA1360" s="36">
        <v>39.593999999999994</v>
      </c>
      <c r="AB1360" s="54">
        <v>385.82719999999995</v>
      </c>
      <c r="AC1360" s="54">
        <v>32.736853333333336</v>
      </c>
      <c r="AD1360" s="36">
        <v>226.60880000000009</v>
      </c>
    </row>
    <row r="1361" spans="1:30" s="37" customFormat="1" ht="15.75" customHeight="1" x14ac:dyDescent="0.2">
      <c r="A1361" s="26">
        <v>2650</v>
      </c>
      <c r="B1361" s="27" t="s">
        <v>2402</v>
      </c>
      <c r="C1361" s="27" t="s">
        <v>26</v>
      </c>
      <c r="D1361" s="28">
        <v>0.05</v>
      </c>
      <c r="E1361" s="29">
        <v>35.99</v>
      </c>
      <c r="F1361" s="29">
        <v>5.99</v>
      </c>
      <c r="G1361" s="30" t="s">
        <v>39</v>
      </c>
      <c r="H1361" s="27" t="s">
        <v>94</v>
      </c>
      <c r="I1361" s="27" t="s">
        <v>41</v>
      </c>
      <c r="J1361" s="27" t="s">
        <v>135</v>
      </c>
      <c r="K1361" s="27" t="s">
        <v>51</v>
      </c>
      <c r="L1361" s="31" t="s">
        <v>1372</v>
      </c>
      <c r="M1361" s="32">
        <v>0.38</v>
      </c>
      <c r="N1361" s="27" t="s">
        <v>33</v>
      </c>
      <c r="O1361" s="27" t="s">
        <v>111</v>
      </c>
      <c r="P1361" s="27" t="s">
        <v>320</v>
      </c>
      <c r="Q1361" s="27" t="s">
        <v>2403</v>
      </c>
      <c r="R1361" s="33">
        <v>15234</v>
      </c>
      <c r="S1361" s="34">
        <v>42128</v>
      </c>
      <c r="T1361" s="34">
        <v>42129</v>
      </c>
      <c r="U1361" s="29">
        <v>524.31719999999996</v>
      </c>
      <c r="V1361" s="26">
        <v>26</v>
      </c>
      <c r="W1361" s="29">
        <v>759.88</v>
      </c>
      <c r="X1361" s="26">
        <v>88815</v>
      </c>
      <c r="Y1361" s="35">
        <v>7.58</v>
      </c>
      <c r="Z1361" s="1" t="s">
        <v>3014</v>
      </c>
      <c r="AA1361" s="36">
        <v>46.787000000000006</v>
      </c>
      <c r="AB1361" s="54">
        <v>471.12560000000002</v>
      </c>
      <c r="AC1361" s="54">
        <v>11.105938461538461</v>
      </c>
      <c r="AD1361" s="36">
        <v>182.78579999999999</v>
      </c>
    </row>
    <row r="1362" spans="1:30" s="37" customFormat="1" ht="15.75" customHeight="1" x14ac:dyDescent="0.2">
      <c r="A1362" s="26">
        <v>2693</v>
      </c>
      <c r="B1362" s="27" t="s">
        <v>2407</v>
      </c>
      <c r="C1362" s="27" t="s">
        <v>26</v>
      </c>
      <c r="D1362" s="28">
        <v>0.01</v>
      </c>
      <c r="E1362" s="29">
        <v>30.98</v>
      </c>
      <c r="F1362" s="29">
        <v>9.18</v>
      </c>
      <c r="G1362" s="30" t="s">
        <v>39</v>
      </c>
      <c r="H1362" s="27" t="s">
        <v>71</v>
      </c>
      <c r="I1362" s="27" t="s">
        <v>49</v>
      </c>
      <c r="J1362" s="27" t="s">
        <v>88</v>
      </c>
      <c r="K1362" s="27" t="s">
        <v>73</v>
      </c>
      <c r="L1362" s="31" t="s">
        <v>2249</v>
      </c>
      <c r="M1362" s="32">
        <v>0.4</v>
      </c>
      <c r="N1362" s="27" t="s">
        <v>33</v>
      </c>
      <c r="O1362" s="27" t="s">
        <v>111</v>
      </c>
      <c r="P1362" s="27" t="s">
        <v>633</v>
      </c>
      <c r="Q1362" s="27" t="s">
        <v>1630</v>
      </c>
      <c r="R1362" s="33">
        <v>5201</v>
      </c>
      <c r="S1362" s="34">
        <v>42128</v>
      </c>
      <c r="T1362" s="34">
        <v>42128</v>
      </c>
      <c r="U1362" s="29">
        <v>380.46800000000002</v>
      </c>
      <c r="V1362" s="26">
        <v>20</v>
      </c>
      <c r="W1362" s="29">
        <v>627.19000000000005</v>
      </c>
      <c r="X1362" s="26">
        <v>90624</v>
      </c>
      <c r="Y1362" s="35">
        <v>35.940000000000005</v>
      </c>
      <c r="Z1362" s="1" t="s">
        <v>3014</v>
      </c>
      <c r="AA1362" s="36">
        <v>6.1960000000000006</v>
      </c>
      <c r="AB1362" s="54">
        <v>376.31400000000002</v>
      </c>
      <c r="AC1362" s="54">
        <v>12.543800000000003</v>
      </c>
      <c r="AD1362" s="36">
        <v>231.346</v>
      </c>
    </row>
    <row r="1363" spans="1:30" s="37" customFormat="1" ht="15.75" customHeight="1" x14ac:dyDescent="0.2">
      <c r="A1363" s="26">
        <v>3176</v>
      </c>
      <c r="B1363" s="27" t="s">
        <v>2409</v>
      </c>
      <c r="C1363" s="27" t="s">
        <v>38</v>
      </c>
      <c r="D1363" s="28">
        <v>0.06</v>
      </c>
      <c r="E1363" s="29">
        <v>10.97</v>
      </c>
      <c r="F1363" s="29">
        <v>6.5</v>
      </c>
      <c r="G1363" s="30" t="s">
        <v>39</v>
      </c>
      <c r="H1363" s="27" t="s">
        <v>40</v>
      </c>
      <c r="I1363" s="27" t="s">
        <v>41</v>
      </c>
      <c r="J1363" s="27" t="s">
        <v>42</v>
      </c>
      <c r="K1363" s="27" t="s">
        <v>73</v>
      </c>
      <c r="L1363" s="31" t="s">
        <v>2410</v>
      </c>
      <c r="M1363" s="32">
        <v>0.64</v>
      </c>
      <c r="N1363" s="27" t="s">
        <v>33</v>
      </c>
      <c r="O1363" s="27" t="s">
        <v>34</v>
      </c>
      <c r="P1363" s="27" t="s">
        <v>123</v>
      </c>
      <c r="Q1363" s="27" t="s">
        <v>2411</v>
      </c>
      <c r="R1363" s="33">
        <v>32216</v>
      </c>
      <c r="S1363" s="34">
        <v>42128</v>
      </c>
      <c r="T1363" s="34">
        <v>42130</v>
      </c>
      <c r="U1363" s="29">
        <v>65.597999999999999</v>
      </c>
      <c r="V1363" s="26">
        <v>19</v>
      </c>
      <c r="W1363" s="29">
        <v>215.25</v>
      </c>
      <c r="X1363" s="26">
        <v>90820</v>
      </c>
      <c r="Y1363" s="35">
        <v>3.66</v>
      </c>
      <c r="Z1363" s="1" t="s">
        <v>3011</v>
      </c>
      <c r="AA1363" s="36">
        <v>12.505800000000001</v>
      </c>
      <c r="AB1363" s="54">
        <v>77.489999999999995</v>
      </c>
      <c r="AC1363" s="54">
        <v>7.2505263157894744</v>
      </c>
      <c r="AD1363" s="36">
        <v>130.64619999999999</v>
      </c>
    </row>
    <row r="1364" spans="1:30" s="37" customFormat="1" ht="15.75" customHeight="1" x14ac:dyDescent="0.2">
      <c r="A1364" s="26">
        <v>2289</v>
      </c>
      <c r="B1364" s="27" t="s">
        <v>2401</v>
      </c>
      <c r="C1364" s="27" t="s">
        <v>26</v>
      </c>
      <c r="D1364" s="28">
        <v>0.01</v>
      </c>
      <c r="E1364" s="29">
        <v>7.59</v>
      </c>
      <c r="F1364" s="29">
        <v>4</v>
      </c>
      <c r="G1364" s="30" t="s">
        <v>39</v>
      </c>
      <c r="H1364" s="27" t="s">
        <v>71</v>
      </c>
      <c r="I1364" s="27" t="s">
        <v>29</v>
      </c>
      <c r="J1364" s="27" t="s">
        <v>126</v>
      </c>
      <c r="K1364" s="27" t="s">
        <v>51</v>
      </c>
      <c r="L1364" s="31" t="s">
        <v>1687</v>
      </c>
      <c r="M1364" s="32">
        <v>0.42</v>
      </c>
      <c r="N1364" s="27" t="s">
        <v>33</v>
      </c>
      <c r="O1364" s="27" t="s">
        <v>53</v>
      </c>
      <c r="P1364" s="27" t="s">
        <v>84</v>
      </c>
      <c r="Q1364" s="27" t="s">
        <v>963</v>
      </c>
      <c r="R1364" s="33">
        <v>55337</v>
      </c>
      <c r="S1364" s="34">
        <v>42128</v>
      </c>
      <c r="T1364" s="34">
        <v>42128</v>
      </c>
      <c r="U1364" s="29">
        <v>2.97</v>
      </c>
      <c r="V1364" s="26">
        <v>17</v>
      </c>
      <c r="W1364" s="29">
        <v>136.25</v>
      </c>
      <c r="X1364" s="26">
        <v>88165</v>
      </c>
      <c r="Y1364" s="35">
        <v>30.97</v>
      </c>
      <c r="Z1364" s="1" t="s">
        <v>3012</v>
      </c>
      <c r="AA1364" s="36">
        <v>1.2903</v>
      </c>
      <c r="AB1364" s="54">
        <v>79.025000000000006</v>
      </c>
      <c r="AC1364" s="54">
        <v>3.3661764705882353</v>
      </c>
      <c r="AD1364" s="36">
        <v>127.9897</v>
      </c>
    </row>
    <row r="1365" spans="1:30" s="37" customFormat="1" ht="15.75" customHeight="1" x14ac:dyDescent="0.2">
      <c r="A1365" s="26">
        <v>2689</v>
      </c>
      <c r="B1365" s="27" t="s">
        <v>2404</v>
      </c>
      <c r="C1365" s="27" t="s">
        <v>26</v>
      </c>
      <c r="D1365" s="28">
        <v>0.09</v>
      </c>
      <c r="E1365" s="29">
        <v>3.75</v>
      </c>
      <c r="F1365" s="29">
        <v>0.5</v>
      </c>
      <c r="G1365" s="30" t="s">
        <v>39</v>
      </c>
      <c r="H1365" s="27" t="s">
        <v>71</v>
      </c>
      <c r="I1365" s="27" t="s">
        <v>49</v>
      </c>
      <c r="J1365" s="27" t="s">
        <v>152</v>
      </c>
      <c r="K1365" s="27" t="s">
        <v>73</v>
      </c>
      <c r="L1365" s="31" t="s">
        <v>2405</v>
      </c>
      <c r="M1365" s="32">
        <v>0.37</v>
      </c>
      <c r="N1365" s="27" t="s">
        <v>33</v>
      </c>
      <c r="O1365" s="27" t="s">
        <v>111</v>
      </c>
      <c r="P1365" s="27" t="s">
        <v>397</v>
      </c>
      <c r="Q1365" s="27" t="s">
        <v>2406</v>
      </c>
      <c r="R1365" s="33">
        <v>7011</v>
      </c>
      <c r="S1365" s="34">
        <v>42128</v>
      </c>
      <c r="T1365" s="34">
        <v>42130</v>
      </c>
      <c r="U1365" s="29">
        <v>51.218699999999998</v>
      </c>
      <c r="V1365" s="26">
        <v>21</v>
      </c>
      <c r="W1365" s="29">
        <v>74.23</v>
      </c>
      <c r="X1365" s="26">
        <v>90624</v>
      </c>
      <c r="Y1365" s="35">
        <v>178.42</v>
      </c>
      <c r="Z1365" s="1" t="s">
        <v>3014</v>
      </c>
      <c r="AA1365" s="36">
        <v>7.0874999999999995</v>
      </c>
      <c r="AB1365" s="54">
        <v>46.764900000000004</v>
      </c>
      <c r="AC1365" s="54">
        <v>1.3078619047619049</v>
      </c>
      <c r="AD1365" s="36">
        <v>15.423800000000007</v>
      </c>
    </row>
    <row r="1366" spans="1:30" s="37" customFormat="1" ht="15.75" customHeight="1" x14ac:dyDescent="0.2">
      <c r="A1366" s="26">
        <v>342</v>
      </c>
      <c r="B1366" s="27" t="s">
        <v>2397</v>
      </c>
      <c r="C1366" s="27" t="s">
        <v>26</v>
      </c>
      <c r="D1366" s="28">
        <v>0.01</v>
      </c>
      <c r="E1366" s="29">
        <v>3.26</v>
      </c>
      <c r="F1366" s="29">
        <v>1.86</v>
      </c>
      <c r="G1366" s="30" t="s">
        <v>39</v>
      </c>
      <c r="H1366" s="27" t="s">
        <v>94</v>
      </c>
      <c r="I1366" s="27" t="s">
        <v>49</v>
      </c>
      <c r="J1366" s="27" t="s">
        <v>50</v>
      </c>
      <c r="K1366" s="27" t="s">
        <v>51</v>
      </c>
      <c r="L1366" s="31" t="s">
        <v>2398</v>
      </c>
      <c r="M1366" s="32">
        <v>0.41</v>
      </c>
      <c r="N1366" s="27" t="s">
        <v>33</v>
      </c>
      <c r="O1366" s="27" t="s">
        <v>34</v>
      </c>
      <c r="P1366" s="27" t="s">
        <v>123</v>
      </c>
      <c r="Q1366" s="27" t="s">
        <v>128</v>
      </c>
      <c r="R1366" s="33">
        <v>33181</v>
      </c>
      <c r="S1366" s="34">
        <v>42128</v>
      </c>
      <c r="T1366" s="34">
        <v>42130</v>
      </c>
      <c r="U1366" s="29">
        <v>-4.6683000000000003</v>
      </c>
      <c r="V1366" s="26">
        <v>20</v>
      </c>
      <c r="W1366" s="29">
        <v>73.97</v>
      </c>
      <c r="X1366" s="26">
        <v>3332</v>
      </c>
      <c r="Y1366" s="35">
        <v>10.91</v>
      </c>
      <c r="Z1366" s="1" t="s">
        <v>3011</v>
      </c>
      <c r="AA1366" s="36">
        <v>0.65199999999999991</v>
      </c>
      <c r="AB1366" s="54">
        <v>43.642300000000006</v>
      </c>
      <c r="AC1366" s="54">
        <v>1.5163849999999999</v>
      </c>
      <c r="AD1366" s="36">
        <v>76.126300000000001</v>
      </c>
    </row>
    <row r="1367" spans="1:30" s="37" customFormat="1" ht="15.75" customHeight="1" x14ac:dyDescent="0.2">
      <c r="A1367" s="26">
        <v>3356</v>
      </c>
      <c r="B1367" s="27" t="s">
        <v>2412</v>
      </c>
      <c r="C1367" s="27" t="s">
        <v>116</v>
      </c>
      <c r="D1367" s="28">
        <v>7.0000000000000007E-2</v>
      </c>
      <c r="E1367" s="29">
        <v>5.34</v>
      </c>
      <c r="F1367" s="29">
        <v>5.63</v>
      </c>
      <c r="G1367" s="30" t="s">
        <v>39</v>
      </c>
      <c r="H1367" s="27" t="s">
        <v>94</v>
      </c>
      <c r="I1367" s="27" t="s">
        <v>49</v>
      </c>
      <c r="J1367" s="27" t="s">
        <v>72</v>
      </c>
      <c r="K1367" s="27" t="s">
        <v>73</v>
      </c>
      <c r="L1367" s="31" t="s">
        <v>1723</v>
      </c>
      <c r="M1367" s="32">
        <v>0.39</v>
      </c>
      <c r="N1367" s="27" t="s">
        <v>33</v>
      </c>
      <c r="O1367" s="27" t="s">
        <v>60</v>
      </c>
      <c r="P1367" s="27" t="s">
        <v>490</v>
      </c>
      <c r="Q1367" s="27" t="s">
        <v>2413</v>
      </c>
      <c r="R1367" s="33">
        <v>83616</v>
      </c>
      <c r="S1367" s="34">
        <v>42128</v>
      </c>
      <c r="T1367" s="34">
        <v>42130</v>
      </c>
      <c r="U1367" s="29">
        <v>-116.3455</v>
      </c>
      <c r="V1367" s="26">
        <v>13</v>
      </c>
      <c r="W1367" s="29">
        <v>66.650000000000006</v>
      </c>
      <c r="X1367" s="26">
        <v>88588</v>
      </c>
      <c r="Y1367" s="35">
        <v>5.27</v>
      </c>
      <c r="Z1367" s="1" t="s">
        <v>3013</v>
      </c>
      <c r="AA1367" s="36">
        <v>4.8593999999999999</v>
      </c>
      <c r="AB1367" s="54">
        <v>40.656500000000001</v>
      </c>
      <c r="AC1367" s="54">
        <v>1.9995000000000003</v>
      </c>
      <c r="AD1367" s="36">
        <v>172.5061</v>
      </c>
    </row>
    <row r="1368" spans="1:30" s="37" customFormat="1" ht="15.75" customHeight="1" x14ac:dyDescent="0.2">
      <c r="A1368" s="26">
        <v>1765</v>
      </c>
      <c r="B1368" s="27" t="s">
        <v>2415</v>
      </c>
      <c r="C1368" s="27" t="s">
        <v>3094</v>
      </c>
      <c r="D1368" s="28">
        <v>0</v>
      </c>
      <c r="E1368" s="29">
        <v>5.77</v>
      </c>
      <c r="F1368" s="29">
        <v>4.97</v>
      </c>
      <c r="G1368" s="30" t="s">
        <v>39</v>
      </c>
      <c r="H1368" s="27" t="s">
        <v>40</v>
      </c>
      <c r="I1368" s="27" t="s">
        <v>49</v>
      </c>
      <c r="J1368" s="27" t="s">
        <v>72</v>
      </c>
      <c r="K1368" s="27" t="s">
        <v>73</v>
      </c>
      <c r="L1368" s="31" t="s">
        <v>2416</v>
      </c>
      <c r="M1368" s="32">
        <v>0.35</v>
      </c>
      <c r="N1368" s="27" t="s">
        <v>33</v>
      </c>
      <c r="O1368" s="27" t="s">
        <v>53</v>
      </c>
      <c r="P1368" s="27" t="s">
        <v>80</v>
      </c>
      <c r="Q1368" s="27" t="s">
        <v>2417</v>
      </c>
      <c r="R1368" s="33">
        <v>63141</v>
      </c>
      <c r="S1368" s="34">
        <v>42128</v>
      </c>
      <c r="T1368" s="34">
        <v>42129</v>
      </c>
      <c r="U1368" s="29">
        <v>3.5581</v>
      </c>
      <c r="V1368" s="26">
        <v>8</v>
      </c>
      <c r="W1368" s="29">
        <v>52.43</v>
      </c>
      <c r="X1368" s="26">
        <v>89777</v>
      </c>
      <c r="Y1368" s="35">
        <v>160.94999999999999</v>
      </c>
      <c r="Z1368" s="1" t="s">
        <v>3012</v>
      </c>
      <c r="AA1368" s="36">
        <v>0</v>
      </c>
      <c r="AB1368" s="54">
        <v>34.079500000000003</v>
      </c>
      <c r="AC1368" s="54">
        <v>2.2938125</v>
      </c>
      <c r="AD1368" s="36">
        <v>43.901899999999998</v>
      </c>
    </row>
    <row r="1369" spans="1:30" s="37" customFormat="1" ht="15.75" customHeight="1" x14ac:dyDescent="0.2">
      <c r="A1369" s="26">
        <v>344</v>
      </c>
      <c r="B1369" s="27" t="s">
        <v>2399</v>
      </c>
      <c r="C1369" s="27" t="s">
        <v>26</v>
      </c>
      <c r="D1369" s="28">
        <v>0.01</v>
      </c>
      <c r="E1369" s="29">
        <v>3.26</v>
      </c>
      <c r="F1369" s="29">
        <v>1.86</v>
      </c>
      <c r="G1369" s="30" t="s">
        <v>39</v>
      </c>
      <c r="H1369" s="27" t="s">
        <v>94</v>
      </c>
      <c r="I1369" s="27" t="s">
        <v>49</v>
      </c>
      <c r="J1369" s="27" t="s">
        <v>50</v>
      </c>
      <c r="K1369" s="27" t="s">
        <v>51</v>
      </c>
      <c r="L1369" s="31" t="s">
        <v>2398</v>
      </c>
      <c r="M1369" s="32">
        <v>0.41</v>
      </c>
      <c r="N1369" s="27" t="s">
        <v>33</v>
      </c>
      <c r="O1369" s="27" t="s">
        <v>111</v>
      </c>
      <c r="P1369" s="27" t="s">
        <v>331</v>
      </c>
      <c r="Q1369" s="27" t="s">
        <v>2400</v>
      </c>
      <c r="R1369" s="33">
        <v>4101</v>
      </c>
      <c r="S1369" s="34">
        <v>42128</v>
      </c>
      <c r="T1369" s="34">
        <v>42130</v>
      </c>
      <c r="U1369" s="29">
        <v>0.70199999999999996</v>
      </c>
      <c r="V1369" s="26">
        <v>5</v>
      </c>
      <c r="W1369" s="29">
        <v>18.489999999999998</v>
      </c>
      <c r="X1369" s="26">
        <v>88152</v>
      </c>
      <c r="Y1369" s="35">
        <v>65.949999999999989</v>
      </c>
      <c r="Z1369" s="1" t="s">
        <v>3014</v>
      </c>
      <c r="AA1369" s="36">
        <v>0.16299999999999998</v>
      </c>
      <c r="AB1369" s="54">
        <v>10.9091</v>
      </c>
      <c r="AC1369" s="54">
        <v>1.5161799999999996</v>
      </c>
      <c r="AD1369" s="36">
        <v>15.764999999999999</v>
      </c>
    </row>
    <row r="1370" spans="1:30" s="37" customFormat="1" ht="15.75" customHeight="1" x14ac:dyDescent="0.2">
      <c r="A1370" s="26">
        <v>335</v>
      </c>
      <c r="B1370" s="27" t="s">
        <v>2395</v>
      </c>
      <c r="C1370" s="27" t="s">
        <v>26</v>
      </c>
      <c r="D1370" s="28">
        <v>0.09</v>
      </c>
      <c r="E1370" s="29">
        <v>6.28</v>
      </c>
      <c r="F1370" s="29">
        <v>5.29</v>
      </c>
      <c r="G1370" s="30" t="s">
        <v>39</v>
      </c>
      <c r="H1370" s="27" t="s">
        <v>94</v>
      </c>
      <c r="I1370" s="27" t="s">
        <v>29</v>
      </c>
      <c r="J1370" s="27" t="s">
        <v>126</v>
      </c>
      <c r="K1370" s="27" t="s">
        <v>73</v>
      </c>
      <c r="L1370" s="31" t="s">
        <v>1575</v>
      </c>
      <c r="M1370" s="32">
        <v>0.43</v>
      </c>
      <c r="N1370" s="27" t="s">
        <v>33</v>
      </c>
      <c r="O1370" s="27" t="s">
        <v>60</v>
      </c>
      <c r="P1370" s="27" t="s">
        <v>139</v>
      </c>
      <c r="Q1370" s="27" t="s">
        <v>2396</v>
      </c>
      <c r="R1370" s="33">
        <v>97504</v>
      </c>
      <c r="S1370" s="34">
        <v>42128</v>
      </c>
      <c r="T1370" s="34">
        <v>42128</v>
      </c>
      <c r="U1370" s="29">
        <v>-5.2</v>
      </c>
      <c r="V1370" s="26">
        <v>1</v>
      </c>
      <c r="W1370" s="29">
        <v>8.5299999999999994</v>
      </c>
      <c r="X1370" s="26">
        <v>87277</v>
      </c>
      <c r="Y1370" s="35">
        <v>5.77</v>
      </c>
      <c r="Z1370" s="1" t="s">
        <v>3013</v>
      </c>
      <c r="AA1370" s="36">
        <v>0.56520000000000004</v>
      </c>
      <c r="AB1370" s="54">
        <v>4.8620999999999999</v>
      </c>
      <c r="AC1370" s="54">
        <v>3.6678999999999995</v>
      </c>
      <c r="AD1370" s="36">
        <v>7.8747999999999996</v>
      </c>
    </row>
    <row r="1371" spans="1:30" s="37" customFormat="1" ht="15.75" customHeight="1" x14ac:dyDescent="0.2">
      <c r="A1371" s="26">
        <v>693</v>
      </c>
      <c r="B1371" s="27" t="s">
        <v>1549</v>
      </c>
      <c r="C1371" s="27" t="s">
        <v>38</v>
      </c>
      <c r="D1371" s="28">
        <v>0</v>
      </c>
      <c r="E1371" s="29">
        <v>230.98</v>
      </c>
      <c r="F1371" s="29">
        <v>23.78</v>
      </c>
      <c r="G1371" s="30" t="s">
        <v>27</v>
      </c>
      <c r="H1371" s="27" t="s">
        <v>3095</v>
      </c>
      <c r="I1371" s="27" t="s">
        <v>29</v>
      </c>
      <c r="J1371" s="27" t="s">
        <v>30</v>
      </c>
      <c r="K1371" s="27" t="s">
        <v>31</v>
      </c>
      <c r="L1371" s="31" t="s">
        <v>1528</v>
      </c>
      <c r="M1371" s="32">
        <v>0.6</v>
      </c>
      <c r="N1371" s="27" t="s">
        <v>33</v>
      </c>
      <c r="O1371" s="27" t="s">
        <v>60</v>
      </c>
      <c r="P1371" s="27" t="s">
        <v>61</v>
      </c>
      <c r="Q1371" s="27" t="s">
        <v>1550</v>
      </c>
      <c r="R1371" s="33">
        <v>80229</v>
      </c>
      <c r="S1371" s="34">
        <v>42129</v>
      </c>
      <c r="T1371" s="34">
        <v>42131</v>
      </c>
      <c r="U1371" s="29">
        <v>6095.8602000000001</v>
      </c>
      <c r="V1371" s="26">
        <v>36</v>
      </c>
      <c r="W1371" s="29">
        <v>8834.58</v>
      </c>
      <c r="X1371" s="26">
        <v>87813</v>
      </c>
      <c r="Y1371" s="35">
        <v>230.98</v>
      </c>
      <c r="Z1371" s="1" t="s">
        <v>3013</v>
      </c>
      <c r="AA1371" s="36">
        <v>0</v>
      </c>
      <c r="AB1371" s="54">
        <v>3533.8320000000003</v>
      </c>
      <c r="AC1371" s="54">
        <v>147.24299999999999</v>
      </c>
      <c r="AD1371" s="36">
        <v>2714.9398000000001</v>
      </c>
    </row>
    <row r="1372" spans="1:30" s="37" customFormat="1" ht="15.75" customHeight="1" x14ac:dyDescent="0.2">
      <c r="A1372" s="26">
        <v>2382</v>
      </c>
      <c r="B1372" s="27" t="s">
        <v>2306</v>
      </c>
      <c r="C1372" s="27" t="s">
        <v>48</v>
      </c>
      <c r="D1372" s="28">
        <v>0.06</v>
      </c>
      <c r="E1372" s="29">
        <v>122.99</v>
      </c>
      <c r="F1372" s="29">
        <v>19.989999999999998</v>
      </c>
      <c r="G1372" s="30" t="s">
        <v>39</v>
      </c>
      <c r="H1372" s="27" t="s">
        <v>3095</v>
      </c>
      <c r="I1372" s="27" t="s">
        <v>49</v>
      </c>
      <c r="J1372" s="27" t="s">
        <v>72</v>
      </c>
      <c r="K1372" s="27" t="s">
        <v>73</v>
      </c>
      <c r="L1372" s="31" t="s">
        <v>2424</v>
      </c>
      <c r="M1372" s="32">
        <v>0.37</v>
      </c>
      <c r="N1372" s="27" t="s">
        <v>33</v>
      </c>
      <c r="O1372" s="27" t="s">
        <v>111</v>
      </c>
      <c r="P1372" s="27" t="s">
        <v>112</v>
      </c>
      <c r="Q1372" s="27" t="s">
        <v>113</v>
      </c>
      <c r="R1372" s="33">
        <v>10024</v>
      </c>
      <c r="S1372" s="34">
        <v>42129</v>
      </c>
      <c r="T1372" s="34">
        <v>42131</v>
      </c>
      <c r="U1372" s="29">
        <v>1408.1865</v>
      </c>
      <c r="V1372" s="26">
        <v>48</v>
      </c>
      <c r="W1372" s="29">
        <v>5911.35</v>
      </c>
      <c r="X1372" s="26">
        <v>962</v>
      </c>
      <c r="Y1372" s="35">
        <v>120.94</v>
      </c>
      <c r="Z1372" s="1" t="s">
        <v>3014</v>
      </c>
      <c r="AA1372" s="36">
        <v>354.21119999999996</v>
      </c>
      <c r="AB1372" s="54">
        <v>3724.1505000000002</v>
      </c>
      <c r="AC1372" s="54">
        <v>45.566656250000001</v>
      </c>
      <c r="AD1372" s="36">
        <v>4128.9623000000001</v>
      </c>
    </row>
    <row r="1373" spans="1:30" s="37" customFormat="1" ht="15.75" customHeight="1" x14ac:dyDescent="0.2">
      <c r="A1373" s="26">
        <v>2382</v>
      </c>
      <c r="B1373" s="27" t="s">
        <v>2306</v>
      </c>
      <c r="C1373" s="27" t="s">
        <v>48</v>
      </c>
      <c r="D1373" s="28">
        <v>0.08</v>
      </c>
      <c r="E1373" s="29">
        <v>68.81</v>
      </c>
      <c r="F1373" s="29">
        <v>60</v>
      </c>
      <c r="G1373" s="30" t="s">
        <v>27</v>
      </c>
      <c r="H1373" s="27" t="s">
        <v>3095</v>
      </c>
      <c r="I1373" s="27" t="s">
        <v>49</v>
      </c>
      <c r="J1373" s="27" t="s">
        <v>95</v>
      </c>
      <c r="K1373" s="27" t="s">
        <v>58</v>
      </c>
      <c r="L1373" s="31" t="s">
        <v>1676</v>
      </c>
      <c r="M1373" s="32">
        <v>0.41</v>
      </c>
      <c r="N1373" s="27" t="s">
        <v>33</v>
      </c>
      <c r="O1373" s="27" t="s">
        <v>111</v>
      </c>
      <c r="P1373" s="27" t="s">
        <v>112</v>
      </c>
      <c r="Q1373" s="27" t="s">
        <v>113</v>
      </c>
      <c r="R1373" s="33">
        <v>10024</v>
      </c>
      <c r="S1373" s="34">
        <v>42129</v>
      </c>
      <c r="T1373" s="34">
        <v>42131</v>
      </c>
      <c r="U1373" s="29">
        <v>-1069.72</v>
      </c>
      <c r="V1373" s="26">
        <v>68</v>
      </c>
      <c r="W1373" s="29">
        <v>4649.8500000000004</v>
      </c>
      <c r="X1373" s="26">
        <v>962</v>
      </c>
      <c r="Y1373" s="35">
        <v>55.97</v>
      </c>
      <c r="Z1373" s="1" t="s">
        <v>3014</v>
      </c>
      <c r="AA1373" s="36">
        <v>374.32640000000004</v>
      </c>
      <c r="AB1373" s="54">
        <v>2743.4115000000006</v>
      </c>
      <c r="AC1373" s="54">
        <v>28.035860294117651</v>
      </c>
      <c r="AD1373" s="36">
        <v>5285.2436000000007</v>
      </c>
    </row>
    <row r="1374" spans="1:30" s="37" customFormat="1" ht="15.75" customHeight="1" x14ac:dyDescent="0.2">
      <c r="A1374" s="26">
        <v>2273</v>
      </c>
      <c r="B1374" s="27" t="s">
        <v>2418</v>
      </c>
      <c r="C1374" s="27" t="s">
        <v>48</v>
      </c>
      <c r="D1374" s="28">
        <v>0.04</v>
      </c>
      <c r="E1374" s="29">
        <v>120.98</v>
      </c>
      <c r="F1374" s="29">
        <v>3.99</v>
      </c>
      <c r="G1374" s="30" t="s">
        <v>39</v>
      </c>
      <c r="H1374" s="27" t="s">
        <v>94</v>
      </c>
      <c r="I1374" s="27" t="s">
        <v>49</v>
      </c>
      <c r="J1374" s="27" t="s">
        <v>95</v>
      </c>
      <c r="K1374" s="27" t="s">
        <v>73</v>
      </c>
      <c r="L1374" s="31" t="s">
        <v>2419</v>
      </c>
      <c r="M1374" s="32">
        <v>0.6</v>
      </c>
      <c r="N1374" s="27" t="s">
        <v>33</v>
      </c>
      <c r="O1374" s="27" t="s">
        <v>53</v>
      </c>
      <c r="P1374" s="27" t="s">
        <v>187</v>
      </c>
      <c r="Q1374" s="27" t="s">
        <v>2420</v>
      </c>
      <c r="R1374" s="33">
        <v>78550</v>
      </c>
      <c r="S1374" s="34">
        <v>42129</v>
      </c>
      <c r="T1374" s="34">
        <v>42129</v>
      </c>
      <c r="U1374" s="29">
        <v>1389.5771999999999</v>
      </c>
      <c r="V1374" s="26">
        <v>17</v>
      </c>
      <c r="W1374" s="29">
        <v>2013.88</v>
      </c>
      <c r="X1374" s="26">
        <v>90109</v>
      </c>
      <c r="Y1374" s="35">
        <v>23.939999999999998</v>
      </c>
      <c r="Z1374" s="1" t="s">
        <v>3012</v>
      </c>
      <c r="AA1374" s="36">
        <v>82.266400000000004</v>
      </c>
      <c r="AB1374" s="54">
        <v>805.55200000000013</v>
      </c>
      <c r="AC1374" s="54">
        <v>71.078117647058818</v>
      </c>
      <c r="AD1374" s="36">
        <v>538.04640000000018</v>
      </c>
    </row>
    <row r="1375" spans="1:30" s="37" customFormat="1" ht="15.75" customHeight="1" x14ac:dyDescent="0.2">
      <c r="A1375" s="26">
        <v>2379</v>
      </c>
      <c r="B1375" s="27" t="s">
        <v>2423</v>
      </c>
      <c r="C1375" s="27" t="s">
        <v>48</v>
      </c>
      <c r="D1375" s="28">
        <v>0.06</v>
      </c>
      <c r="E1375" s="29">
        <v>122.99</v>
      </c>
      <c r="F1375" s="29">
        <v>19.989999999999998</v>
      </c>
      <c r="G1375" s="30" t="s">
        <v>39</v>
      </c>
      <c r="H1375" s="27" t="s">
        <v>3095</v>
      </c>
      <c r="I1375" s="27" t="s">
        <v>49</v>
      </c>
      <c r="J1375" s="27" t="s">
        <v>72</v>
      </c>
      <c r="K1375" s="27" t="s">
        <v>73</v>
      </c>
      <c r="L1375" s="31" t="s">
        <v>2424</v>
      </c>
      <c r="M1375" s="32">
        <v>0.37</v>
      </c>
      <c r="N1375" s="27" t="s">
        <v>33</v>
      </c>
      <c r="O1375" s="27" t="s">
        <v>53</v>
      </c>
      <c r="P1375" s="27" t="s">
        <v>289</v>
      </c>
      <c r="Q1375" s="27" t="s">
        <v>2065</v>
      </c>
      <c r="R1375" s="33">
        <v>48135</v>
      </c>
      <c r="S1375" s="34">
        <v>42129</v>
      </c>
      <c r="T1375" s="34">
        <v>42131</v>
      </c>
      <c r="U1375" s="29">
        <v>1019.7096</v>
      </c>
      <c r="V1375" s="26">
        <v>12</v>
      </c>
      <c r="W1375" s="29">
        <v>1477.84</v>
      </c>
      <c r="X1375" s="26">
        <v>86655</v>
      </c>
      <c r="Y1375" s="35">
        <v>122.92999999999999</v>
      </c>
      <c r="Z1375" s="1" t="s">
        <v>3012</v>
      </c>
      <c r="AA1375" s="36">
        <v>88.552799999999991</v>
      </c>
      <c r="AB1375" s="54">
        <v>931.03919999999994</v>
      </c>
      <c r="AC1375" s="54">
        <v>45.566733333333332</v>
      </c>
      <c r="AD1375" s="36">
        <v>349.58760000000007</v>
      </c>
    </row>
    <row r="1376" spans="1:30" s="37" customFormat="1" ht="15.75" customHeight="1" x14ac:dyDescent="0.2">
      <c r="A1376" s="26">
        <v>2380</v>
      </c>
      <c r="B1376" s="27" t="s">
        <v>2304</v>
      </c>
      <c r="C1376" s="27" t="s">
        <v>48</v>
      </c>
      <c r="D1376" s="28">
        <v>0.08</v>
      </c>
      <c r="E1376" s="29">
        <v>68.81</v>
      </c>
      <c r="F1376" s="29">
        <v>60</v>
      </c>
      <c r="G1376" s="30" t="s">
        <v>27</v>
      </c>
      <c r="H1376" s="27" t="s">
        <v>3095</v>
      </c>
      <c r="I1376" s="27" t="s">
        <v>49</v>
      </c>
      <c r="J1376" s="27" t="s">
        <v>95</v>
      </c>
      <c r="K1376" s="27" t="s">
        <v>58</v>
      </c>
      <c r="L1376" s="31" t="s">
        <v>1676</v>
      </c>
      <c r="M1376" s="32">
        <v>0.41</v>
      </c>
      <c r="N1376" s="27" t="s">
        <v>33</v>
      </c>
      <c r="O1376" s="27" t="s">
        <v>53</v>
      </c>
      <c r="P1376" s="27" t="s">
        <v>289</v>
      </c>
      <c r="Q1376" s="27" t="s">
        <v>2305</v>
      </c>
      <c r="R1376" s="33">
        <v>49505</v>
      </c>
      <c r="S1376" s="34">
        <v>42129</v>
      </c>
      <c r="T1376" s="34">
        <v>42131</v>
      </c>
      <c r="U1376" s="29">
        <v>-1069.72</v>
      </c>
      <c r="V1376" s="26">
        <v>17</v>
      </c>
      <c r="W1376" s="29">
        <v>1162.46</v>
      </c>
      <c r="X1376" s="26">
        <v>86655</v>
      </c>
      <c r="Y1376" s="35">
        <v>68.73</v>
      </c>
      <c r="Z1376" s="1" t="s">
        <v>3012</v>
      </c>
      <c r="AA1376" s="36">
        <v>93.581600000000009</v>
      </c>
      <c r="AB1376" s="54">
        <v>685.85140000000013</v>
      </c>
      <c r="AC1376" s="54">
        <v>28.035799999999995</v>
      </c>
      <c r="AD1376" s="36">
        <v>2078.5983999999999</v>
      </c>
    </row>
    <row r="1377" spans="1:30" s="37" customFormat="1" ht="15.75" customHeight="1" x14ac:dyDescent="0.2">
      <c r="A1377" s="26">
        <v>2509</v>
      </c>
      <c r="B1377" s="27" t="s">
        <v>2426</v>
      </c>
      <c r="C1377" s="27" t="s">
        <v>116</v>
      </c>
      <c r="D1377" s="28">
        <v>0.05</v>
      </c>
      <c r="E1377" s="29">
        <v>30.98</v>
      </c>
      <c r="F1377" s="29">
        <v>9.18</v>
      </c>
      <c r="G1377" s="30" t="s">
        <v>39</v>
      </c>
      <c r="H1377" s="27" t="s">
        <v>71</v>
      </c>
      <c r="I1377" s="27" t="s">
        <v>49</v>
      </c>
      <c r="J1377" s="27" t="s">
        <v>88</v>
      </c>
      <c r="K1377" s="27" t="s">
        <v>73</v>
      </c>
      <c r="L1377" s="31" t="s">
        <v>2249</v>
      </c>
      <c r="M1377" s="32">
        <v>0.4</v>
      </c>
      <c r="N1377" s="27" t="s">
        <v>33</v>
      </c>
      <c r="O1377" s="27" t="s">
        <v>111</v>
      </c>
      <c r="P1377" s="27" t="s">
        <v>331</v>
      </c>
      <c r="Q1377" s="27" t="s">
        <v>2427</v>
      </c>
      <c r="R1377" s="33">
        <v>4106</v>
      </c>
      <c r="S1377" s="34">
        <v>42129</v>
      </c>
      <c r="T1377" s="34">
        <v>42129</v>
      </c>
      <c r="U1377" s="29">
        <v>308.67</v>
      </c>
      <c r="V1377" s="26">
        <v>15</v>
      </c>
      <c r="W1377" s="29">
        <v>462.57</v>
      </c>
      <c r="X1377" s="26">
        <v>87029</v>
      </c>
      <c r="Y1377" s="35">
        <v>122.92999999999999</v>
      </c>
      <c r="Z1377" s="1" t="s">
        <v>3014</v>
      </c>
      <c r="AA1377" s="36">
        <v>23.235000000000003</v>
      </c>
      <c r="AB1377" s="54">
        <v>277.54199999999997</v>
      </c>
      <c r="AC1377" s="54">
        <v>12.3352</v>
      </c>
      <c r="AD1377" s="36">
        <v>121.48499999999996</v>
      </c>
    </row>
    <row r="1378" spans="1:30" s="37" customFormat="1" ht="15.75" customHeight="1" x14ac:dyDescent="0.2">
      <c r="A1378" s="26">
        <v>2274</v>
      </c>
      <c r="B1378" s="27" t="s">
        <v>2421</v>
      </c>
      <c r="C1378" s="27" t="s">
        <v>48</v>
      </c>
      <c r="D1378" s="28">
        <v>0.05</v>
      </c>
      <c r="E1378" s="29">
        <v>23.99</v>
      </c>
      <c r="F1378" s="29">
        <v>15.68</v>
      </c>
      <c r="G1378" s="30" t="s">
        <v>27</v>
      </c>
      <c r="H1378" s="27" t="s">
        <v>94</v>
      </c>
      <c r="I1378" s="27" t="s">
        <v>29</v>
      </c>
      <c r="J1378" s="27" t="s">
        <v>126</v>
      </c>
      <c r="K1378" s="27" t="s">
        <v>58</v>
      </c>
      <c r="L1378" s="31" t="s">
        <v>2422</v>
      </c>
      <c r="M1378" s="32">
        <v>0.62</v>
      </c>
      <c r="N1378" s="27" t="s">
        <v>33</v>
      </c>
      <c r="O1378" s="27" t="s">
        <v>53</v>
      </c>
      <c r="P1378" s="27" t="s">
        <v>187</v>
      </c>
      <c r="Q1378" s="27" t="s">
        <v>1753</v>
      </c>
      <c r="R1378" s="33">
        <v>77036</v>
      </c>
      <c r="S1378" s="34">
        <v>42129</v>
      </c>
      <c r="T1378" s="34">
        <v>42133</v>
      </c>
      <c r="U1378" s="29">
        <v>-133.71</v>
      </c>
      <c r="V1378" s="26">
        <v>12</v>
      </c>
      <c r="W1378" s="29">
        <v>298.51</v>
      </c>
      <c r="X1378" s="26">
        <v>90109</v>
      </c>
      <c r="Y1378" s="35">
        <v>68.73</v>
      </c>
      <c r="Z1378" s="1" t="s">
        <v>3012</v>
      </c>
      <c r="AA1378" s="36">
        <v>14.394</v>
      </c>
      <c r="AB1378" s="54">
        <v>113.43379999999999</v>
      </c>
      <c r="AC1378" s="54">
        <v>15.423016666666665</v>
      </c>
      <c r="AD1378" s="36">
        <v>402.14599999999996</v>
      </c>
    </row>
    <row r="1379" spans="1:30" s="37" customFormat="1" ht="15.75" customHeight="1" x14ac:dyDescent="0.2">
      <c r="A1379" s="26">
        <v>2273</v>
      </c>
      <c r="B1379" s="27" t="s">
        <v>2418</v>
      </c>
      <c r="C1379" s="27" t="s">
        <v>48</v>
      </c>
      <c r="D1379" s="28">
        <v>0.02</v>
      </c>
      <c r="E1379" s="29">
        <v>55.99</v>
      </c>
      <c r="F1379" s="29">
        <v>5</v>
      </c>
      <c r="G1379" s="30" t="s">
        <v>39</v>
      </c>
      <c r="H1379" s="27" t="s">
        <v>94</v>
      </c>
      <c r="I1379" s="27" t="s">
        <v>41</v>
      </c>
      <c r="J1379" s="27" t="s">
        <v>135</v>
      </c>
      <c r="K1379" s="27" t="s">
        <v>43</v>
      </c>
      <c r="L1379" s="31" t="s">
        <v>1938</v>
      </c>
      <c r="M1379" s="32">
        <v>0.83</v>
      </c>
      <c r="N1379" s="27" t="s">
        <v>33</v>
      </c>
      <c r="O1379" s="27" t="s">
        <v>53</v>
      </c>
      <c r="P1379" s="27" t="s">
        <v>187</v>
      </c>
      <c r="Q1379" s="27" t="s">
        <v>2420</v>
      </c>
      <c r="R1379" s="33">
        <v>78550</v>
      </c>
      <c r="S1379" s="34">
        <v>42129</v>
      </c>
      <c r="T1379" s="34">
        <v>42129</v>
      </c>
      <c r="U1379" s="29">
        <v>-222.816</v>
      </c>
      <c r="V1379" s="26">
        <v>4</v>
      </c>
      <c r="W1379" s="29">
        <v>201.32</v>
      </c>
      <c r="X1379" s="26">
        <v>90109</v>
      </c>
      <c r="Y1379" s="35">
        <v>15.120000000000001</v>
      </c>
      <c r="Z1379" s="1" t="s">
        <v>3012</v>
      </c>
      <c r="AA1379" s="36">
        <v>4.4792000000000005</v>
      </c>
      <c r="AB1379" s="54">
        <v>34.22440000000001</v>
      </c>
      <c r="AC1379" s="54">
        <v>41.773899999999998</v>
      </c>
      <c r="AD1379" s="36">
        <v>414.65679999999998</v>
      </c>
    </row>
    <row r="1380" spans="1:30" s="37" customFormat="1" ht="15.75" customHeight="1" x14ac:dyDescent="0.2">
      <c r="A1380" s="26">
        <v>1979</v>
      </c>
      <c r="B1380" s="27" t="s">
        <v>2428</v>
      </c>
      <c r="C1380" s="27" t="s">
        <v>3094</v>
      </c>
      <c r="D1380" s="28">
        <v>0.05</v>
      </c>
      <c r="E1380" s="29">
        <v>20.99</v>
      </c>
      <c r="F1380" s="29">
        <v>3.3</v>
      </c>
      <c r="G1380" s="30" t="s">
        <v>39</v>
      </c>
      <c r="H1380" s="27" t="s">
        <v>94</v>
      </c>
      <c r="I1380" s="27" t="s">
        <v>41</v>
      </c>
      <c r="J1380" s="27" t="s">
        <v>135</v>
      </c>
      <c r="K1380" s="27" t="s">
        <v>43</v>
      </c>
      <c r="L1380" s="31" t="s">
        <v>1583</v>
      </c>
      <c r="M1380" s="32">
        <v>0.81</v>
      </c>
      <c r="N1380" s="27" t="s">
        <v>33</v>
      </c>
      <c r="O1380" s="27" t="s">
        <v>60</v>
      </c>
      <c r="P1380" s="27" t="s">
        <v>61</v>
      </c>
      <c r="Q1380" s="27" t="s">
        <v>2429</v>
      </c>
      <c r="R1380" s="33">
        <v>80122</v>
      </c>
      <c r="S1380" s="34">
        <v>42129</v>
      </c>
      <c r="T1380" s="34">
        <v>42130</v>
      </c>
      <c r="U1380" s="29">
        <v>21.883400000000002</v>
      </c>
      <c r="V1380" s="26">
        <v>4</v>
      </c>
      <c r="W1380" s="29">
        <v>72.75</v>
      </c>
      <c r="X1380" s="26">
        <v>87757</v>
      </c>
      <c r="Y1380" s="35">
        <v>30.93</v>
      </c>
      <c r="Z1380" s="1" t="s">
        <v>3013</v>
      </c>
      <c r="AA1380" s="36">
        <v>4.1979999999999995</v>
      </c>
      <c r="AB1380" s="54">
        <v>13.822499999999996</v>
      </c>
      <c r="AC1380" s="54">
        <v>14.731875</v>
      </c>
      <c r="AD1380" s="36">
        <v>43.368600000000001</v>
      </c>
    </row>
    <row r="1381" spans="1:30" s="37" customFormat="1" ht="15.75" customHeight="1" x14ac:dyDescent="0.2">
      <c r="A1381" s="26">
        <v>1101</v>
      </c>
      <c r="B1381" s="27" t="s">
        <v>2425</v>
      </c>
      <c r="C1381" s="27" t="s">
        <v>116</v>
      </c>
      <c r="D1381" s="28">
        <v>0.02</v>
      </c>
      <c r="E1381" s="29">
        <v>15.14</v>
      </c>
      <c r="F1381" s="29">
        <v>4.53</v>
      </c>
      <c r="G1381" s="30" t="s">
        <v>39</v>
      </c>
      <c r="H1381" s="27" t="s">
        <v>3095</v>
      </c>
      <c r="I1381" s="27" t="s">
        <v>49</v>
      </c>
      <c r="J1381" s="27" t="s">
        <v>78</v>
      </c>
      <c r="K1381" s="27" t="s">
        <v>73</v>
      </c>
      <c r="L1381" s="31" t="s">
        <v>1355</v>
      </c>
      <c r="M1381" s="32">
        <v>0.81</v>
      </c>
      <c r="N1381" s="27" t="s">
        <v>33</v>
      </c>
      <c r="O1381" s="27" t="s">
        <v>60</v>
      </c>
      <c r="P1381" s="27" t="s">
        <v>90</v>
      </c>
      <c r="Q1381" s="27" t="s">
        <v>1255</v>
      </c>
      <c r="R1381" s="33">
        <v>93030</v>
      </c>
      <c r="S1381" s="34">
        <v>42129</v>
      </c>
      <c r="T1381" s="34">
        <v>42130</v>
      </c>
      <c r="U1381" s="29">
        <v>5.8840000000000003</v>
      </c>
      <c r="V1381" s="26">
        <v>3</v>
      </c>
      <c r="W1381" s="29">
        <v>51.02</v>
      </c>
      <c r="X1381" s="26">
        <v>91488</v>
      </c>
      <c r="Y1381" s="35">
        <v>20.939999999999998</v>
      </c>
      <c r="Z1381" s="1" t="s">
        <v>3013</v>
      </c>
      <c r="AA1381" s="36">
        <v>0.9084000000000001</v>
      </c>
      <c r="AB1381" s="54">
        <v>9.6937999999999978</v>
      </c>
      <c r="AC1381" s="54">
        <v>13.775400000000001</v>
      </c>
      <c r="AD1381" s="36">
        <v>39.697600000000001</v>
      </c>
    </row>
    <row r="1382" spans="1:30" s="37" customFormat="1" ht="15.75" customHeight="1" x14ac:dyDescent="0.2">
      <c r="A1382" s="26">
        <v>1416</v>
      </c>
      <c r="B1382" s="27" t="s">
        <v>2430</v>
      </c>
      <c r="C1382" s="27" t="s">
        <v>26</v>
      </c>
      <c r="D1382" s="28">
        <v>0.02</v>
      </c>
      <c r="E1382" s="29">
        <v>417.4</v>
      </c>
      <c r="F1382" s="29">
        <v>75.23</v>
      </c>
      <c r="G1382" s="30" t="s">
        <v>27</v>
      </c>
      <c r="H1382" s="27" t="s">
        <v>3095</v>
      </c>
      <c r="I1382" s="27" t="s">
        <v>29</v>
      </c>
      <c r="J1382" s="27" t="s">
        <v>30</v>
      </c>
      <c r="K1382" s="27" t="s">
        <v>31</v>
      </c>
      <c r="L1382" s="31" t="s">
        <v>1195</v>
      </c>
      <c r="M1382" s="32">
        <v>0.79</v>
      </c>
      <c r="N1382" s="27" t="s">
        <v>33</v>
      </c>
      <c r="O1382" s="27" t="s">
        <v>53</v>
      </c>
      <c r="P1382" s="27" t="s">
        <v>54</v>
      </c>
      <c r="Q1382" s="27" t="s">
        <v>1512</v>
      </c>
      <c r="R1382" s="33">
        <v>46203</v>
      </c>
      <c r="S1382" s="34">
        <v>42130</v>
      </c>
      <c r="T1382" s="34">
        <v>42131</v>
      </c>
      <c r="U1382" s="29">
        <v>-634.86540000000002</v>
      </c>
      <c r="V1382" s="26">
        <v>1</v>
      </c>
      <c r="W1382" s="29">
        <v>471.21</v>
      </c>
      <c r="X1382" s="26">
        <v>90538</v>
      </c>
      <c r="Y1382" s="35">
        <v>417.38</v>
      </c>
      <c r="Z1382" s="1" t="s">
        <v>3012</v>
      </c>
      <c r="AA1382" s="36">
        <v>8.347999999999999</v>
      </c>
      <c r="AB1382" s="54">
        <v>98.954099999999983</v>
      </c>
      <c r="AC1382" s="54">
        <v>372.2559</v>
      </c>
      <c r="AD1382" s="36">
        <v>1022.4974</v>
      </c>
    </row>
    <row r="1383" spans="1:30" s="37" customFormat="1" ht="15.75" customHeight="1" x14ac:dyDescent="0.2">
      <c r="A1383" s="26">
        <v>1986</v>
      </c>
      <c r="B1383" s="27" t="s">
        <v>2433</v>
      </c>
      <c r="C1383" s="27" t="s">
        <v>3094</v>
      </c>
      <c r="D1383" s="28">
        <v>0.01</v>
      </c>
      <c r="E1383" s="29">
        <v>15.31</v>
      </c>
      <c r="F1383" s="29">
        <v>8.7799999999999994</v>
      </c>
      <c r="G1383" s="30" t="s">
        <v>39</v>
      </c>
      <c r="H1383" s="27" t="s">
        <v>71</v>
      </c>
      <c r="I1383" s="27" t="s">
        <v>49</v>
      </c>
      <c r="J1383" s="27" t="s">
        <v>78</v>
      </c>
      <c r="K1383" s="27" t="s">
        <v>73</v>
      </c>
      <c r="L1383" s="31" t="s">
        <v>2434</v>
      </c>
      <c r="M1383" s="32">
        <v>0.56999999999999995</v>
      </c>
      <c r="N1383" s="27" t="s">
        <v>33</v>
      </c>
      <c r="O1383" s="27" t="s">
        <v>53</v>
      </c>
      <c r="P1383" s="27" t="s">
        <v>187</v>
      </c>
      <c r="Q1383" s="27" t="s">
        <v>1504</v>
      </c>
      <c r="R1383" s="33">
        <v>79701</v>
      </c>
      <c r="S1383" s="34">
        <v>42130</v>
      </c>
      <c r="T1383" s="34">
        <v>42131</v>
      </c>
      <c r="U1383" s="29">
        <v>12.146000000000001</v>
      </c>
      <c r="V1383" s="26">
        <v>23</v>
      </c>
      <c r="W1383" s="29">
        <v>377</v>
      </c>
      <c r="X1383" s="26">
        <v>90888</v>
      </c>
      <c r="Y1383" s="35">
        <v>9.07</v>
      </c>
      <c r="Z1383" s="1" t="s">
        <v>3012</v>
      </c>
      <c r="AA1383" s="36">
        <v>3.5213000000000001</v>
      </c>
      <c r="AB1383" s="54">
        <v>162.11000000000001</v>
      </c>
      <c r="AC1383" s="54">
        <v>9.3430434782608689</v>
      </c>
      <c r="AD1383" s="36">
        <v>352.55270000000002</v>
      </c>
    </row>
    <row r="1384" spans="1:30" s="37" customFormat="1" ht="15.75" customHeight="1" x14ac:dyDescent="0.2">
      <c r="A1384" s="26">
        <v>2420</v>
      </c>
      <c r="B1384" s="27" t="s">
        <v>2431</v>
      </c>
      <c r="C1384" s="27" t="s">
        <v>38</v>
      </c>
      <c r="D1384" s="28">
        <v>0.04</v>
      </c>
      <c r="E1384" s="29">
        <v>9.11</v>
      </c>
      <c r="F1384" s="29">
        <v>2.15</v>
      </c>
      <c r="G1384" s="30" t="s">
        <v>39</v>
      </c>
      <c r="H1384" s="27" t="s">
        <v>40</v>
      </c>
      <c r="I1384" s="27" t="s">
        <v>49</v>
      </c>
      <c r="J1384" s="27" t="s">
        <v>88</v>
      </c>
      <c r="K1384" s="27" t="s">
        <v>51</v>
      </c>
      <c r="L1384" s="31" t="s">
        <v>89</v>
      </c>
      <c r="M1384" s="32">
        <v>0.4</v>
      </c>
      <c r="N1384" s="27" t="s">
        <v>33</v>
      </c>
      <c r="O1384" s="27" t="s">
        <v>34</v>
      </c>
      <c r="P1384" s="27" t="s">
        <v>242</v>
      </c>
      <c r="Q1384" s="27" t="s">
        <v>2432</v>
      </c>
      <c r="R1384" s="33">
        <v>23223</v>
      </c>
      <c r="S1384" s="34">
        <v>42130</v>
      </c>
      <c r="T1384" s="34">
        <v>42130</v>
      </c>
      <c r="U1384" s="29">
        <v>-23.071999999999999</v>
      </c>
      <c r="V1384" s="26">
        <v>11</v>
      </c>
      <c r="W1384" s="29">
        <v>100.87</v>
      </c>
      <c r="X1384" s="26">
        <v>86752</v>
      </c>
      <c r="Y1384" s="35">
        <v>15.3</v>
      </c>
      <c r="Z1384" s="1" t="s">
        <v>3011</v>
      </c>
      <c r="AA1384" s="36">
        <v>4.0084</v>
      </c>
      <c r="AB1384" s="54">
        <v>60.521999999999998</v>
      </c>
      <c r="AC1384" s="54">
        <v>3.6680000000000001</v>
      </c>
      <c r="AD1384" s="36">
        <v>117.78360000000001</v>
      </c>
    </row>
    <row r="1385" spans="1:30" s="37" customFormat="1" ht="15.75" customHeight="1" x14ac:dyDescent="0.2">
      <c r="A1385" s="26">
        <v>1986</v>
      </c>
      <c r="B1385" s="27" t="s">
        <v>2433</v>
      </c>
      <c r="C1385" s="27" t="s">
        <v>3094</v>
      </c>
      <c r="D1385" s="28">
        <v>0.05</v>
      </c>
      <c r="E1385" s="29">
        <v>7.99</v>
      </c>
      <c r="F1385" s="29">
        <v>5.03</v>
      </c>
      <c r="G1385" s="30" t="s">
        <v>87</v>
      </c>
      <c r="H1385" s="27" t="s">
        <v>71</v>
      </c>
      <c r="I1385" s="27" t="s">
        <v>41</v>
      </c>
      <c r="J1385" s="27" t="s">
        <v>135</v>
      </c>
      <c r="K1385" s="27" t="s">
        <v>144</v>
      </c>
      <c r="L1385" s="31" t="s">
        <v>465</v>
      </c>
      <c r="M1385" s="32">
        <v>0.6</v>
      </c>
      <c r="N1385" s="27" t="s">
        <v>33</v>
      </c>
      <c r="O1385" s="27" t="s">
        <v>53</v>
      </c>
      <c r="P1385" s="27" t="s">
        <v>187</v>
      </c>
      <c r="Q1385" s="27" t="s">
        <v>1504</v>
      </c>
      <c r="R1385" s="33">
        <v>79701</v>
      </c>
      <c r="S1385" s="34">
        <v>42130</v>
      </c>
      <c r="T1385" s="34">
        <v>42132</v>
      </c>
      <c r="U1385" s="29">
        <v>5.6870000000000003</v>
      </c>
      <c r="V1385" s="26">
        <v>4</v>
      </c>
      <c r="W1385" s="29">
        <v>42.99</v>
      </c>
      <c r="X1385" s="26">
        <v>90888</v>
      </c>
      <c r="Y1385" s="35">
        <v>7.94</v>
      </c>
      <c r="Z1385" s="1" t="s">
        <v>3012</v>
      </c>
      <c r="AA1385" s="36">
        <v>1.5980000000000001</v>
      </c>
      <c r="AB1385" s="54">
        <v>17.196000000000002</v>
      </c>
      <c r="AC1385" s="54">
        <v>6.4485000000000001</v>
      </c>
      <c r="AD1385" s="36">
        <v>30.675000000000001</v>
      </c>
    </row>
    <row r="1386" spans="1:30" s="37" customFormat="1" ht="15.75" customHeight="1" x14ac:dyDescent="0.2">
      <c r="A1386" s="26">
        <v>3079</v>
      </c>
      <c r="B1386" s="27" t="s">
        <v>319</v>
      </c>
      <c r="C1386" s="27" t="s">
        <v>116</v>
      </c>
      <c r="D1386" s="28">
        <v>7.0000000000000007E-2</v>
      </c>
      <c r="E1386" s="29">
        <v>300.97000000000003</v>
      </c>
      <c r="F1386" s="29">
        <v>7.18</v>
      </c>
      <c r="G1386" s="30" t="s">
        <v>39</v>
      </c>
      <c r="H1386" s="27" t="s">
        <v>3095</v>
      </c>
      <c r="I1386" s="27" t="s">
        <v>41</v>
      </c>
      <c r="J1386" s="27" t="s">
        <v>42</v>
      </c>
      <c r="K1386" s="27" t="s">
        <v>73</v>
      </c>
      <c r="L1386" s="31" t="s">
        <v>2209</v>
      </c>
      <c r="M1386" s="32">
        <v>0.48</v>
      </c>
      <c r="N1386" s="27" t="s">
        <v>33</v>
      </c>
      <c r="O1386" s="27" t="s">
        <v>111</v>
      </c>
      <c r="P1386" s="27" t="s">
        <v>320</v>
      </c>
      <c r="Q1386" s="27" t="s">
        <v>321</v>
      </c>
      <c r="R1386" s="33">
        <v>19112</v>
      </c>
      <c r="S1386" s="34">
        <v>42131</v>
      </c>
      <c r="T1386" s="34">
        <v>42133</v>
      </c>
      <c r="U1386" s="29">
        <v>-807.59</v>
      </c>
      <c r="V1386" s="26">
        <v>7</v>
      </c>
      <c r="W1386" s="29">
        <v>2037.69</v>
      </c>
      <c r="X1386" s="26">
        <v>41253</v>
      </c>
      <c r="Y1386" s="35">
        <v>73.960000000000008</v>
      </c>
      <c r="Z1386" s="1" t="s">
        <v>3014</v>
      </c>
      <c r="AA1386" s="36">
        <v>147.47530000000003</v>
      </c>
      <c r="AB1386" s="54">
        <v>1059.5988</v>
      </c>
      <c r="AC1386" s="54">
        <v>139.7273142857143</v>
      </c>
      <c r="AD1386" s="36">
        <v>2690.6247000000003</v>
      </c>
    </row>
    <row r="1387" spans="1:30" s="37" customFormat="1" ht="15.75" customHeight="1" x14ac:dyDescent="0.2">
      <c r="A1387" s="26">
        <v>3077</v>
      </c>
      <c r="B1387" s="27" t="s">
        <v>2447</v>
      </c>
      <c r="C1387" s="27" t="s">
        <v>116</v>
      </c>
      <c r="D1387" s="28">
        <v>7.0000000000000007E-2</v>
      </c>
      <c r="E1387" s="29">
        <v>300.97000000000003</v>
      </c>
      <c r="F1387" s="29">
        <v>7.18</v>
      </c>
      <c r="G1387" s="30" t="s">
        <v>39</v>
      </c>
      <c r="H1387" s="27" t="s">
        <v>3095</v>
      </c>
      <c r="I1387" s="27" t="s">
        <v>41</v>
      </c>
      <c r="J1387" s="27" t="s">
        <v>42</v>
      </c>
      <c r="K1387" s="27" t="s">
        <v>73</v>
      </c>
      <c r="L1387" s="31" t="s">
        <v>2209</v>
      </c>
      <c r="M1387" s="32">
        <v>0.48</v>
      </c>
      <c r="N1387" s="27" t="s">
        <v>33</v>
      </c>
      <c r="O1387" s="27" t="s">
        <v>111</v>
      </c>
      <c r="P1387" s="27" t="s">
        <v>317</v>
      </c>
      <c r="Q1387" s="27" t="s">
        <v>2448</v>
      </c>
      <c r="R1387" s="33">
        <v>44136</v>
      </c>
      <c r="S1387" s="34">
        <v>42131</v>
      </c>
      <c r="T1387" s="34">
        <v>42133</v>
      </c>
      <c r="U1387" s="29">
        <v>-807.59</v>
      </c>
      <c r="V1387" s="26">
        <v>2</v>
      </c>
      <c r="W1387" s="29">
        <v>582.20000000000005</v>
      </c>
      <c r="X1387" s="26">
        <v>88239</v>
      </c>
      <c r="Y1387" s="35">
        <v>3.61</v>
      </c>
      <c r="Z1387" s="1" t="s">
        <v>3014</v>
      </c>
      <c r="AA1387" s="36">
        <v>42.13580000000001</v>
      </c>
      <c r="AB1387" s="54">
        <v>302.74400000000003</v>
      </c>
      <c r="AC1387" s="54">
        <v>139.72800000000001</v>
      </c>
      <c r="AD1387" s="36">
        <v>1340.4742000000001</v>
      </c>
    </row>
    <row r="1388" spans="1:30" s="37" customFormat="1" ht="15.75" customHeight="1" x14ac:dyDescent="0.2">
      <c r="A1388" s="26">
        <v>1261</v>
      </c>
      <c r="B1388" s="27" t="s">
        <v>2435</v>
      </c>
      <c r="C1388" s="27" t="s">
        <v>26</v>
      </c>
      <c r="D1388" s="28">
        <v>0.02</v>
      </c>
      <c r="E1388" s="29">
        <v>73.98</v>
      </c>
      <c r="F1388" s="29">
        <v>14.52</v>
      </c>
      <c r="G1388" s="30" t="s">
        <v>39</v>
      </c>
      <c r="H1388" s="27" t="s">
        <v>71</v>
      </c>
      <c r="I1388" s="27" t="s">
        <v>41</v>
      </c>
      <c r="J1388" s="27" t="s">
        <v>42</v>
      </c>
      <c r="K1388" s="27" t="s">
        <v>73</v>
      </c>
      <c r="L1388" s="31" t="s">
        <v>308</v>
      </c>
      <c r="M1388" s="32">
        <v>0.65</v>
      </c>
      <c r="N1388" s="27" t="s">
        <v>33</v>
      </c>
      <c r="O1388" s="27" t="s">
        <v>60</v>
      </c>
      <c r="P1388" s="27" t="s">
        <v>61</v>
      </c>
      <c r="Q1388" s="27" t="s">
        <v>2436</v>
      </c>
      <c r="R1388" s="33">
        <v>80020</v>
      </c>
      <c r="S1388" s="34">
        <v>42131</v>
      </c>
      <c r="T1388" s="34">
        <v>42134</v>
      </c>
      <c r="U1388" s="29">
        <v>43.537999999999997</v>
      </c>
      <c r="V1388" s="26">
        <v>5</v>
      </c>
      <c r="W1388" s="29">
        <v>378.23</v>
      </c>
      <c r="X1388" s="26">
        <v>89730</v>
      </c>
      <c r="Y1388" s="35">
        <v>35.940000000000005</v>
      </c>
      <c r="Z1388" s="1" t="s">
        <v>3013</v>
      </c>
      <c r="AA1388" s="36">
        <v>7.3979999999999997</v>
      </c>
      <c r="AB1388" s="54">
        <v>132.38050000000001</v>
      </c>
      <c r="AC1388" s="54">
        <v>49.169900000000005</v>
      </c>
      <c r="AD1388" s="36">
        <v>312.774</v>
      </c>
    </row>
    <row r="1389" spans="1:30" s="37" customFormat="1" ht="15.75" customHeight="1" x14ac:dyDescent="0.2">
      <c r="A1389" s="26">
        <v>1725</v>
      </c>
      <c r="B1389" s="27" t="s">
        <v>2439</v>
      </c>
      <c r="C1389" s="27" t="s">
        <v>38</v>
      </c>
      <c r="D1389" s="28">
        <v>0.05</v>
      </c>
      <c r="E1389" s="29">
        <v>35.99</v>
      </c>
      <c r="F1389" s="29">
        <v>1.1000000000000001</v>
      </c>
      <c r="G1389" s="30" t="s">
        <v>39</v>
      </c>
      <c r="H1389" s="27" t="s">
        <v>94</v>
      </c>
      <c r="I1389" s="27" t="s">
        <v>41</v>
      </c>
      <c r="J1389" s="27" t="s">
        <v>135</v>
      </c>
      <c r="K1389" s="27" t="s">
        <v>73</v>
      </c>
      <c r="L1389" s="31" t="s">
        <v>274</v>
      </c>
      <c r="M1389" s="32">
        <v>0.55000000000000004</v>
      </c>
      <c r="N1389" s="27" t="s">
        <v>33</v>
      </c>
      <c r="O1389" s="27" t="s">
        <v>111</v>
      </c>
      <c r="P1389" s="27" t="s">
        <v>317</v>
      </c>
      <c r="Q1389" s="27" t="s">
        <v>2440</v>
      </c>
      <c r="R1389" s="33">
        <v>43026</v>
      </c>
      <c r="S1389" s="34">
        <v>42131</v>
      </c>
      <c r="T1389" s="34">
        <v>42133</v>
      </c>
      <c r="U1389" s="29">
        <v>149.166</v>
      </c>
      <c r="V1389" s="26">
        <v>9</v>
      </c>
      <c r="W1389" s="29">
        <v>261.56</v>
      </c>
      <c r="X1389" s="26">
        <v>87193</v>
      </c>
      <c r="Y1389" s="35">
        <v>4.6899999999999995</v>
      </c>
      <c r="Z1389" s="1" t="s">
        <v>3014</v>
      </c>
      <c r="AA1389" s="36">
        <v>16.195500000000003</v>
      </c>
      <c r="AB1389" s="54">
        <v>117.70199999999998</v>
      </c>
      <c r="AC1389" s="54">
        <v>15.984222222222224</v>
      </c>
      <c r="AD1389" s="36">
        <v>95.098500000000001</v>
      </c>
    </row>
    <row r="1390" spans="1:30" s="37" customFormat="1" ht="15.75" customHeight="1" x14ac:dyDescent="0.2">
      <c r="A1390" s="26">
        <v>1502</v>
      </c>
      <c r="B1390" s="27" t="s">
        <v>2437</v>
      </c>
      <c r="C1390" s="27" t="s">
        <v>26</v>
      </c>
      <c r="D1390" s="28">
        <v>0.08</v>
      </c>
      <c r="E1390" s="29">
        <v>3.69</v>
      </c>
      <c r="F1390" s="29">
        <v>0.5</v>
      </c>
      <c r="G1390" s="30" t="s">
        <v>39</v>
      </c>
      <c r="H1390" s="27" t="s">
        <v>3095</v>
      </c>
      <c r="I1390" s="27" t="s">
        <v>49</v>
      </c>
      <c r="J1390" s="27" t="s">
        <v>152</v>
      </c>
      <c r="K1390" s="27" t="s">
        <v>73</v>
      </c>
      <c r="L1390" s="31" t="s">
        <v>1894</v>
      </c>
      <c r="M1390" s="32">
        <v>0.38</v>
      </c>
      <c r="N1390" s="27" t="s">
        <v>33</v>
      </c>
      <c r="O1390" s="27" t="s">
        <v>34</v>
      </c>
      <c r="P1390" s="27" t="s">
        <v>123</v>
      </c>
      <c r="Q1390" s="27" t="s">
        <v>2438</v>
      </c>
      <c r="R1390" s="33">
        <v>33065</v>
      </c>
      <c r="S1390" s="34">
        <v>42131</v>
      </c>
      <c r="T1390" s="34">
        <v>42134</v>
      </c>
      <c r="U1390" s="29">
        <v>-3.6547000000000001</v>
      </c>
      <c r="V1390" s="26">
        <v>38</v>
      </c>
      <c r="W1390" s="29">
        <v>129.43</v>
      </c>
      <c r="X1390" s="26">
        <v>89193</v>
      </c>
      <c r="Y1390" s="35">
        <v>2.71</v>
      </c>
      <c r="Z1390" s="1" t="s">
        <v>3011</v>
      </c>
      <c r="AA1390" s="36">
        <v>11.217600000000001</v>
      </c>
      <c r="AB1390" s="54">
        <v>80.246600000000001</v>
      </c>
      <c r="AC1390" s="54">
        <v>1.2943000000000002</v>
      </c>
      <c r="AD1390" s="36">
        <v>121.36710000000001</v>
      </c>
    </row>
    <row r="1391" spans="1:30" s="37" customFormat="1" ht="15.75" customHeight="1" x14ac:dyDescent="0.2">
      <c r="A1391" s="26">
        <v>1997</v>
      </c>
      <c r="B1391" s="27" t="s">
        <v>774</v>
      </c>
      <c r="C1391" s="27" t="s">
        <v>116</v>
      </c>
      <c r="D1391" s="28">
        <v>0.01</v>
      </c>
      <c r="E1391" s="29">
        <v>16.48</v>
      </c>
      <c r="F1391" s="29">
        <v>1.99</v>
      </c>
      <c r="G1391" s="30" t="s">
        <v>39</v>
      </c>
      <c r="H1391" s="27" t="s">
        <v>40</v>
      </c>
      <c r="I1391" s="27" t="s">
        <v>41</v>
      </c>
      <c r="J1391" s="27" t="s">
        <v>42</v>
      </c>
      <c r="K1391" s="27" t="s">
        <v>43</v>
      </c>
      <c r="L1391" s="31" t="s">
        <v>601</v>
      </c>
      <c r="M1391" s="32">
        <v>0.42</v>
      </c>
      <c r="N1391" s="27" t="s">
        <v>33</v>
      </c>
      <c r="O1391" s="27" t="s">
        <v>34</v>
      </c>
      <c r="P1391" s="27" t="s">
        <v>271</v>
      </c>
      <c r="Q1391" s="27" t="s">
        <v>272</v>
      </c>
      <c r="R1391" s="33">
        <v>29915</v>
      </c>
      <c r="S1391" s="34">
        <v>42131</v>
      </c>
      <c r="T1391" s="34">
        <v>42132</v>
      </c>
      <c r="U1391" s="29">
        <v>739.67399999999998</v>
      </c>
      <c r="V1391" s="26">
        <v>7</v>
      </c>
      <c r="W1391" s="29">
        <v>122.93</v>
      </c>
      <c r="X1391" s="26">
        <v>90334</v>
      </c>
      <c r="Y1391" s="35">
        <v>6.4</v>
      </c>
      <c r="Z1391" s="1" t="s">
        <v>3011</v>
      </c>
      <c r="AA1391" s="36">
        <v>1.1536</v>
      </c>
      <c r="AB1391" s="54">
        <v>71.299400000000006</v>
      </c>
      <c r="AC1391" s="54">
        <v>7.3757999999999999</v>
      </c>
      <c r="AD1391" s="36">
        <v>-619.88760000000002</v>
      </c>
    </row>
    <row r="1392" spans="1:30" s="37" customFormat="1" ht="15.75" customHeight="1" x14ac:dyDescent="0.2">
      <c r="A1392" s="26">
        <v>2962</v>
      </c>
      <c r="B1392" s="27" t="s">
        <v>2441</v>
      </c>
      <c r="C1392" s="27" t="s">
        <v>38</v>
      </c>
      <c r="D1392" s="28">
        <v>7.0000000000000007E-2</v>
      </c>
      <c r="E1392" s="29">
        <v>4.76</v>
      </c>
      <c r="F1392" s="29">
        <v>0.88</v>
      </c>
      <c r="G1392" s="30" t="s">
        <v>87</v>
      </c>
      <c r="H1392" s="27" t="s">
        <v>40</v>
      </c>
      <c r="I1392" s="27" t="s">
        <v>49</v>
      </c>
      <c r="J1392" s="27" t="s">
        <v>88</v>
      </c>
      <c r="K1392" s="27" t="s">
        <v>51</v>
      </c>
      <c r="L1392" s="31" t="s">
        <v>2442</v>
      </c>
      <c r="M1392" s="32">
        <v>0.39</v>
      </c>
      <c r="N1392" s="27" t="s">
        <v>33</v>
      </c>
      <c r="O1392" s="27" t="s">
        <v>60</v>
      </c>
      <c r="P1392" s="27" t="s">
        <v>61</v>
      </c>
      <c r="Q1392" s="27" t="s">
        <v>1313</v>
      </c>
      <c r="R1392" s="33">
        <v>80027</v>
      </c>
      <c r="S1392" s="34">
        <v>42131</v>
      </c>
      <c r="T1392" s="34">
        <v>42133</v>
      </c>
      <c r="U1392" s="29">
        <v>33.347700000000003</v>
      </c>
      <c r="V1392" s="26">
        <v>10</v>
      </c>
      <c r="W1392" s="29">
        <v>48.33</v>
      </c>
      <c r="X1392" s="26">
        <v>88611</v>
      </c>
      <c r="Y1392" s="35">
        <v>16.47</v>
      </c>
      <c r="Z1392" s="1" t="s">
        <v>3013</v>
      </c>
      <c r="AA1392" s="36">
        <v>3.3319999999999999</v>
      </c>
      <c r="AB1392" s="54">
        <v>29.481299999999997</v>
      </c>
      <c r="AC1392" s="54">
        <v>1.88487</v>
      </c>
      <c r="AD1392" s="36">
        <v>10.770299999999992</v>
      </c>
    </row>
    <row r="1393" spans="1:30" s="37" customFormat="1" ht="15.75" customHeight="1" x14ac:dyDescent="0.2">
      <c r="A1393" s="26">
        <v>3248</v>
      </c>
      <c r="B1393" s="27" t="s">
        <v>2443</v>
      </c>
      <c r="C1393" s="27" t="s">
        <v>38</v>
      </c>
      <c r="D1393" s="28">
        <v>7.0000000000000007E-2</v>
      </c>
      <c r="E1393" s="29">
        <v>2.78</v>
      </c>
      <c r="F1393" s="29">
        <v>1.49</v>
      </c>
      <c r="G1393" s="30" t="s">
        <v>39</v>
      </c>
      <c r="H1393" s="27" t="s">
        <v>3095</v>
      </c>
      <c r="I1393" s="27" t="s">
        <v>49</v>
      </c>
      <c r="J1393" s="27" t="s">
        <v>72</v>
      </c>
      <c r="K1393" s="27" t="s">
        <v>73</v>
      </c>
      <c r="L1393" s="31" t="s">
        <v>2184</v>
      </c>
      <c r="M1393" s="32">
        <v>0.36</v>
      </c>
      <c r="N1393" s="27" t="s">
        <v>33</v>
      </c>
      <c r="O1393" s="27" t="s">
        <v>34</v>
      </c>
      <c r="P1393" s="27" t="s">
        <v>168</v>
      </c>
      <c r="Q1393" s="27" t="s">
        <v>2444</v>
      </c>
      <c r="R1393" s="33">
        <v>70458</v>
      </c>
      <c r="S1393" s="34">
        <v>42131</v>
      </c>
      <c r="T1393" s="34">
        <v>42132</v>
      </c>
      <c r="U1393" s="29">
        <v>-340.53109999999998</v>
      </c>
      <c r="V1393" s="26">
        <v>17</v>
      </c>
      <c r="W1393" s="29">
        <v>47.12</v>
      </c>
      <c r="X1393" s="26">
        <v>87297</v>
      </c>
      <c r="Y1393" s="35">
        <v>300.90000000000003</v>
      </c>
      <c r="Z1393" s="1" t="s">
        <v>3011</v>
      </c>
      <c r="AA1393" s="36">
        <v>3.3081999999999998</v>
      </c>
      <c r="AB1393" s="54">
        <v>30.1568</v>
      </c>
      <c r="AC1393" s="54">
        <v>0.99783529411764693</v>
      </c>
      <c r="AD1393" s="36">
        <v>382.85289999999998</v>
      </c>
    </row>
    <row r="1394" spans="1:30" s="37" customFormat="1" ht="15.75" customHeight="1" x14ac:dyDescent="0.2">
      <c r="A1394" s="26">
        <v>3338</v>
      </c>
      <c r="B1394" s="27" t="s">
        <v>2445</v>
      </c>
      <c r="C1394" s="27" t="s">
        <v>38</v>
      </c>
      <c r="D1394" s="28">
        <v>0.08</v>
      </c>
      <c r="E1394" s="29">
        <v>6.48</v>
      </c>
      <c r="F1394" s="29">
        <v>8.4</v>
      </c>
      <c r="G1394" s="30" t="s">
        <v>39</v>
      </c>
      <c r="H1394" s="27" t="s">
        <v>40</v>
      </c>
      <c r="I1394" s="27" t="s">
        <v>49</v>
      </c>
      <c r="J1394" s="27" t="s">
        <v>88</v>
      </c>
      <c r="K1394" s="27" t="s">
        <v>73</v>
      </c>
      <c r="L1394" s="31" t="s">
        <v>1943</v>
      </c>
      <c r="M1394" s="32">
        <v>0.37</v>
      </c>
      <c r="N1394" s="27" t="s">
        <v>33</v>
      </c>
      <c r="O1394" s="27" t="s">
        <v>34</v>
      </c>
      <c r="P1394" s="27" t="s">
        <v>123</v>
      </c>
      <c r="Q1394" s="27" t="s">
        <v>2446</v>
      </c>
      <c r="R1394" s="33">
        <v>33614</v>
      </c>
      <c r="S1394" s="34">
        <v>42131</v>
      </c>
      <c r="T1394" s="34">
        <v>42131</v>
      </c>
      <c r="U1394" s="29">
        <v>58.811999999999998</v>
      </c>
      <c r="V1394" s="26">
        <v>7</v>
      </c>
      <c r="W1394" s="29">
        <v>45</v>
      </c>
      <c r="X1394" s="26">
        <v>85979</v>
      </c>
      <c r="Y1394" s="35">
        <v>300.90000000000003</v>
      </c>
      <c r="Z1394" s="1" t="s">
        <v>3011</v>
      </c>
      <c r="AA1394" s="36">
        <v>3.6288000000000005</v>
      </c>
      <c r="AB1394" s="54">
        <v>28.35</v>
      </c>
      <c r="AC1394" s="54">
        <v>2.3785714285714286</v>
      </c>
      <c r="AD1394" s="36">
        <v>-25.840800000000002</v>
      </c>
    </row>
    <row r="1395" spans="1:30" s="37" customFormat="1" ht="15.75" customHeight="1" x14ac:dyDescent="0.2">
      <c r="A1395" s="26">
        <v>2880</v>
      </c>
      <c r="B1395" s="27" t="s">
        <v>1903</v>
      </c>
      <c r="C1395" s="27" t="s">
        <v>48</v>
      </c>
      <c r="D1395" s="28">
        <v>0.09</v>
      </c>
      <c r="E1395" s="29">
        <v>243.98</v>
      </c>
      <c r="F1395" s="29">
        <v>43.32</v>
      </c>
      <c r="G1395" s="30" t="s">
        <v>27</v>
      </c>
      <c r="H1395" s="27" t="s">
        <v>3095</v>
      </c>
      <c r="I1395" s="27" t="s">
        <v>29</v>
      </c>
      <c r="J1395" s="27" t="s">
        <v>109</v>
      </c>
      <c r="K1395" s="27" t="s">
        <v>58</v>
      </c>
      <c r="L1395" s="31" t="s">
        <v>235</v>
      </c>
      <c r="M1395" s="32">
        <v>0.55000000000000004</v>
      </c>
      <c r="N1395" s="27" t="s">
        <v>33</v>
      </c>
      <c r="O1395" s="27" t="s">
        <v>34</v>
      </c>
      <c r="P1395" s="27" t="s">
        <v>123</v>
      </c>
      <c r="Q1395" s="27" t="s">
        <v>1904</v>
      </c>
      <c r="R1395" s="33">
        <v>33160</v>
      </c>
      <c r="S1395" s="34">
        <v>42132</v>
      </c>
      <c r="T1395" s="34">
        <v>42137</v>
      </c>
      <c r="U1395" s="29">
        <v>1059.288</v>
      </c>
      <c r="V1395" s="26">
        <v>25</v>
      </c>
      <c r="W1395" s="29">
        <v>5587.89</v>
      </c>
      <c r="X1395" s="26">
        <v>88627</v>
      </c>
      <c r="Y1395" s="35">
        <v>16.89</v>
      </c>
      <c r="Z1395" s="1" t="s">
        <v>3011</v>
      </c>
      <c r="AA1395" s="36">
        <v>548.95499999999993</v>
      </c>
      <c r="AB1395" s="54">
        <v>2514.5504999999998</v>
      </c>
      <c r="AC1395" s="54">
        <v>122.93358000000001</v>
      </c>
      <c r="AD1395" s="36">
        <v>3936.3270000000002</v>
      </c>
    </row>
    <row r="1396" spans="1:30" s="37" customFormat="1" ht="15.75" customHeight="1" x14ac:dyDescent="0.2">
      <c r="A1396" s="26">
        <v>1028</v>
      </c>
      <c r="B1396" s="27" t="s">
        <v>1912</v>
      </c>
      <c r="C1396" s="27" t="s">
        <v>3094</v>
      </c>
      <c r="D1396" s="28">
        <v>0.05</v>
      </c>
      <c r="E1396" s="29">
        <v>83.1</v>
      </c>
      <c r="F1396" s="29">
        <v>6.13</v>
      </c>
      <c r="G1396" s="30" t="s">
        <v>87</v>
      </c>
      <c r="H1396" s="27" t="s">
        <v>3095</v>
      </c>
      <c r="I1396" s="27" t="s">
        <v>41</v>
      </c>
      <c r="J1396" s="27" t="s">
        <v>42</v>
      </c>
      <c r="K1396" s="27" t="s">
        <v>73</v>
      </c>
      <c r="L1396" s="31" t="s">
        <v>2462</v>
      </c>
      <c r="M1396" s="32">
        <v>0.45</v>
      </c>
      <c r="N1396" s="27" t="s">
        <v>33</v>
      </c>
      <c r="O1396" s="27" t="s">
        <v>111</v>
      </c>
      <c r="P1396" s="27" t="s">
        <v>112</v>
      </c>
      <c r="Q1396" s="27" t="s">
        <v>1914</v>
      </c>
      <c r="R1396" s="33">
        <v>11725</v>
      </c>
      <c r="S1396" s="34">
        <v>42132</v>
      </c>
      <c r="T1396" s="34">
        <v>42133</v>
      </c>
      <c r="U1396" s="29">
        <v>1152.5277000000001</v>
      </c>
      <c r="V1396" s="26">
        <v>20</v>
      </c>
      <c r="W1396" s="29">
        <v>1670.33</v>
      </c>
      <c r="X1396" s="26">
        <v>89007</v>
      </c>
      <c r="Y1396" s="35">
        <v>16.89</v>
      </c>
      <c r="Z1396" s="1" t="s">
        <v>3014</v>
      </c>
      <c r="AA1396" s="36">
        <v>83.100000000000009</v>
      </c>
      <c r="AB1396" s="54">
        <v>918.68150000000003</v>
      </c>
      <c r="AC1396" s="54">
        <v>37.582425000000001</v>
      </c>
      <c r="AD1396" s="36">
        <v>428.57229999999981</v>
      </c>
    </row>
    <row r="1397" spans="1:30" s="37" customFormat="1" ht="15.75" customHeight="1" x14ac:dyDescent="0.2">
      <c r="A1397" s="26">
        <v>2189</v>
      </c>
      <c r="B1397" s="27" t="s">
        <v>2452</v>
      </c>
      <c r="C1397" s="27" t="s">
        <v>38</v>
      </c>
      <c r="D1397" s="28">
        <v>0.09</v>
      </c>
      <c r="E1397" s="29">
        <v>16.98</v>
      </c>
      <c r="F1397" s="29">
        <v>12.39</v>
      </c>
      <c r="G1397" s="30" t="s">
        <v>39</v>
      </c>
      <c r="H1397" s="27" t="s">
        <v>94</v>
      </c>
      <c r="I1397" s="27" t="s">
        <v>49</v>
      </c>
      <c r="J1397" s="27" t="s">
        <v>345</v>
      </c>
      <c r="K1397" s="27" t="s">
        <v>73</v>
      </c>
      <c r="L1397" s="31" t="s">
        <v>2450</v>
      </c>
      <c r="M1397" s="32">
        <v>0.35</v>
      </c>
      <c r="N1397" s="27" t="s">
        <v>33</v>
      </c>
      <c r="O1397" s="27" t="s">
        <v>111</v>
      </c>
      <c r="P1397" s="27" t="s">
        <v>112</v>
      </c>
      <c r="Q1397" s="27" t="s">
        <v>113</v>
      </c>
      <c r="R1397" s="33">
        <v>10177</v>
      </c>
      <c r="S1397" s="34">
        <v>42132</v>
      </c>
      <c r="T1397" s="34">
        <v>42134</v>
      </c>
      <c r="U1397" s="29">
        <v>-48.57</v>
      </c>
      <c r="V1397" s="26">
        <v>22</v>
      </c>
      <c r="W1397" s="29">
        <v>381.91</v>
      </c>
      <c r="X1397" s="26">
        <v>7364</v>
      </c>
      <c r="Y1397" s="35">
        <v>300.91000000000003</v>
      </c>
      <c r="Z1397" s="1" t="s">
        <v>3014</v>
      </c>
      <c r="AA1397" s="36">
        <v>33.620400000000004</v>
      </c>
      <c r="AB1397" s="54">
        <v>248.24150000000003</v>
      </c>
      <c r="AC1397" s="54">
        <v>6.0758409090909087</v>
      </c>
      <c r="AD1397" s="36">
        <v>384.46960000000001</v>
      </c>
    </row>
    <row r="1398" spans="1:30" s="37" customFormat="1" ht="15.75" customHeight="1" x14ac:dyDescent="0.2">
      <c r="A1398" s="26">
        <v>2063</v>
      </c>
      <c r="B1398" s="27" t="s">
        <v>2453</v>
      </c>
      <c r="C1398" s="27" t="s">
        <v>48</v>
      </c>
      <c r="D1398" s="28">
        <v>0.06</v>
      </c>
      <c r="E1398" s="29">
        <v>300.97000000000003</v>
      </c>
      <c r="F1398" s="29">
        <v>7.18</v>
      </c>
      <c r="G1398" s="30" t="s">
        <v>39</v>
      </c>
      <c r="H1398" s="27" t="s">
        <v>94</v>
      </c>
      <c r="I1398" s="27" t="s">
        <v>41</v>
      </c>
      <c r="J1398" s="27" t="s">
        <v>42</v>
      </c>
      <c r="K1398" s="27" t="s">
        <v>73</v>
      </c>
      <c r="L1398" s="31" t="s">
        <v>2209</v>
      </c>
      <c r="M1398" s="32">
        <v>0.48</v>
      </c>
      <c r="N1398" s="27" t="s">
        <v>33</v>
      </c>
      <c r="O1398" s="27" t="s">
        <v>34</v>
      </c>
      <c r="P1398" s="27" t="s">
        <v>242</v>
      </c>
      <c r="Q1398" s="27" t="s">
        <v>2454</v>
      </c>
      <c r="R1398" s="33">
        <v>23602</v>
      </c>
      <c r="S1398" s="34">
        <v>42132</v>
      </c>
      <c r="T1398" s="34">
        <v>42132</v>
      </c>
      <c r="U1398" s="29">
        <v>-729.98800000000006</v>
      </c>
      <c r="V1398" s="26">
        <v>1</v>
      </c>
      <c r="W1398" s="29">
        <v>291.39999999999998</v>
      </c>
      <c r="X1398" s="26">
        <v>87147</v>
      </c>
      <c r="Y1398" s="35">
        <v>243.89</v>
      </c>
      <c r="Z1398" s="1" t="s">
        <v>3011</v>
      </c>
      <c r="AA1398" s="36">
        <v>18.058199999999999</v>
      </c>
      <c r="AB1398" s="54">
        <v>151.52799999999999</v>
      </c>
      <c r="AC1398" s="54">
        <v>139.87199999999999</v>
      </c>
      <c r="AD1398" s="36">
        <v>996.14980000000003</v>
      </c>
    </row>
    <row r="1399" spans="1:30" s="37" customFormat="1" ht="15.75" customHeight="1" x14ac:dyDescent="0.2">
      <c r="A1399" s="26">
        <v>2992</v>
      </c>
      <c r="B1399" s="27" t="s">
        <v>2457</v>
      </c>
      <c r="C1399" s="27" t="s">
        <v>48</v>
      </c>
      <c r="D1399" s="28">
        <v>0</v>
      </c>
      <c r="E1399" s="29">
        <v>5.28</v>
      </c>
      <c r="F1399" s="29">
        <v>6.26</v>
      </c>
      <c r="G1399" s="30" t="s">
        <v>39</v>
      </c>
      <c r="H1399" s="27" t="s">
        <v>71</v>
      </c>
      <c r="I1399" s="27" t="s">
        <v>49</v>
      </c>
      <c r="J1399" s="27" t="s">
        <v>88</v>
      </c>
      <c r="K1399" s="27" t="s">
        <v>73</v>
      </c>
      <c r="L1399" s="31" t="s">
        <v>2458</v>
      </c>
      <c r="M1399" s="32">
        <v>0.4</v>
      </c>
      <c r="N1399" s="27" t="s">
        <v>33</v>
      </c>
      <c r="O1399" s="27" t="s">
        <v>53</v>
      </c>
      <c r="P1399" s="27" t="s">
        <v>357</v>
      </c>
      <c r="Q1399" s="27" t="s">
        <v>2459</v>
      </c>
      <c r="R1399" s="33">
        <v>53081</v>
      </c>
      <c r="S1399" s="34">
        <v>42132</v>
      </c>
      <c r="T1399" s="34">
        <v>42139</v>
      </c>
      <c r="U1399" s="29">
        <v>25.058</v>
      </c>
      <c r="V1399" s="26">
        <v>36</v>
      </c>
      <c r="W1399" s="29">
        <v>203.05</v>
      </c>
      <c r="X1399" s="26">
        <v>91466</v>
      </c>
      <c r="Y1399" s="35">
        <v>70.92</v>
      </c>
      <c r="Z1399" s="1" t="s">
        <v>3012</v>
      </c>
      <c r="AA1399" s="36">
        <v>0</v>
      </c>
      <c r="AB1399" s="54">
        <v>121.83</v>
      </c>
      <c r="AC1399" s="54">
        <v>2.2561111111111116</v>
      </c>
      <c r="AD1399" s="36">
        <v>171.73200000000003</v>
      </c>
    </row>
    <row r="1400" spans="1:30" s="37" customFormat="1" ht="15.75" customHeight="1" x14ac:dyDescent="0.2">
      <c r="A1400" s="26">
        <v>1080</v>
      </c>
      <c r="B1400" s="27" t="s">
        <v>2463</v>
      </c>
      <c r="C1400" s="27" t="s">
        <v>3094</v>
      </c>
      <c r="D1400" s="28">
        <v>0.08</v>
      </c>
      <c r="E1400" s="29">
        <v>13.9</v>
      </c>
      <c r="F1400" s="29">
        <v>7.59</v>
      </c>
      <c r="G1400" s="30" t="s">
        <v>39</v>
      </c>
      <c r="H1400" s="27" t="s">
        <v>94</v>
      </c>
      <c r="I1400" s="27" t="s">
        <v>49</v>
      </c>
      <c r="J1400" s="27" t="s">
        <v>568</v>
      </c>
      <c r="K1400" s="27" t="s">
        <v>43</v>
      </c>
      <c r="L1400" s="31" t="s">
        <v>2464</v>
      </c>
      <c r="M1400" s="32">
        <v>0.56000000000000005</v>
      </c>
      <c r="N1400" s="27" t="s">
        <v>33</v>
      </c>
      <c r="O1400" s="27" t="s">
        <v>53</v>
      </c>
      <c r="P1400" s="27" t="s">
        <v>103</v>
      </c>
      <c r="Q1400" s="27" t="s">
        <v>2465</v>
      </c>
      <c r="R1400" s="33">
        <v>60174</v>
      </c>
      <c r="S1400" s="34">
        <v>42132</v>
      </c>
      <c r="T1400" s="34">
        <v>42133</v>
      </c>
      <c r="U1400" s="29">
        <v>9.8620000000000001</v>
      </c>
      <c r="V1400" s="26">
        <v>14</v>
      </c>
      <c r="W1400" s="29">
        <v>196.41</v>
      </c>
      <c r="X1400" s="26">
        <v>88461</v>
      </c>
      <c r="Y1400" s="35">
        <v>5.28</v>
      </c>
      <c r="Z1400" s="1" t="s">
        <v>3012</v>
      </c>
      <c r="AA1400" s="36">
        <v>15.568000000000001</v>
      </c>
      <c r="AB1400" s="54">
        <v>86.420399999999987</v>
      </c>
      <c r="AC1400" s="54">
        <v>7.8564000000000007</v>
      </c>
      <c r="AD1400" s="36">
        <v>163.38999999999999</v>
      </c>
    </row>
    <row r="1401" spans="1:30" s="37" customFormat="1" ht="15.75" customHeight="1" x14ac:dyDescent="0.2">
      <c r="A1401" s="26">
        <v>2991</v>
      </c>
      <c r="B1401" s="27" t="s">
        <v>2455</v>
      </c>
      <c r="C1401" s="27" t="s">
        <v>48</v>
      </c>
      <c r="D1401" s="28">
        <v>0.05</v>
      </c>
      <c r="E1401" s="29">
        <v>70.97</v>
      </c>
      <c r="F1401" s="29">
        <v>3.5</v>
      </c>
      <c r="G1401" s="30" t="s">
        <v>39</v>
      </c>
      <c r="H1401" s="27" t="s">
        <v>71</v>
      </c>
      <c r="I1401" s="27" t="s">
        <v>49</v>
      </c>
      <c r="J1401" s="27" t="s">
        <v>95</v>
      </c>
      <c r="K1401" s="27" t="s">
        <v>73</v>
      </c>
      <c r="L1401" s="31" t="s">
        <v>2177</v>
      </c>
      <c r="M1401" s="32">
        <v>0.59</v>
      </c>
      <c r="N1401" s="27" t="s">
        <v>33</v>
      </c>
      <c r="O1401" s="27" t="s">
        <v>53</v>
      </c>
      <c r="P1401" s="27" t="s">
        <v>357</v>
      </c>
      <c r="Q1401" s="27" t="s">
        <v>2456</v>
      </c>
      <c r="R1401" s="33">
        <v>53402</v>
      </c>
      <c r="S1401" s="34">
        <v>42132</v>
      </c>
      <c r="T1401" s="34">
        <v>42137</v>
      </c>
      <c r="U1401" s="29">
        <v>18.218</v>
      </c>
      <c r="V1401" s="26">
        <v>2</v>
      </c>
      <c r="W1401" s="29">
        <v>141.59</v>
      </c>
      <c r="X1401" s="26">
        <v>91466</v>
      </c>
      <c r="Y1401" s="35">
        <v>29.31</v>
      </c>
      <c r="Z1401" s="1" t="s">
        <v>3012</v>
      </c>
      <c r="AA1401" s="36">
        <v>7.0970000000000004</v>
      </c>
      <c r="AB1401" s="54">
        <v>58.051900000000003</v>
      </c>
      <c r="AC1401" s="54">
        <v>41.76905</v>
      </c>
      <c r="AD1401" s="36">
        <v>112.77500000000001</v>
      </c>
    </row>
    <row r="1402" spans="1:30" s="37" customFormat="1" ht="15.75" customHeight="1" x14ac:dyDescent="0.2">
      <c r="A1402" s="26">
        <v>2187</v>
      </c>
      <c r="B1402" s="27" t="s">
        <v>2449</v>
      </c>
      <c r="C1402" s="27" t="s">
        <v>38</v>
      </c>
      <c r="D1402" s="28">
        <v>0.09</v>
      </c>
      <c r="E1402" s="29">
        <v>16.98</v>
      </c>
      <c r="F1402" s="29">
        <v>12.39</v>
      </c>
      <c r="G1402" s="30" t="s">
        <v>39</v>
      </c>
      <c r="H1402" s="27" t="s">
        <v>94</v>
      </c>
      <c r="I1402" s="27" t="s">
        <v>49</v>
      </c>
      <c r="J1402" s="27" t="s">
        <v>345</v>
      </c>
      <c r="K1402" s="27" t="s">
        <v>73</v>
      </c>
      <c r="L1402" s="31" t="s">
        <v>2450</v>
      </c>
      <c r="M1402" s="32">
        <v>0.35</v>
      </c>
      <c r="N1402" s="27" t="s">
        <v>33</v>
      </c>
      <c r="O1402" s="27" t="s">
        <v>53</v>
      </c>
      <c r="P1402" s="27" t="s">
        <v>80</v>
      </c>
      <c r="Q1402" s="27" t="s">
        <v>2451</v>
      </c>
      <c r="R1402" s="33">
        <v>64055</v>
      </c>
      <c r="S1402" s="34">
        <v>42132</v>
      </c>
      <c r="T1402" s="34">
        <v>42134</v>
      </c>
      <c r="U1402" s="29">
        <v>-48.57</v>
      </c>
      <c r="V1402" s="26">
        <v>5</v>
      </c>
      <c r="W1402" s="29">
        <v>86.8</v>
      </c>
      <c r="X1402" s="26">
        <v>89440</v>
      </c>
      <c r="Y1402" s="35">
        <v>83.05</v>
      </c>
      <c r="Z1402" s="1" t="s">
        <v>3012</v>
      </c>
      <c r="AA1402" s="36">
        <v>7.641</v>
      </c>
      <c r="AB1402" s="54">
        <v>56.42</v>
      </c>
      <c r="AC1402" s="54">
        <v>6.0759999999999996</v>
      </c>
      <c r="AD1402" s="36">
        <v>115.339</v>
      </c>
    </row>
    <row r="1403" spans="1:30" s="37" customFormat="1" ht="15.75" customHeight="1" x14ac:dyDescent="0.2">
      <c r="A1403" s="26">
        <v>453</v>
      </c>
      <c r="B1403" s="27" t="s">
        <v>2460</v>
      </c>
      <c r="C1403" s="27" t="s">
        <v>3094</v>
      </c>
      <c r="D1403" s="28">
        <v>0.03</v>
      </c>
      <c r="E1403" s="29">
        <v>29.34</v>
      </c>
      <c r="F1403" s="29">
        <v>7.87</v>
      </c>
      <c r="G1403" s="30" t="s">
        <v>39</v>
      </c>
      <c r="H1403" s="27" t="s">
        <v>94</v>
      </c>
      <c r="I1403" s="27" t="s">
        <v>29</v>
      </c>
      <c r="J1403" s="27" t="s">
        <v>126</v>
      </c>
      <c r="K1403" s="27" t="s">
        <v>73</v>
      </c>
      <c r="L1403" s="31" t="s">
        <v>1660</v>
      </c>
      <c r="M1403" s="32">
        <v>0.54</v>
      </c>
      <c r="N1403" s="27" t="s">
        <v>33</v>
      </c>
      <c r="O1403" s="27" t="s">
        <v>60</v>
      </c>
      <c r="P1403" s="27" t="s">
        <v>90</v>
      </c>
      <c r="Q1403" s="27" t="s">
        <v>2461</v>
      </c>
      <c r="R1403" s="33">
        <v>95032</v>
      </c>
      <c r="S1403" s="34">
        <v>42132</v>
      </c>
      <c r="T1403" s="34">
        <v>42134</v>
      </c>
      <c r="U1403" s="29">
        <v>-41.32</v>
      </c>
      <c r="V1403" s="26">
        <v>1</v>
      </c>
      <c r="W1403" s="29">
        <v>32.4</v>
      </c>
      <c r="X1403" s="26">
        <v>86011</v>
      </c>
      <c r="Y1403" s="35">
        <v>13.82</v>
      </c>
      <c r="Z1403" s="1" t="s">
        <v>3013</v>
      </c>
      <c r="AA1403" s="36">
        <v>0.88019999999999998</v>
      </c>
      <c r="AB1403" s="54">
        <v>14.903999999999998</v>
      </c>
      <c r="AC1403" s="54">
        <v>17.495999999999999</v>
      </c>
      <c r="AD1403" s="36">
        <v>64.969799999999992</v>
      </c>
    </row>
    <row r="1404" spans="1:30" s="37" customFormat="1" ht="15.75" customHeight="1" x14ac:dyDescent="0.2">
      <c r="A1404" s="26">
        <v>1650</v>
      </c>
      <c r="B1404" s="27" t="s">
        <v>2470</v>
      </c>
      <c r="C1404" s="27" t="s">
        <v>38</v>
      </c>
      <c r="D1404" s="28">
        <v>0.08</v>
      </c>
      <c r="E1404" s="29">
        <v>65.989999999999995</v>
      </c>
      <c r="F1404" s="29">
        <v>8.99</v>
      </c>
      <c r="G1404" s="30" t="s">
        <v>87</v>
      </c>
      <c r="H1404" s="27" t="s">
        <v>94</v>
      </c>
      <c r="I1404" s="27" t="s">
        <v>41</v>
      </c>
      <c r="J1404" s="27" t="s">
        <v>135</v>
      </c>
      <c r="K1404" s="27" t="s">
        <v>73</v>
      </c>
      <c r="L1404" s="31" t="s">
        <v>1612</v>
      </c>
      <c r="M1404" s="32">
        <v>0.55000000000000004</v>
      </c>
      <c r="N1404" s="27" t="s">
        <v>33</v>
      </c>
      <c r="O1404" s="27" t="s">
        <v>34</v>
      </c>
      <c r="P1404" s="27" t="s">
        <v>97</v>
      </c>
      <c r="Q1404" s="27" t="s">
        <v>2472</v>
      </c>
      <c r="R1404" s="33">
        <v>27203</v>
      </c>
      <c r="S1404" s="34">
        <v>42133</v>
      </c>
      <c r="T1404" s="34">
        <v>42135</v>
      </c>
      <c r="U1404" s="29">
        <v>-135.226</v>
      </c>
      <c r="V1404" s="26">
        <v>8</v>
      </c>
      <c r="W1404" s="29">
        <v>417.47</v>
      </c>
      <c r="X1404" s="26">
        <v>91042</v>
      </c>
      <c r="Y1404" s="35">
        <v>6.4300000000000006</v>
      </c>
      <c r="Z1404" s="1" t="s">
        <v>3011</v>
      </c>
      <c r="AA1404" s="36">
        <v>42.233599999999996</v>
      </c>
      <c r="AB1404" s="54">
        <v>187.86150000000001</v>
      </c>
      <c r="AC1404" s="54">
        <v>28.701062500000003</v>
      </c>
      <c r="AD1404" s="36">
        <v>501.47240000000005</v>
      </c>
    </row>
    <row r="1405" spans="1:30" s="37" customFormat="1" ht="15.75" customHeight="1" x14ac:dyDescent="0.2">
      <c r="A1405" s="26">
        <v>2882</v>
      </c>
      <c r="B1405" s="27" t="s">
        <v>671</v>
      </c>
      <c r="C1405" s="27" t="s">
        <v>26</v>
      </c>
      <c r="D1405" s="28">
        <v>0.05</v>
      </c>
      <c r="E1405" s="29">
        <v>6.48</v>
      </c>
      <c r="F1405" s="29">
        <v>8.73</v>
      </c>
      <c r="G1405" s="30" t="s">
        <v>39</v>
      </c>
      <c r="H1405" s="27" t="s">
        <v>40</v>
      </c>
      <c r="I1405" s="27" t="s">
        <v>49</v>
      </c>
      <c r="J1405" s="27" t="s">
        <v>88</v>
      </c>
      <c r="K1405" s="27" t="s">
        <v>73</v>
      </c>
      <c r="L1405" s="31" t="s">
        <v>158</v>
      </c>
      <c r="M1405" s="32">
        <v>0.37</v>
      </c>
      <c r="N1405" s="27" t="s">
        <v>33</v>
      </c>
      <c r="O1405" s="27" t="s">
        <v>34</v>
      </c>
      <c r="P1405" s="27" t="s">
        <v>97</v>
      </c>
      <c r="Q1405" s="27" t="s">
        <v>673</v>
      </c>
      <c r="R1405" s="33">
        <v>28206</v>
      </c>
      <c r="S1405" s="34">
        <v>42133</v>
      </c>
      <c r="T1405" s="34">
        <v>42133</v>
      </c>
      <c r="U1405" s="29">
        <v>-160.38470000000001</v>
      </c>
      <c r="V1405" s="26">
        <v>35</v>
      </c>
      <c r="W1405" s="29">
        <v>232.5</v>
      </c>
      <c r="X1405" s="26">
        <v>4839</v>
      </c>
      <c r="Y1405" s="35">
        <v>6.4300000000000006</v>
      </c>
      <c r="Z1405" s="1" t="s">
        <v>3011</v>
      </c>
      <c r="AA1405" s="36">
        <v>11.340000000000002</v>
      </c>
      <c r="AB1405" s="54">
        <v>146.47499999999999</v>
      </c>
      <c r="AC1405" s="54">
        <v>2.4578571428571432</v>
      </c>
      <c r="AD1405" s="36">
        <v>372.81470000000002</v>
      </c>
    </row>
    <row r="1406" spans="1:30" s="37" customFormat="1" ht="15.75" customHeight="1" x14ac:dyDescent="0.2">
      <c r="A1406" s="26">
        <v>1650</v>
      </c>
      <c r="B1406" s="27" t="s">
        <v>2470</v>
      </c>
      <c r="C1406" s="27" t="s">
        <v>38</v>
      </c>
      <c r="D1406" s="28">
        <v>0.05</v>
      </c>
      <c r="E1406" s="29">
        <v>6.48</v>
      </c>
      <c r="F1406" s="29">
        <v>2.74</v>
      </c>
      <c r="G1406" s="30" t="s">
        <v>39</v>
      </c>
      <c r="H1406" s="27" t="s">
        <v>94</v>
      </c>
      <c r="I1406" s="27" t="s">
        <v>41</v>
      </c>
      <c r="J1406" s="27" t="s">
        <v>42</v>
      </c>
      <c r="K1406" s="27" t="s">
        <v>43</v>
      </c>
      <c r="L1406" s="31" t="s">
        <v>2471</v>
      </c>
      <c r="M1406" s="32">
        <v>0.71</v>
      </c>
      <c r="N1406" s="27" t="s">
        <v>33</v>
      </c>
      <c r="O1406" s="27" t="s">
        <v>34</v>
      </c>
      <c r="P1406" s="27" t="s">
        <v>97</v>
      </c>
      <c r="Q1406" s="27" t="s">
        <v>2472</v>
      </c>
      <c r="R1406" s="33">
        <v>27203</v>
      </c>
      <c r="S1406" s="34">
        <v>42133</v>
      </c>
      <c r="T1406" s="34">
        <v>42133</v>
      </c>
      <c r="U1406" s="29">
        <v>15.096</v>
      </c>
      <c r="V1406" s="26">
        <v>15</v>
      </c>
      <c r="W1406" s="29">
        <v>94.27</v>
      </c>
      <c r="X1406" s="26">
        <v>91042</v>
      </c>
      <c r="Y1406" s="35">
        <v>5.9600000000000009</v>
      </c>
      <c r="Z1406" s="1" t="s">
        <v>3011</v>
      </c>
      <c r="AA1406" s="36">
        <v>4.8600000000000012</v>
      </c>
      <c r="AB1406" s="54">
        <v>27.338300000000004</v>
      </c>
      <c r="AC1406" s="54">
        <v>4.4621133333333329</v>
      </c>
      <c r="AD1406" s="36">
        <v>71.573999999999998</v>
      </c>
    </row>
    <row r="1407" spans="1:30" s="37" customFormat="1" ht="15.75" customHeight="1" x14ac:dyDescent="0.2">
      <c r="A1407" s="26">
        <v>1650</v>
      </c>
      <c r="B1407" s="27" t="s">
        <v>2470</v>
      </c>
      <c r="C1407" s="27" t="s">
        <v>38</v>
      </c>
      <c r="D1407" s="28">
        <v>0.09</v>
      </c>
      <c r="E1407" s="29">
        <v>12.53</v>
      </c>
      <c r="F1407" s="29">
        <v>0.5</v>
      </c>
      <c r="G1407" s="30" t="s">
        <v>39</v>
      </c>
      <c r="H1407" s="27" t="s">
        <v>94</v>
      </c>
      <c r="I1407" s="27" t="s">
        <v>49</v>
      </c>
      <c r="J1407" s="27" t="s">
        <v>152</v>
      </c>
      <c r="K1407" s="27" t="s">
        <v>73</v>
      </c>
      <c r="L1407" s="31" t="s">
        <v>2067</v>
      </c>
      <c r="M1407" s="32">
        <v>0.38</v>
      </c>
      <c r="N1407" s="27" t="s">
        <v>33</v>
      </c>
      <c r="O1407" s="27" t="s">
        <v>34</v>
      </c>
      <c r="P1407" s="27" t="s">
        <v>97</v>
      </c>
      <c r="Q1407" s="27" t="s">
        <v>2472</v>
      </c>
      <c r="R1407" s="33">
        <v>27203</v>
      </c>
      <c r="S1407" s="34">
        <v>42133</v>
      </c>
      <c r="T1407" s="34">
        <v>42134</v>
      </c>
      <c r="U1407" s="29">
        <v>14.9124</v>
      </c>
      <c r="V1407" s="26">
        <v>7</v>
      </c>
      <c r="W1407" s="29">
        <v>82.21</v>
      </c>
      <c r="X1407" s="26">
        <v>91042</v>
      </c>
      <c r="Y1407" s="35">
        <v>6.4300000000000006</v>
      </c>
      <c r="Z1407" s="1" t="s">
        <v>3011</v>
      </c>
      <c r="AA1407" s="36">
        <v>7.8938999999999995</v>
      </c>
      <c r="AB1407" s="54">
        <v>50.970199999999998</v>
      </c>
      <c r="AC1407" s="54">
        <v>4.4628285714285711</v>
      </c>
      <c r="AD1407" s="36">
        <v>58.903699999999994</v>
      </c>
    </row>
    <row r="1408" spans="1:30" s="37" customFormat="1" ht="15.75" customHeight="1" x14ac:dyDescent="0.2">
      <c r="A1408" s="26">
        <v>2883</v>
      </c>
      <c r="B1408" s="27" t="s">
        <v>2466</v>
      </c>
      <c r="C1408" s="27" t="s">
        <v>26</v>
      </c>
      <c r="D1408" s="28">
        <v>0.05</v>
      </c>
      <c r="E1408" s="29">
        <v>6.48</v>
      </c>
      <c r="F1408" s="29">
        <v>8.73</v>
      </c>
      <c r="G1408" s="30" t="s">
        <v>39</v>
      </c>
      <c r="H1408" s="27" t="s">
        <v>40</v>
      </c>
      <c r="I1408" s="27" t="s">
        <v>49</v>
      </c>
      <c r="J1408" s="27" t="s">
        <v>88</v>
      </c>
      <c r="K1408" s="27" t="s">
        <v>73</v>
      </c>
      <c r="L1408" s="31" t="s">
        <v>158</v>
      </c>
      <c r="M1408" s="32">
        <v>0.37</v>
      </c>
      <c r="N1408" s="27" t="s">
        <v>33</v>
      </c>
      <c r="O1408" s="27" t="s">
        <v>111</v>
      </c>
      <c r="P1408" s="27" t="s">
        <v>317</v>
      </c>
      <c r="Q1408" s="27" t="s">
        <v>1475</v>
      </c>
      <c r="R1408" s="33">
        <v>44070</v>
      </c>
      <c r="S1408" s="34">
        <v>42133</v>
      </c>
      <c r="T1408" s="34">
        <v>42133</v>
      </c>
      <c r="U1408" s="29">
        <v>-120.59</v>
      </c>
      <c r="V1408" s="26">
        <v>9</v>
      </c>
      <c r="W1408" s="29">
        <v>59.79</v>
      </c>
      <c r="X1408" s="26">
        <v>87632</v>
      </c>
      <c r="Y1408" s="35">
        <v>12.44</v>
      </c>
      <c r="Z1408" s="1" t="s">
        <v>3014</v>
      </c>
      <c r="AA1408" s="36">
        <v>2.9160000000000004</v>
      </c>
      <c r="AB1408" s="54">
        <v>37.667699999999996</v>
      </c>
      <c r="AC1408" s="54">
        <v>2.4580333333333333</v>
      </c>
      <c r="AD1408" s="36">
        <v>168.73400000000001</v>
      </c>
    </row>
    <row r="1409" spans="1:30" s="37" customFormat="1" ht="15.75" customHeight="1" x14ac:dyDescent="0.2">
      <c r="A1409" s="26">
        <v>62</v>
      </c>
      <c r="B1409" s="27" t="s">
        <v>2467</v>
      </c>
      <c r="C1409" s="27" t="s">
        <v>38</v>
      </c>
      <c r="D1409" s="28">
        <v>0.02</v>
      </c>
      <c r="E1409" s="29">
        <v>5.98</v>
      </c>
      <c r="F1409" s="29">
        <v>5.15</v>
      </c>
      <c r="G1409" s="30" t="s">
        <v>39</v>
      </c>
      <c r="H1409" s="27" t="s">
        <v>94</v>
      </c>
      <c r="I1409" s="27" t="s">
        <v>49</v>
      </c>
      <c r="J1409" s="27" t="s">
        <v>88</v>
      </c>
      <c r="K1409" s="27" t="s">
        <v>73</v>
      </c>
      <c r="L1409" s="31" t="s">
        <v>2468</v>
      </c>
      <c r="M1409" s="32">
        <v>0.36</v>
      </c>
      <c r="N1409" s="27" t="s">
        <v>33</v>
      </c>
      <c r="O1409" s="27" t="s">
        <v>53</v>
      </c>
      <c r="P1409" s="27" t="s">
        <v>187</v>
      </c>
      <c r="Q1409" s="27" t="s">
        <v>2469</v>
      </c>
      <c r="R1409" s="33">
        <v>78664</v>
      </c>
      <c r="S1409" s="34">
        <v>42133</v>
      </c>
      <c r="T1409" s="34">
        <v>42135</v>
      </c>
      <c r="U1409" s="29">
        <v>2.14</v>
      </c>
      <c r="V1409" s="26">
        <v>3</v>
      </c>
      <c r="W1409" s="29">
        <v>22.85</v>
      </c>
      <c r="X1409" s="26">
        <v>87407</v>
      </c>
      <c r="Y1409" s="35">
        <v>65.91</v>
      </c>
      <c r="Z1409" s="1" t="s">
        <v>3012</v>
      </c>
      <c r="AA1409" s="36">
        <v>0.35880000000000001</v>
      </c>
      <c r="AB1409" s="54">
        <v>14.624000000000001</v>
      </c>
      <c r="AC1409" s="54">
        <v>2.742</v>
      </c>
      <c r="AD1409" s="36">
        <v>15.2012</v>
      </c>
    </row>
    <row r="1410" spans="1:30" s="37" customFormat="1" ht="15.75" customHeight="1" x14ac:dyDescent="0.2">
      <c r="A1410" s="26">
        <v>1709</v>
      </c>
      <c r="B1410" s="27" t="s">
        <v>684</v>
      </c>
      <c r="C1410" s="27" t="s">
        <v>116</v>
      </c>
      <c r="D1410" s="28">
        <v>0.04</v>
      </c>
      <c r="E1410" s="29">
        <v>95.43</v>
      </c>
      <c r="F1410" s="29">
        <v>19.989999999999998</v>
      </c>
      <c r="G1410" s="30" t="s">
        <v>39</v>
      </c>
      <c r="H1410" s="27" t="s">
        <v>3095</v>
      </c>
      <c r="I1410" s="27" t="s">
        <v>49</v>
      </c>
      <c r="J1410" s="27" t="s">
        <v>78</v>
      </c>
      <c r="K1410" s="27" t="s">
        <v>73</v>
      </c>
      <c r="L1410" s="31" t="s">
        <v>1437</v>
      </c>
      <c r="M1410" s="32">
        <v>0.79</v>
      </c>
      <c r="N1410" s="27" t="s">
        <v>33</v>
      </c>
      <c r="O1410" s="27" t="s">
        <v>111</v>
      </c>
      <c r="P1410" s="27" t="s">
        <v>320</v>
      </c>
      <c r="Q1410" s="27" t="s">
        <v>686</v>
      </c>
      <c r="R1410" s="33">
        <v>19464</v>
      </c>
      <c r="S1410" s="34">
        <v>42134</v>
      </c>
      <c r="T1410" s="34">
        <v>42136</v>
      </c>
      <c r="U1410" s="29">
        <v>13.536</v>
      </c>
      <c r="V1410" s="26">
        <v>33</v>
      </c>
      <c r="W1410" s="29">
        <v>3251.76</v>
      </c>
      <c r="X1410" s="26">
        <v>88783</v>
      </c>
      <c r="Y1410" s="35">
        <v>99.99</v>
      </c>
      <c r="Z1410" s="1" t="s">
        <v>3014</v>
      </c>
      <c r="AA1410" s="36">
        <v>125.9676</v>
      </c>
      <c r="AB1410" s="54">
        <v>682.86959999999988</v>
      </c>
      <c r="AC1410" s="54">
        <v>77.845163636363651</v>
      </c>
      <c r="AD1410" s="36">
        <v>3092.2664000000004</v>
      </c>
    </row>
    <row r="1411" spans="1:30" s="37" customFormat="1" ht="15.75" customHeight="1" x14ac:dyDescent="0.2">
      <c r="A1411" s="26">
        <v>43</v>
      </c>
      <c r="B1411" s="27" t="s">
        <v>2473</v>
      </c>
      <c r="C1411" s="27" t="s">
        <v>38</v>
      </c>
      <c r="D1411" s="28">
        <v>0</v>
      </c>
      <c r="E1411" s="29">
        <v>99.99</v>
      </c>
      <c r="F1411" s="29">
        <v>19.989999999999998</v>
      </c>
      <c r="G1411" s="30" t="s">
        <v>39</v>
      </c>
      <c r="H1411" s="27" t="s">
        <v>40</v>
      </c>
      <c r="I1411" s="27" t="s">
        <v>41</v>
      </c>
      <c r="J1411" s="27" t="s">
        <v>57</v>
      </c>
      <c r="K1411" s="27" t="s">
        <v>73</v>
      </c>
      <c r="L1411" s="31" t="s">
        <v>1562</v>
      </c>
      <c r="M1411" s="32">
        <v>0.52</v>
      </c>
      <c r="N1411" s="27" t="s">
        <v>33</v>
      </c>
      <c r="O1411" s="27" t="s">
        <v>60</v>
      </c>
      <c r="P1411" s="27" t="s">
        <v>67</v>
      </c>
      <c r="Q1411" s="27" t="s">
        <v>842</v>
      </c>
      <c r="R1411" s="33">
        <v>98052</v>
      </c>
      <c r="S1411" s="34">
        <v>42134</v>
      </c>
      <c r="T1411" s="34">
        <v>42135</v>
      </c>
      <c r="U1411" s="29">
        <v>25.913820000000001</v>
      </c>
      <c r="V1411" s="26">
        <v>6</v>
      </c>
      <c r="W1411" s="29">
        <v>647.07000000000005</v>
      </c>
      <c r="X1411" s="26">
        <v>91454</v>
      </c>
      <c r="Y1411" s="35">
        <v>13.93</v>
      </c>
      <c r="Z1411" s="1" t="s">
        <v>3013</v>
      </c>
      <c r="AA1411" s="36">
        <v>0</v>
      </c>
      <c r="AB1411" s="54">
        <v>310.59360000000004</v>
      </c>
      <c r="AC1411" s="54">
        <v>56.079400000000007</v>
      </c>
      <c r="AD1411" s="36">
        <v>601.16618000000005</v>
      </c>
    </row>
    <row r="1412" spans="1:30" s="37" customFormat="1" ht="15.75" customHeight="1" x14ac:dyDescent="0.2">
      <c r="A1412" s="26">
        <v>3283</v>
      </c>
      <c r="B1412" s="27" t="s">
        <v>2244</v>
      </c>
      <c r="C1412" s="27" t="s">
        <v>38</v>
      </c>
      <c r="D1412" s="28">
        <v>0.03</v>
      </c>
      <c r="E1412" s="29">
        <v>17.48</v>
      </c>
      <c r="F1412" s="29">
        <v>1.99</v>
      </c>
      <c r="G1412" s="30" t="s">
        <v>39</v>
      </c>
      <c r="H1412" s="27" t="s">
        <v>94</v>
      </c>
      <c r="I1412" s="27" t="s">
        <v>41</v>
      </c>
      <c r="J1412" s="27" t="s">
        <v>42</v>
      </c>
      <c r="K1412" s="27" t="s">
        <v>43</v>
      </c>
      <c r="L1412" s="31" t="s">
        <v>122</v>
      </c>
      <c r="M1412" s="32">
        <v>0.45</v>
      </c>
      <c r="N1412" s="27" t="s">
        <v>33</v>
      </c>
      <c r="O1412" s="27" t="s">
        <v>34</v>
      </c>
      <c r="P1412" s="27" t="s">
        <v>123</v>
      </c>
      <c r="Q1412" s="27" t="s">
        <v>2245</v>
      </c>
      <c r="R1412" s="33">
        <v>33156</v>
      </c>
      <c r="S1412" s="34">
        <v>42134</v>
      </c>
      <c r="T1412" s="34">
        <v>42135</v>
      </c>
      <c r="U1412" s="29">
        <v>710.80740000000003</v>
      </c>
      <c r="V1412" s="26">
        <v>31</v>
      </c>
      <c r="W1412" s="29">
        <v>537.79999999999995</v>
      </c>
      <c r="X1412" s="26">
        <v>90753</v>
      </c>
      <c r="Y1412" s="35">
        <v>14.979999999999999</v>
      </c>
      <c r="Z1412" s="1" t="s">
        <v>3011</v>
      </c>
      <c r="AA1412" s="36">
        <v>16.256399999999999</v>
      </c>
      <c r="AB1412" s="54">
        <v>295.79000000000002</v>
      </c>
      <c r="AC1412" s="54">
        <v>7.806774193548387</v>
      </c>
      <c r="AD1412" s="36">
        <v>-191.25380000000007</v>
      </c>
    </row>
    <row r="1413" spans="1:30" s="37" customFormat="1" ht="15.75" customHeight="1" x14ac:dyDescent="0.2">
      <c r="A1413" s="26">
        <v>1778</v>
      </c>
      <c r="B1413" s="27" t="s">
        <v>2474</v>
      </c>
      <c r="C1413" s="27" t="s">
        <v>38</v>
      </c>
      <c r="D1413" s="28">
        <v>0.06</v>
      </c>
      <c r="E1413" s="29">
        <v>13.99</v>
      </c>
      <c r="F1413" s="29">
        <v>7.51</v>
      </c>
      <c r="G1413" s="30" t="s">
        <v>39</v>
      </c>
      <c r="H1413" s="27" t="s">
        <v>40</v>
      </c>
      <c r="I1413" s="27" t="s">
        <v>41</v>
      </c>
      <c r="J1413" s="27" t="s">
        <v>57</v>
      </c>
      <c r="K1413" s="27" t="s">
        <v>144</v>
      </c>
      <c r="L1413" s="31" t="s">
        <v>1076</v>
      </c>
      <c r="M1413" s="32">
        <v>0.39</v>
      </c>
      <c r="N1413" s="27" t="s">
        <v>33</v>
      </c>
      <c r="O1413" s="27" t="s">
        <v>53</v>
      </c>
      <c r="P1413" s="27" t="s">
        <v>54</v>
      </c>
      <c r="Q1413" s="27" t="s">
        <v>2475</v>
      </c>
      <c r="R1413" s="33">
        <v>47906</v>
      </c>
      <c r="S1413" s="34">
        <v>42134</v>
      </c>
      <c r="T1413" s="34">
        <v>42136</v>
      </c>
      <c r="U1413" s="29">
        <v>6.4832400000000003</v>
      </c>
      <c r="V1413" s="26">
        <v>21</v>
      </c>
      <c r="W1413" s="29">
        <v>287.99</v>
      </c>
      <c r="X1413" s="26">
        <v>89943</v>
      </c>
      <c r="Y1413" s="35">
        <v>17.45</v>
      </c>
      <c r="Z1413" s="1" t="s">
        <v>3012</v>
      </c>
      <c r="AA1413" s="36">
        <v>17.627400000000002</v>
      </c>
      <c r="AB1413" s="54">
        <v>175.6739</v>
      </c>
      <c r="AC1413" s="54">
        <v>5.3483857142857145</v>
      </c>
      <c r="AD1413" s="36">
        <v>256.36936000000003</v>
      </c>
    </row>
    <row r="1414" spans="1:30" s="37" customFormat="1" ht="15.75" customHeight="1" x14ac:dyDescent="0.2">
      <c r="A1414" s="26">
        <v>2820</v>
      </c>
      <c r="B1414" s="27" t="s">
        <v>495</v>
      </c>
      <c r="C1414" s="27" t="s">
        <v>48</v>
      </c>
      <c r="D1414" s="28">
        <v>0.08</v>
      </c>
      <c r="E1414" s="29">
        <v>6.48</v>
      </c>
      <c r="F1414" s="29">
        <v>2.74</v>
      </c>
      <c r="G1414" s="30" t="s">
        <v>39</v>
      </c>
      <c r="H1414" s="27" t="s">
        <v>71</v>
      </c>
      <c r="I1414" s="27" t="s">
        <v>41</v>
      </c>
      <c r="J1414" s="27" t="s">
        <v>42</v>
      </c>
      <c r="K1414" s="27" t="s">
        <v>43</v>
      </c>
      <c r="L1414" s="31" t="s">
        <v>2471</v>
      </c>
      <c r="M1414" s="32">
        <v>0.71</v>
      </c>
      <c r="N1414" s="27" t="s">
        <v>33</v>
      </c>
      <c r="O1414" s="27" t="s">
        <v>53</v>
      </c>
      <c r="P1414" s="27" t="s">
        <v>80</v>
      </c>
      <c r="Q1414" s="27" t="s">
        <v>497</v>
      </c>
      <c r="R1414" s="33">
        <v>63129</v>
      </c>
      <c r="S1414" s="34">
        <v>42134</v>
      </c>
      <c r="T1414" s="34">
        <v>42136</v>
      </c>
      <c r="U1414" s="29">
        <v>-82.64</v>
      </c>
      <c r="V1414" s="26">
        <v>18</v>
      </c>
      <c r="W1414" s="29">
        <v>113.68</v>
      </c>
      <c r="X1414" s="26">
        <v>87899</v>
      </c>
      <c r="Y1414" s="35">
        <v>7.55</v>
      </c>
      <c r="Z1414" s="1" t="s">
        <v>3012</v>
      </c>
      <c r="AA1414" s="36">
        <v>9.3312000000000008</v>
      </c>
      <c r="AB1414" s="54">
        <v>32.967200000000005</v>
      </c>
      <c r="AC1414" s="54">
        <v>4.4840444444444447</v>
      </c>
      <c r="AD1414" s="36">
        <v>184.24880000000002</v>
      </c>
    </row>
    <row r="1415" spans="1:30" s="37" customFormat="1" ht="15.75" customHeight="1" x14ac:dyDescent="0.2">
      <c r="A1415" s="26">
        <v>995</v>
      </c>
      <c r="B1415" s="27" t="s">
        <v>2476</v>
      </c>
      <c r="C1415" s="27" t="s">
        <v>48</v>
      </c>
      <c r="D1415" s="28">
        <v>0.09</v>
      </c>
      <c r="E1415" s="29">
        <v>7.64</v>
      </c>
      <c r="F1415" s="29">
        <v>5.83</v>
      </c>
      <c r="G1415" s="30" t="s">
        <v>39</v>
      </c>
      <c r="H1415" s="27" t="s">
        <v>3095</v>
      </c>
      <c r="I1415" s="27" t="s">
        <v>49</v>
      </c>
      <c r="J1415" s="27" t="s">
        <v>88</v>
      </c>
      <c r="K1415" s="27" t="s">
        <v>51</v>
      </c>
      <c r="L1415" s="31" t="s">
        <v>232</v>
      </c>
      <c r="M1415" s="32">
        <v>0.36</v>
      </c>
      <c r="N1415" s="27" t="s">
        <v>33</v>
      </c>
      <c r="O1415" s="27" t="s">
        <v>111</v>
      </c>
      <c r="P1415" s="27" t="s">
        <v>331</v>
      </c>
      <c r="Q1415" s="27" t="s">
        <v>2477</v>
      </c>
      <c r="R1415" s="33">
        <v>4070</v>
      </c>
      <c r="S1415" s="34">
        <v>42134</v>
      </c>
      <c r="T1415" s="34">
        <v>42139</v>
      </c>
      <c r="U1415" s="29">
        <v>4.032</v>
      </c>
      <c r="V1415" s="26">
        <v>9</v>
      </c>
      <c r="W1415" s="29">
        <v>72.83</v>
      </c>
      <c r="X1415" s="26">
        <v>89434</v>
      </c>
      <c r="Y1415" s="35">
        <v>6.4</v>
      </c>
      <c r="Z1415" s="1" t="s">
        <v>3014</v>
      </c>
      <c r="AA1415" s="36">
        <v>6.1883999999999997</v>
      </c>
      <c r="AB1415" s="54">
        <v>46.611199999999997</v>
      </c>
      <c r="AC1415" s="54">
        <v>2.9131999999999998</v>
      </c>
      <c r="AD1415" s="36">
        <v>56.779600000000002</v>
      </c>
    </row>
    <row r="1416" spans="1:30" s="37" customFormat="1" ht="15.75" customHeight="1" x14ac:dyDescent="0.2">
      <c r="A1416" s="26">
        <v>1778</v>
      </c>
      <c r="B1416" s="27" t="s">
        <v>2474</v>
      </c>
      <c r="C1416" s="27" t="s">
        <v>38</v>
      </c>
      <c r="D1416" s="28">
        <v>0.06</v>
      </c>
      <c r="E1416" s="29">
        <v>15.04</v>
      </c>
      <c r="F1416" s="29">
        <v>1.97</v>
      </c>
      <c r="G1416" s="30" t="s">
        <v>39</v>
      </c>
      <c r="H1416" s="27" t="s">
        <v>40</v>
      </c>
      <c r="I1416" s="27" t="s">
        <v>49</v>
      </c>
      <c r="J1416" s="27" t="s">
        <v>88</v>
      </c>
      <c r="K1416" s="27" t="s">
        <v>51</v>
      </c>
      <c r="L1416" s="31" t="s">
        <v>92</v>
      </c>
      <c r="M1416" s="32">
        <v>0.39</v>
      </c>
      <c r="N1416" s="27" t="s">
        <v>33</v>
      </c>
      <c r="O1416" s="27" t="s">
        <v>53</v>
      </c>
      <c r="P1416" s="27" t="s">
        <v>54</v>
      </c>
      <c r="Q1416" s="27" t="s">
        <v>2475</v>
      </c>
      <c r="R1416" s="33">
        <v>47906</v>
      </c>
      <c r="S1416" s="34">
        <v>42134</v>
      </c>
      <c r="T1416" s="34">
        <v>42134</v>
      </c>
      <c r="U1416" s="29">
        <v>2.3319999999999999</v>
      </c>
      <c r="V1416" s="26">
        <v>3</v>
      </c>
      <c r="W1416" s="29">
        <v>46.86</v>
      </c>
      <c r="X1416" s="26">
        <v>89943</v>
      </c>
      <c r="Y1416" s="35">
        <v>95.39</v>
      </c>
      <c r="Z1416" s="1" t="s">
        <v>3012</v>
      </c>
      <c r="AA1416" s="36">
        <v>2.7071999999999994</v>
      </c>
      <c r="AB1416" s="54">
        <v>28.584599999999998</v>
      </c>
      <c r="AC1416" s="54">
        <v>6.0918000000000001</v>
      </c>
      <c r="AD1416" s="36">
        <v>39.8508</v>
      </c>
    </row>
    <row r="1417" spans="1:30" s="37" customFormat="1" ht="15.75" customHeight="1" x14ac:dyDescent="0.2">
      <c r="A1417" s="26">
        <v>1595</v>
      </c>
      <c r="B1417" s="27" t="s">
        <v>2478</v>
      </c>
      <c r="C1417" s="27" t="s">
        <v>38</v>
      </c>
      <c r="D1417" s="28">
        <v>0.01</v>
      </c>
      <c r="E1417" s="29">
        <v>500.98</v>
      </c>
      <c r="F1417" s="29">
        <v>26</v>
      </c>
      <c r="G1417" s="30" t="s">
        <v>27</v>
      </c>
      <c r="H1417" s="27" t="s">
        <v>94</v>
      </c>
      <c r="I1417" s="27" t="s">
        <v>29</v>
      </c>
      <c r="J1417" s="27" t="s">
        <v>109</v>
      </c>
      <c r="K1417" s="27" t="s">
        <v>58</v>
      </c>
      <c r="L1417" s="31" t="s">
        <v>2296</v>
      </c>
      <c r="M1417" s="32">
        <v>0.6</v>
      </c>
      <c r="N1417" s="27" t="s">
        <v>33</v>
      </c>
      <c r="O1417" s="27" t="s">
        <v>111</v>
      </c>
      <c r="P1417" s="27" t="s">
        <v>903</v>
      </c>
      <c r="Q1417" s="27" t="s">
        <v>2479</v>
      </c>
      <c r="R1417" s="33">
        <v>25705</v>
      </c>
      <c r="S1417" s="34">
        <v>42135</v>
      </c>
      <c r="T1417" s="34">
        <v>42136</v>
      </c>
      <c r="U1417" s="29">
        <v>5078.5379999999996</v>
      </c>
      <c r="V1417" s="26">
        <v>14</v>
      </c>
      <c r="W1417" s="29">
        <v>7360.2</v>
      </c>
      <c r="X1417" s="26">
        <v>90796</v>
      </c>
      <c r="Y1417" s="35">
        <v>500.97</v>
      </c>
      <c r="Z1417" s="1" t="s">
        <v>3014</v>
      </c>
      <c r="AA1417" s="36">
        <v>70.137200000000007</v>
      </c>
      <c r="AB1417" s="54">
        <v>2944.08</v>
      </c>
      <c r="AC1417" s="54">
        <v>315.43714285714282</v>
      </c>
      <c r="AD1417" s="36">
        <v>2185.5248000000001</v>
      </c>
    </row>
    <row r="1418" spans="1:30" s="37" customFormat="1" ht="15.75" customHeight="1" x14ac:dyDescent="0.2">
      <c r="A1418" s="26">
        <v>2464</v>
      </c>
      <c r="B1418" s="27" t="s">
        <v>655</v>
      </c>
      <c r="C1418" s="27" t="s">
        <v>38</v>
      </c>
      <c r="D1418" s="28">
        <v>0.08</v>
      </c>
      <c r="E1418" s="29">
        <v>227.55</v>
      </c>
      <c r="F1418" s="29">
        <v>32.479999999999997</v>
      </c>
      <c r="G1418" s="30" t="s">
        <v>27</v>
      </c>
      <c r="H1418" s="27" t="s">
        <v>40</v>
      </c>
      <c r="I1418" s="27" t="s">
        <v>29</v>
      </c>
      <c r="J1418" s="27" t="s">
        <v>30</v>
      </c>
      <c r="K1418" s="27" t="s">
        <v>31</v>
      </c>
      <c r="L1418" s="31" t="s">
        <v>2483</v>
      </c>
      <c r="M1418" s="32">
        <v>0.68</v>
      </c>
      <c r="N1418" s="27" t="s">
        <v>33</v>
      </c>
      <c r="O1418" s="27" t="s">
        <v>34</v>
      </c>
      <c r="P1418" s="27" t="s">
        <v>168</v>
      </c>
      <c r="Q1418" s="27" t="s">
        <v>657</v>
      </c>
      <c r="R1418" s="33">
        <v>71111</v>
      </c>
      <c r="S1418" s="34">
        <v>42135</v>
      </c>
      <c r="T1418" s="34">
        <v>42135</v>
      </c>
      <c r="U1418" s="29">
        <v>-570.16959999999995</v>
      </c>
      <c r="V1418" s="26">
        <v>16</v>
      </c>
      <c r="W1418" s="29">
        <v>2849.64</v>
      </c>
      <c r="X1418" s="26">
        <v>88713</v>
      </c>
      <c r="Y1418" s="35">
        <v>9.69</v>
      </c>
      <c r="Z1418" s="1" t="s">
        <v>3011</v>
      </c>
      <c r="AA1418" s="36">
        <v>291.26400000000001</v>
      </c>
      <c r="AB1418" s="54">
        <v>911.88479999999981</v>
      </c>
      <c r="AC1418" s="54">
        <v>121.1097</v>
      </c>
      <c r="AD1418" s="36">
        <v>3096.0655999999999</v>
      </c>
    </row>
    <row r="1419" spans="1:30" s="37" customFormat="1" ht="15.75" customHeight="1" x14ac:dyDescent="0.2">
      <c r="A1419" s="26">
        <v>1693</v>
      </c>
      <c r="B1419" s="27" t="s">
        <v>738</v>
      </c>
      <c r="C1419" s="27" t="s">
        <v>48</v>
      </c>
      <c r="D1419" s="28">
        <v>0.01</v>
      </c>
      <c r="E1419" s="29">
        <v>15.67</v>
      </c>
      <c r="F1419" s="29">
        <v>1.39</v>
      </c>
      <c r="G1419" s="30" t="s">
        <v>87</v>
      </c>
      <c r="H1419" s="27" t="s">
        <v>40</v>
      </c>
      <c r="I1419" s="27" t="s">
        <v>49</v>
      </c>
      <c r="J1419" s="27" t="s">
        <v>345</v>
      </c>
      <c r="K1419" s="27" t="s">
        <v>73</v>
      </c>
      <c r="L1419" s="31" t="s">
        <v>2484</v>
      </c>
      <c r="M1419" s="32">
        <v>0.38</v>
      </c>
      <c r="N1419" s="27" t="s">
        <v>33</v>
      </c>
      <c r="O1419" s="27" t="s">
        <v>34</v>
      </c>
      <c r="P1419" s="27" t="s">
        <v>242</v>
      </c>
      <c r="Q1419" s="27" t="s">
        <v>740</v>
      </c>
      <c r="R1419" s="33">
        <v>20190</v>
      </c>
      <c r="S1419" s="34">
        <v>42135</v>
      </c>
      <c r="T1419" s="34">
        <v>42135</v>
      </c>
      <c r="U1419" s="29">
        <v>-273.98</v>
      </c>
      <c r="V1419" s="26">
        <v>11</v>
      </c>
      <c r="W1419" s="29">
        <v>188.09</v>
      </c>
      <c r="X1419" s="26">
        <v>90190</v>
      </c>
      <c r="Y1419" s="35">
        <v>3.19</v>
      </c>
      <c r="Z1419" s="1" t="s">
        <v>3011</v>
      </c>
      <c r="AA1419" s="36">
        <v>1.7237</v>
      </c>
      <c r="AB1419" s="54">
        <v>116.61580000000001</v>
      </c>
      <c r="AC1419" s="54">
        <v>6.4976545454545453</v>
      </c>
      <c r="AD1419" s="36">
        <v>458.95630000000006</v>
      </c>
    </row>
    <row r="1420" spans="1:30" s="37" customFormat="1" ht="15.75" customHeight="1" x14ac:dyDescent="0.2">
      <c r="A1420" s="26">
        <v>1595</v>
      </c>
      <c r="B1420" s="27" t="s">
        <v>2478</v>
      </c>
      <c r="C1420" s="27" t="s">
        <v>38</v>
      </c>
      <c r="D1420" s="28">
        <v>0.09</v>
      </c>
      <c r="E1420" s="29">
        <v>3.28</v>
      </c>
      <c r="F1420" s="29">
        <v>0.98</v>
      </c>
      <c r="G1420" s="30" t="s">
        <v>39</v>
      </c>
      <c r="H1420" s="27" t="s">
        <v>94</v>
      </c>
      <c r="I1420" s="27" t="s">
        <v>49</v>
      </c>
      <c r="J1420" s="27" t="s">
        <v>50</v>
      </c>
      <c r="K1420" s="27" t="s">
        <v>51</v>
      </c>
      <c r="L1420" s="31" t="s">
        <v>2480</v>
      </c>
      <c r="M1420" s="32">
        <v>0.59</v>
      </c>
      <c r="N1420" s="27" t="s">
        <v>33</v>
      </c>
      <c r="O1420" s="27" t="s">
        <v>111</v>
      </c>
      <c r="P1420" s="27" t="s">
        <v>903</v>
      </c>
      <c r="Q1420" s="27" t="s">
        <v>2479</v>
      </c>
      <c r="R1420" s="33">
        <v>25705</v>
      </c>
      <c r="S1420" s="34">
        <v>42135</v>
      </c>
      <c r="T1420" s="34">
        <v>42137</v>
      </c>
      <c r="U1420" s="29">
        <v>17.754000000000001</v>
      </c>
      <c r="V1420" s="26">
        <v>42</v>
      </c>
      <c r="W1420" s="29">
        <v>134.97</v>
      </c>
      <c r="X1420" s="26">
        <v>90796</v>
      </c>
      <c r="Y1420" s="35">
        <v>2.1300000000000003</v>
      </c>
      <c r="Z1420" s="1" t="s">
        <v>3014</v>
      </c>
      <c r="AA1420" s="36">
        <v>12.398399999999999</v>
      </c>
      <c r="AB1420" s="54">
        <v>55.337700000000005</v>
      </c>
      <c r="AC1420" s="54">
        <v>1.8960071428571428</v>
      </c>
      <c r="AD1420" s="36">
        <v>103.83759999999999</v>
      </c>
    </row>
    <row r="1421" spans="1:30" s="37" customFormat="1" ht="15.75" customHeight="1" x14ac:dyDescent="0.2">
      <c r="A1421" s="26">
        <v>1595</v>
      </c>
      <c r="B1421" s="27" t="s">
        <v>2478</v>
      </c>
      <c r="C1421" s="27" t="s">
        <v>38</v>
      </c>
      <c r="D1421" s="28">
        <v>0.08</v>
      </c>
      <c r="E1421" s="29">
        <v>9.77</v>
      </c>
      <c r="F1421" s="29">
        <v>6.02</v>
      </c>
      <c r="G1421" s="30" t="s">
        <v>39</v>
      </c>
      <c r="H1421" s="27" t="s">
        <v>94</v>
      </c>
      <c r="I1421" s="27" t="s">
        <v>29</v>
      </c>
      <c r="J1421" s="27" t="s">
        <v>126</v>
      </c>
      <c r="K1421" s="27" t="s">
        <v>144</v>
      </c>
      <c r="L1421" s="31" t="s">
        <v>2119</v>
      </c>
      <c r="M1421" s="32">
        <v>0.48</v>
      </c>
      <c r="N1421" s="27" t="s">
        <v>33</v>
      </c>
      <c r="O1421" s="27" t="s">
        <v>111</v>
      </c>
      <c r="P1421" s="27" t="s">
        <v>903</v>
      </c>
      <c r="Q1421" s="27" t="s">
        <v>2479</v>
      </c>
      <c r="R1421" s="33">
        <v>25705</v>
      </c>
      <c r="S1421" s="34">
        <v>42135</v>
      </c>
      <c r="T1421" s="34">
        <v>42136</v>
      </c>
      <c r="U1421" s="29">
        <v>23.276</v>
      </c>
      <c r="V1421" s="26">
        <v>9</v>
      </c>
      <c r="W1421" s="29">
        <v>89.06</v>
      </c>
      <c r="X1421" s="26">
        <v>90796</v>
      </c>
      <c r="Y1421" s="35">
        <v>9.6800000000000015</v>
      </c>
      <c r="Z1421" s="1" t="s">
        <v>3014</v>
      </c>
      <c r="AA1421" s="36">
        <v>7.0343999999999998</v>
      </c>
      <c r="AB1421" s="54">
        <v>46.311199999999999</v>
      </c>
      <c r="AC1421" s="54">
        <v>4.7498666666666667</v>
      </c>
      <c r="AD1421" s="36">
        <v>52.729600000000005</v>
      </c>
    </row>
    <row r="1422" spans="1:30" s="37" customFormat="1" ht="15.75" customHeight="1" x14ac:dyDescent="0.2">
      <c r="A1422" s="26">
        <v>1609</v>
      </c>
      <c r="B1422" s="27" t="s">
        <v>2481</v>
      </c>
      <c r="C1422" s="27" t="s">
        <v>38</v>
      </c>
      <c r="D1422" s="28">
        <v>0.03</v>
      </c>
      <c r="E1422" s="29">
        <v>9.7100000000000009</v>
      </c>
      <c r="F1422" s="29">
        <v>9.4499999999999993</v>
      </c>
      <c r="G1422" s="30" t="s">
        <v>39</v>
      </c>
      <c r="H1422" s="27" t="s">
        <v>40</v>
      </c>
      <c r="I1422" s="27" t="s">
        <v>49</v>
      </c>
      <c r="J1422" s="27" t="s">
        <v>78</v>
      </c>
      <c r="K1422" s="27" t="s">
        <v>73</v>
      </c>
      <c r="L1422" s="31" t="s">
        <v>1203</v>
      </c>
      <c r="M1422" s="32">
        <v>0.6</v>
      </c>
      <c r="N1422" s="27" t="s">
        <v>33</v>
      </c>
      <c r="O1422" s="27" t="s">
        <v>60</v>
      </c>
      <c r="P1422" s="27" t="s">
        <v>90</v>
      </c>
      <c r="Q1422" s="27" t="s">
        <v>2482</v>
      </c>
      <c r="R1422" s="33">
        <v>95823</v>
      </c>
      <c r="S1422" s="34">
        <v>42135</v>
      </c>
      <c r="T1422" s="34">
        <v>42135</v>
      </c>
      <c r="U1422" s="29">
        <v>-36.9</v>
      </c>
      <c r="V1422" s="26">
        <v>2</v>
      </c>
      <c r="W1422" s="29">
        <v>23.56</v>
      </c>
      <c r="X1422" s="26">
        <v>87824</v>
      </c>
      <c r="Y1422" s="35">
        <v>1.65</v>
      </c>
      <c r="Z1422" s="1" t="s">
        <v>3013</v>
      </c>
      <c r="AA1422" s="36">
        <v>0.58260000000000001</v>
      </c>
      <c r="AB1422" s="54">
        <v>9.4239999999999995</v>
      </c>
      <c r="AC1422" s="54">
        <v>7.0679999999999996</v>
      </c>
      <c r="AD1422" s="36">
        <v>50.427399999999999</v>
      </c>
    </row>
    <row r="1423" spans="1:30" s="37" customFormat="1" ht="15.75" customHeight="1" x14ac:dyDescent="0.2">
      <c r="A1423" s="26">
        <v>2935</v>
      </c>
      <c r="B1423" s="27" t="s">
        <v>2485</v>
      </c>
      <c r="C1423" s="27" t="s">
        <v>48</v>
      </c>
      <c r="D1423" s="28">
        <v>0.02</v>
      </c>
      <c r="E1423" s="29">
        <v>3.8</v>
      </c>
      <c r="F1423" s="29">
        <v>1.49</v>
      </c>
      <c r="G1423" s="30" t="s">
        <v>39</v>
      </c>
      <c r="H1423" s="27" t="s">
        <v>3095</v>
      </c>
      <c r="I1423" s="27" t="s">
        <v>49</v>
      </c>
      <c r="J1423" s="27" t="s">
        <v>72</v>
      </c>
      <c r="K1423" s="27" t="s">
        <v>73</v>
      </c>
      <c r="L1423" s="31" t="s">
        <v>1192</v>
      </c>
      <c r="M1423" s="32">
        <v>0.38</v>
      </c>
      <c r="N1423" s="27" t="s">
        <v>33</v>
      </c>
      <c r="O1423" s="27" t="s">
        <v>111</v>
      </c>
      <c r="P1423" s="27" t="s">
        <v>403</v>
      </c>
      <c r="Q1423" s="27" t="s">
        <v>788</v>
      </c>
      <c r="R1423" s="33">
        <v>2215</v>
      </c>
      <c r="S1423" s="34">
        <v>42135</v>
      </c>
      <c r="T1423" s="34">
        <v>42139</v>
      </c>
      <c r="U1423" s="29">
        <v>7.31</v>
      </c>
      <c r="V1423" s="26">
        <v>5</v>
      </c>
      <c r="W1423" s="29">
        <v>20.46</v>
      </c>
      <c r="X1423" s="26">
        <v>87617</v>
      </c>
      <c r="Y1423" s="35">
        <v>227.47</v>
      </c>
      <c r="Z1423" s="1" t="s">
        <v>3014</v>
      </c>
      <c r="AA1423" s="36">
        <v>0.38</v>
      </c>
      <c r="AB1423" s="54">
        <v>12.6852</v>
      </c>
      <c r="AC1423" s="54">
        <v>1.5549600000000001</v>
      </c>
      <c r="AD1423" s="36">
        <v>11.280000000000001</v>
      </c>
    </row>
    <row r="1424" spans="1:30" s="37" customFormat="1" ht="15.75" customHeight="1" x14ac:dyDescent="0.2">
      <c r="A1424" s="26">
        <v>1609</v>
      </c>
      <c r="B1424" s="27" t="s">
        <v>2481</v>
      </c>
      <c r="C1424" s="27" t="s">
        <v>38</v>
      </c>
      <c r="D1424" s="28">
        <v>0.03</v>
      </c>
      <c r="E1424" s="29">
        <v>2.16</v>
      </c>
      <c r="F1424" s="29">
        <v>6.05</v>
      </c>
      <c r="G1424" s="30" t="s">
        <v>39</v>
      </c>
      <c r="H1424" s="27" t="s">
        <v>40</v>
      </c>
      <c r="I1424" s="27" t="s">
        <v>49</v>
      </c>
      <c r="J1424" s="27" t="s">
        <v>72</v>
      </c>
      <c r="K1424" s="27" t="s">
        <v>73</v>
      </c>
      <c r="L1424" s="31" t="s">
        <v>896</v>
      </c>
      <c r="M1424" s="32">
        <v>0.37</v>
      </c>
      <c r="N1424" s="27" t="s">
        <v>33</v>
      </c>
      <c r="O1424" s="27" t="s">
        <v>60</v>
      </c>
      <c r="P1424" s="27" t="s">
        <v>90</v>
      </c>
      <c r="Q1424" s="27" t="s">
        <v>2482</v>
      </c>
      <c r="R1424" s="33">
        <v>95823</v>
      </c>
      <c r="S1424" s="34">
        <v>42135</v>
      </c>
      <c r="T1424" s="34">
        <v>42136</v>
      </c>
      <c r="U1424" s="29">
        <v>-90.585499999999996</v>
      </c>
      <c r="V1424" s="26">
        <v>7</v>
      </c>
      <c r="W1424" s="29">
        <v>17.309999999999999</v>
      </c>
      <c r="X1424" s="26">
        <v>87824</v>
      </c>
      <c r="Y1424" s="35">
        <v>15.66</v>
      </c>
      <c r="Z1424" s="1" t="s">
        <v>3013</v>
      </c>
      <c r="AA1424" s="36">
        <v>0.4536</v>
      </c>
      <c r="AB1424" s="54">
        <v>10.905299999999999</v>
      </c>
      <c r="AC1424" s="54">
        <v>0.9149571428571428</v>
      </c>
      <c r="AD1424" s="36">
        <v>101.39190000000001</v>
      </c>
    </row>
    <row r="1425" spans="1:30" s="37" customFormat="1" ht="15.75" customHeight="1" x14ac:dyDescent="0.2">
      <c r="A1425" s="26">
        <v>2464</v>
      </c>
      <c r="B1425" s="27" t="s">
        <v>655</v>
      </c>
      <c r="C1425" s="27" t="s">
        <v>38</v>
      </c>
      <c r="D1425" s="28">
        <v>0.09</v>
      </c>
      <c r="E1425" s="29">
        <v>1.74</v>
      </c>
      <c r="F1425" s="29">
        <v>4.08</v>
      </c>
      <c r="G1425" s="30" t="s">
        <v>87</v>
      </c>
      <c r="H1425" s="27" t="s">
        <v>40</v>
      </c>
      <c r="I1425" s="27" t="s">
        <v>29</v>
      </c>
      <c r="J1425" s="27" t="s">
        <v>126</v>
      </c>
      <c r="K1425" s="27" t="s">
        <v>43</v>
      </c>
      <c r="L1425" s="31" t="s">
        <v>770</v>
      </c>
      <c r="M1425" s="32">
        <v>0.53</v>
      </c>
      <c r="N1425" s="27" t="s">
        <v>33</v>
      </c>
      <c r="O1425" s="27" t="s">
        <v>34</v>
      </c>
      <c r="P1425" s="27" t="s">
        <v>168</v>
      </c>
      <c r="Q1425" s="27" t="s">
        <v>657</v>
      </c>
      <c r="R1425" s="33">
        <v>71111</v>
      </c>
      <c r="S1425" s="34">
        <v>42135</v>
      </c>
      <c r="T1425" s="34">
        <v>42137</v>
      </c>
      <c r="U1425" s="29">
        <v>608.26199999999994</v>
      </c>
      <c r="V1425" s="26">
        <v>4</v>
      </c>
      <c r="W1425" s="29">
        <v>10.41</v>
      </c>
      <c r="X1425" s="26">
        <v>88713</v>
      </c>
      <c r="Y1425" s="35">
        <v>3.78</v>
      </c>
      <c r="Z1425" s="1" t="s">
        <v>3011</v>
      </c>
      <c r="AA1425" s="36">
        <v>0.62639999999999996</v>
      </c>
      <c r="AB1425" s="54">
        <v>4.8926999999999996</v>
      </c>
      <c r="AC1425" s="54">
        <v>1.3793250000000001</v>
      </c>
      <c r="AD1425" s="36">
        <v>-602.55840000000001</v>
      </c>
    </row>
    <row r="1426" spans="1:30" s="37" customFormat="1" ht="15.75" customHeight="1" x14ac:dyDescent="0.2">
      <c r="A1426" s="26">
        <v>1671</v>
      </c>
      <c r="B1426" s="27" t="s">
        <v>1066</v>
      </c>
      <c r="C1426" s="27" t="s">
        <v>26</v>
      </c>
      <c r="D1426" s="28">
        <v>0.03</v>
      </c>
      <c r="E1426" s="29">
        <v>223.98</v>
      </c>
      <c r="F1426" s="29">
        <v>15.01</v>
      </c>
      <c r="G1426" s="30" t="s">
        <v>39</v>
      </c>
      <c r="H1426" s="27" t="s">
        <v>3095</v>
      </c>
      <c r="I1426" s="27" t="s">
        <v>49</v>
      </c>
      <c r="J1426" s="27" t="s">
        <v>72</v>
      </c>
      <c r="K1426" s="27" t="s">
        <v>73</v>
      </c>
      <c r="L1426" s="31" t="s">
        <v>2486</v>
      </c>
      <c r="M1426" s="32">
        <v>0.38</v>
      </c>
      <c r="N1426" s="27" t="s">
        <v>33</v>
      </c>
      <c r="O1426" s="27" t="s">
        <v>34</v>
      </c>
      <c r="P1426" s="27" t="s">
        <v>242</v>
      </c>
      <c r="Q1426" s="27" t="s">
        <v>1067</v>
      </c>
      <c r="R1426" s="33">
        <v>22015</v>
      </c>
      <c r="S1426" s="34">
        <v>42136</v>
      </c>
      <c r="T1426" s="34">
        <v>42137</v>
      </c>
      <c r="U1426" s="29">
        <v>0.69599999999999995</v>
      </c>
      <c r="V1426" s="26">
        <v>21</v>
      </c>
      <c r="W1426" s="29">
        <v>4881.84</v>
      </c>
      <c r="X1426" s="26">
        <v>86725</v>
      </c>
      <c r="Y1426" s="35">
        <v>223.95</v>
      </c>
      <c r="Z1426" s="1" t="s">
        <v>3011</v>
      </c>
      <c r="AA1426" s="36">
        <v>141.10739999999998</v>
      </c>
      <c r="AB1426" s="54">
        <v>3026.7408</v>
      </c>
      <c r="AC1426" s="54">
        <v>88.338057142857153</v>
      </c>
      <c r="AD1426" s="36">
        <v>4725.0266000000001</v>
      </c>
    </row>
    <row r="1427" spans="1:30" s="37" customFormat="1" ht="15.75" customHeight="1" x14ac:dyDescent="0.2">
      <c r="A1427" s="26">
        <v>14</v>
      </c>
      <c r="B1427" s="27" t="s">
        <v>2487</v>
      </c>
      <c r="C1427" s="27" t="s">
        <v>116</v>
      </c>
      <c r="D1427" s="28">
        <v>0.09</v>
      </c>
      <c r="E1427" s="29">
        <v>78.69</v>
      </c>
      <c r="F1427" s="29">
        <v>19.989999999999998</v>
      </c>
      <c r="G1427" s="30" t="s">
        <v>39</v>
      </c>
      <c r="H1427" s="27" t="s">
        <v>3095</v>
      </c>
      <c r="I1427" s="27" t="s">
        <v>29</v>
      </c>
      <c r="J1427" s="27" t="s">
        <v>126</v>
      </c>
      <c r="K1427" s="27" t="s">
        <v>73</v>
      </c>
      <c r="L1427" s="31" t="s">
        <v>1213</v>
      </c>
      <c r="M1427" s="32">
        <v>0.43</v>
      </c>
      <c r="N1427" s="27" t="s">
        <v>33</v>
      </c>
      <c r="O1427" s="27" t="s">
        <v>53</v>
      </c>
      <c r="P1427" s="27" t="s">
        <v>84</v>
      </c>
      <c r="Q1427" s="27" t="s">
        <v>85</v>
      </c>
      <c r="R1427" s="33">
        <v>55372</v>
      </c>
      <c r="S1427" s="34">
        <v>42136</v>
      </c>
      <c r="T1427" s="34">
        <v>42138</v>
      </c>
      <c r="U1427" s="29">
        <v>803.47050000000002</v>
      </c>
      <c r="V1427" s="26">
        <v>16</v>
      </c>
      <c r="W1427" s="29">
        <v>1164.45</v>
      </c>
      <c r="X1427" s="26">
        <v>86838</v>
      </c>
      <c r="Y1427" s="35">
        <v>78.599999999999994</v>
      </c>
      <c r="Z1427" s="1" t="s">
        <v>3012</v>
      </c>
      <c r="AA1427" s="36">
        <v>113.31359999999999</v>
      </c>
      <c r="AB1427" s="54">
        <v>663.73650000000009</v>
      </c>
      <c r="AC1427" s="54">
        <v>31.294593750000001</v>
      </c>
      <c r="AD1427" s="36">
        <v>227.67590000000007</v>
      </c>
    </row>
    <row r="1428" spans="1:30" s="37" customFormat="1" ht="15.75" customHeight="1" x14ac:dyDescent="0.2">
      <c r="A1428" s="26">
        <v>1267</v>
      </c>
      <c r="B1428" s="27" t="s">
        <v>1075</v>
      </c>
      <c r="C1428" s="27" t="s">
        <v>3094</v>
      </c>
      <c r="D1428" s="28">
        <v>0.04</v>
      </c>
      <c r="E1428" s="29">
        <v>5.98</v>
      </c>
      <c r="F1428" s="29">
        <v>4.38</v>
      </c>
      <c r="G1428" s="30" t="s">
        <v>39</v>
      </c>
      <c r="H1428" s="27" t="s">
        <v>94</v>
      </c>
      <c r="I1428" s="27" t="s">
        <v>41</v>
      </c>
      <c r="J1428" s="27" t="s">
        <v>42</v>
      </c>
      <c r="K1428" s="27" t="s">
        <v>43</v>
      </c>
      <c r="L1428" s="31" t="s">
        <v>2491</v>
      </c>
      <c r="M1428" s="32">
        <v>0.75</v>
      </c>
      <c r="N1428" s="27" t="s">
        <v>33</v>
      </c>
      <c r="O1428" s="27" t="s">
        <v>34</v>
      </c>
      <c r="P1428" s="27" t="s">
        <v>123</v>
      </c>
      <c r="Q1428" s="27" t="s">
        <v>1077</v>
      </c>
      <c r="R1428" s="33">
        <v>33433</v>
      </c>
      <c r="S1428" s="34">
        <v>42136</v>
      </c>
      <c r="T1428" s="34">
        <v>42138</v>
      </c>
      <c r="U1428" s="29">
        <v>-1522.3040000000001</v>
      </c>
      <c r="V1428" s="26">
        <v>11</v>
      </c>
      <c r="W1428" s="29">
        <v>69.75</v>
      </c>
      <c r="X1428" s="26">
        <v>89515</v>
      </c>
      <c r="Y1428" s="35">
        <v>3.1999999999999997</v>
      </c>
      <c r="Z1428" s="1" t="s">
        <v>3011</v>
      </c>
      <c r="AA1428" s="36">
        <v>2.6312000000000002</v>
      </c>
      <c r="AB1428" s="54">
        <v>17.4375</v>
      </c>
      <c r="AC1428" s="54">
        <v>4.7556818181818183</v>
      </c>
      <c r="AD1428" s="36">
        <v>1585.0427999999999</v>
      </c>
    </row>
    <row r="1429" spans="1:30" s="37" customFormat="1" ht="15.75" customHeight="1" x14ac:dyDescent="0.2">
      <c r="A1429" s="26">
        <v>14</v>
      </c>
      <c r="B1429" s="27" t="s">
        <v>2487</v>
      </c>
      <c r="C1429" s="27" t="s">
        <v>116</v>
      </c>
      <c r="D1429" s="28">
        <v>0.08</v>
      </c>
      <c r="E1429" s="29">
        <v>3.28</v>
      </c>
      <c r="F1429" s="29">
        <v>2.31</v>
      </c>
      <c r="G1429" s="30" t="s">
        <v>39</v>
      </c>
      <c r="H1429" s="27" t="s">
        <v>3095</v>
      </c>
      <c r="I1429" s="27" t="s">
        <v>49</v>
      </c>
      <c r="J1429" s="27" t="s">
        <v>50</v>
      </c>
      <c r="K1429" s="27" t="s">
        <v>51</v>
      </c>
      <c r="L1429" s="31" t="s">
        <v>2488</v>
      </c>
      <c r="M1429" s="32">
        <v>0.56000000000000005</v>
      </c>
      <c r="N1429" s="27" t="s">
        <v>33</v>
      </c>
      <c r="O1429" s="27" t="s">
        <v>53</v>
      </c>
      <c r="P1429" s="27" t="s">
        <v>84</v>
      </c>
      <c r="Q1429" s="27" t="s">
        <v>85</v>
      </c>
      <c r="R1429" s="33">
        <v>55372</v>
      </c>
      <c r="S1429" s="34">
        <v>42136</v>
      </c>
      <c r="T1429" s="34">
        <v>42137</v>
      </c>
      <c r="U1429" s="29">
        <v>-24.03</v>
      </c>
      <c r="V1429" s="26">
        <v>7</v>
      </c>
      <c r="W1429" s="29">
        <v>22.23</v>
      </c>
      <c r="X1429" s="26">
        <v>86838</v>
      </c>
      <c r="Y1429" s="35">
        <v>3.23</v>
      </c>
      <c r="Z1429" s="1" t="s">
        <v>3012</v>
      </c>
      <c r="AA1429" s="36">
        <v>1.8367999999999998</v>
      </c>
      <c r="AB1429" s="54">
        <v>9.7811999999999983</v>
      </c>
      <c r="AC1429" s="54">
        <v>1.7784000000000002</v>
      </c>
      <c r="AD1429" s="36">
        <v>42.113200000000006</v>
      </c>
    </row>
    <row r="1430" spans="1:30" s="37" customFormat="1" ht="15.75" customHeight="1" x14ac:dyDescent="0.2">
      <c r="A1430" s="26">
        <v>14</v>
      </c>
      <c r="B1430" s="27" t="s">
        <v>2487</v>
      </c>
      <c r="C1430" s="27" t="s">
        <v>116</v>
      </c>
      <c r="D1430" s="28">
        <v>0.05</v>
      </c>
      <c r="E1430" s="29">
        <v>3.58</v>
      </c>
      <c r="F1430" s="29">
        <v>1.63</v>
      </c>
      <c r="G1430" s="30" t="s">
        <v>39</v>
      </c>
      <c r="H1430" s="27" t="s">
        <v>3095</v>
      </c>
      <c r="I1430" s="27" t="s">
        <v>49</v>
      </c>
      <c r="J1430" s="27" t="s">
        <v>176</v>
      </c>
      <c r="K1430" s="27" t="s">
        <v>51</v>
      </c>
      <c r="L1430" s="31" t="s">
        <v>2221</v>
      </c>
      <c r="M1430" s="32">
        <v>0.36</v>
      </c>
      <c r="N1430" s="27" t="s">
        <v>33</v>
      </c>
      <c r="O1430" s="27" t="s">
        <v>53</v>
      </c>
      <c r="P1430" s="27" t="s">
        <v>84</v>
      </c>
      <c r="Q1430" s="27" t="s">
        <v>85</v>
      </c>
      <c r="R1430" s="33">
        <v>55372</v>
      </c>
      <c r="S1430" s="34">
        <v>42136</v>
      </c>
      <c r="T1430" s="34">
        <v>42137</v>
      </c>
      <c r="U1430" s="29">
        <v>-0.71</v>
      </c>
      <c r="V1430" s="26">
        <v>4</v>
      </c>
      <c r="W1430" s="29">
        <v>14.26</v>
      </c>
      <c r="X1430" s="26">
        <v>86838</v>
      </c>
      <c r="Y1430" s="35">
        <v>3.5300000000000002</v>
      </c>
      <c r="Z1430" s="1" t="s">
        <v>3012</v>
      </c>
      <c r="AA1430" s="36">
        <v>0.71600000000000008</v>
      </c>
      <c r="AB1430" s="54">
        <v>9.1264000000000003</v>
      </c>
      <c r="AC1430" s="54">
        <v>1.2833999999999999</v>
      </c>
      <c r="AD1430" s="36">
        <v>12.623999999999999</v>
      </c>
    </row>
    <row r="1431" spans="1:30" s="37" customFormat="1" ht="15.75" customHeight="1" x14ac:dyDescent="0.2">
      <c r="A1431" s="26">
        <v>14</v>
      </c>
      <c r="B1431" s="27" t="s">
        <v>2487</v>
      </c>
      <c r="C1431" s="27" t="s">
        <v>116</v>
      </c>
      <c r="D1431" s="28">
        <v>0.05</v>
      </c>
      <c r="E1431" s="29">
        <v>3.28</v>
      </c>
      <c r="F1431" s="29">
        <v>4.2</v>
      </c>
      <c r="G1431" s="30" t="s">
        <v>39</v>
      </c>
      <c r="H1431" s="27" t="s">
        <v>3095</v>
      </c>
      <c r="I1431" s="27" t="s">
        <v>49</v>
      </c>
      <c r="J1431" s="27" t="s">
        <v>50</v>
      </c>
      <c r="K1431" s="27" t="s">
        <v>51</v>
      </c>
      <c r="L1431" s="31" t="s">
        <v>2489</v>
      </c>
      <c r="M1431" s="32">
        <v>0.56000000000000005</v>
      </c>
      <c r="N1431" s="27" t="s">
        <v>33</v>
      </c>
      <c r="O1431" s="27" t="s">
        <v>53</v>
      </c>
      <c r="P1431" s="27" t="s">
        <v>84</v>
      </c>
      <c r="Q1431" s="27" t="s">
        <v>85</v>
      </c>
      <c r="R1431" s="33">
        <v>55372</v>
      </c>
      <c r="S1431" s="34">
        <v>42136</v>
      </c>
      <c r="T1431" s="34">
        <v>42137</v>
      </c>
      <c r="U1431" s="29">
        <v>-37.03</v>
      </c>
      <c r="V1431" s="26">
        <v>4</v>
      </c>
      <c r="W1431" s="29">
        <v>13.99</v>
      </c>
      <c r="X1431" s="26">
        <v>86838</v>
      </c>
      <c r="Y1431" s="35">
        <v>9.27</v>
      </c>
      <c r="Z1431" s="1" t="s">
        <v>3012</v>
      </c>
      <c r="AA1431" s="36">
        <v>0.65600000000000003</v>
      </c>
      <c r="AB1431" s="54">
        <v>6.1555999999999997</v>
      </c>
      <c r="AC1431" s="54">
        <v>1.9586000000000001</v>
      </c>
      <c r="AD1431" s="36">
        <v>46.164000000000001</v>
      </c>
    </row>
    <row r="1432" spans="1:30" s="37" customFormat="1" ht="15.75" customHeight="1" x14ac:dyDescent="0.2">
      <c r="A1432" s="26">
        <v>1826</v>
      </c>
      <c r="B1432" s="27" t="s">
        <v>2204</v>
      </c>
      <c r="C1432" s="27" t="s">
        <v>116</v>
      </c>
      <c r="D1432" s="28">
        <v>0</v>
      </c>
      <c r="E1432" s="29">
        <v>9.27</v>
      </c>
      <c r="F1432" s="29">
        <v>4.3899999999999997</v>
      </c>
      <c r="G1432" s="30" t="s">
        <v>39</v>
      </c>
      <c r="H1432" s="27" t="s">
        <v>94</v>
      </c>
      <c r="I1432" s="27" t="s">
        <v>49</v>
      </c>
      <c r="J1432" s="27" t="s">
        <v>88</v>
      </c>
      <c r="K1432" s="27" t="s">
        <v>51</v>
      </c>
      <c r="L1432" s="31" t="s">
        <v>2490</v>
      </c>
      <c r="M1432" s="32">
        <v>0.38</v>
      </c>
      <c r="N1432" s="27" t="s">
        <v>33</v>
      </c>
      <c r="O1432" s="27" t="s">
        <v>53</v>
      </c>
      <c r="P1432" s="27" t="s">
        <v>213</v>
      </c>
      <c r="Q1432" s="27" t="s">
        <v>2206</v>
      </c>
      <c r="R1432" s="33">
        <v>52722</v>
      </c>
      <c r="S1432" s="34">
        <v>42136</v>
      </c>
      <c r="T1432" s="34">
        <v>42138</v>
      </c>
      <c r="U1432" s="29">
        <v>-7.61</v>
      </c>
      <c r="V1432" s="26">
        <v>1</v>
      </c>
      <c r="W1432" s="29">
        <v>10.65</v>
      </c>
      <c r="X1432" s="26">
        <v>86959</v>
      </c>
      <c r="Y1432" s="35">
        <v>5.94</v>
      </c>
      <c r="Z1432" s="1" t="s">
        <v>3012</v>
      </c>
      <c r="AA1432" s="36">
        <v>0</v>
      </c>
      <c r="AB1432" s="54">
        <v>6.6029999999999998</v>
      </c>
      <c r="AC1432" s="54">
        <v>4.0470000000000006</v>
      </c>
      <c r="AD1432" s="36">
        <v>13.870000000000001</v>
      </c>
    </row>
    <row r="1433" spans="1:30" s="37" customFormat="1" ht="15.75" customHeight="1" x14ac:dyDescent="0.2">
      <c r="A1433" s="26">
        <v>3257</v>
      </c>
      <c r="B1433" s="27" t="s">
        <v>2498</v>
      </c>
      <c r="C1433" s="27" t="s">
        <v>116</v>
      </c>
      <c r="D1433" s="28">
        <v>0</v>
      </c>
      <c r="E1433" s="29">
        <v>25.38</v>
      </c>
      <c r="F1433" s="29">
        <v>8.99</v>
      </c>
      <c r="G1433" s="30" t="s">
        <v>39</v>
      </c>
      <c r="H1433" s="27" t="s">
        <v>40</v>
      </c>
      <c r="I1433" s="27" t="s">
        <v>29</v>
      </c>
      <c r="J1433" s="27" t="s">
        <v>126</v>
      </c>
      <c r="K1433" s="27" t="s">
        <v>43</v>
      </c>
      <c r="L1433" s="31" t="s">
        <v>2385</v>
      </c>
      <c r="M1433" s="32">
        <v>0.5</v>
      </c>
      <c r="N1433" s="27" t="s">
        <v>33</v>
      </c>
      <c r="O1433" s="27" t="s">
        <v>60</v>
      </c>
      <c r="P1433" s="27" t="s">
        <v>67</v>
      </c>
      <c r="Q1433" s="27" t="s">
        <v>2499</v>
      </c>
      <c r="R1433" s="33">
        <v>98632</v>
      </c>
      <c r="S1433" s="34">
        <v>42137</v>
      </c>
      <c r="T1433" s="34">
        <v>42139</v>
      </c>
      <c r="U1433" s="29">
        <v>470.33800000000002</v>
      </c>
      <c r="V1433" s="26">
        <v>26</v>
      </c>
      <c r="W1433" s="29">
        <v>700.41</v>
      </c>
      <c r="X1433" s="26">
        <v>88826</v>
      </c>
      <c r="Y1433" s="35">
        <v>2.54</v>
      </c>
      <c r="Z1433" s="1" t="s">
        <v>3013</v>
      </c>
      <c r="AA1433" s="36">
        <v>0</v>
      </c>
      <c r="AB1433" s="54">
        <v>350.20499999999998</v>
      </c>
      <c r="AC1433" s="54">
        <v>13.469423076923077</v>
      </c>
      <c r="AD1433" s="36">
        <v>221.08199999999994</v>
      </c>
    </row>
    <row r="1434" spans="1:30" s="37" customFormat="1" ht="15.75" customHeight="1" x14ac:dyDescent="0.2">
      <c r="A1434" s="26">
        <v>580</v>
      </c>
      <c r="B1434" s="27" t="s">
        <v>2496</v>
      </c>
      <c r="C1434" s="27" t="s">
        <v>116</v>
      </c>
      <c r="D1434" s="28">
        <v>0.01</v>
      </c>
      <c r="E1434" s="29">
        <v>55.99</v>
      </c>
      <c r="F1434" s="29">
        <v>5</v>
      </c>
      <c r="G1434" s="30" t="s">
        <v>39</v>
      </c>
      <c r="H1434" s="27" t="s">
        <v>94</v>
      </c>
      <c r="I1434" s="27" t="s">
        <v>41</v>
      </c>
      <c r="J1434" s="27" t="s">
        <v>135</v>
      </c>
      <c r="K1434" s="27" t="s">
        <v>43</v>
      </c>
      <c r="L1434" s="31" t="s">
        <v>1931</v>
      </c>
      <c r="M1434" s="32">
        <v>0.8</v>
      </c>
      <c r="N1434" s="27" t="s">
        <v>33</v>
      </c>
      <c r="O1434" s="27" t="s">
        <v>111</v>
      </c>
      <c r="P1434" s="27" t="s">
        <v>331</v>
      </c>
      <c r="Q1434" s="27" t="s">
        <v>1204</v>
      </c>
      <c r="R1434" s="33">
        <v>4210</v>
      </c>
      <c r="S1434" s="34">
        <v>42137</v>
      </c>
      <c r="T1434" s="34">
        <v>42138</v>
      </c>
      <c r="U1434" s="29">
        <v>-57.540999999999997</v>
      </c>
      <c r="V1434" s="26">
        <v>12</v>
      </c>
      <c r="W1434" s="29">
        <v>578.24</v>
      </c>
      <c r="X1434" s="26">
        <v>88644</v>
      </c>
      <c r="Y1434" s="35">
        <v>162.9</v>
      </c>
      <c r="Z1434" s="1" t="s">
        <v>3014</v>
      </c>
      <c r="AA1434" s="36">
        <v>6.7188000000000008</v>
      </c>
      <c r="AB1434" s="54">
        <v>115.64799999999998</v>
      </c>
      <c r="AC1434" s="54">
        <v>38.549333333333337</v>
      </c>
      <c r="AD1434" s="36">
        <v>624.06219999999996</v>
      </c>
    </row>
    <row r="1435" spans="1:30" s="37" customFormat="1" ht="15.75" customHeight="1" x14ac:dyDescent="0.2">
      <c r="A1435" s="26">
        <v>578</v>
      </c>
      <c r="B1435" s="27" t="s">
        <v>2492</v>
      </c>
      <c r="C1435" s="27" t="s">
        <v>116</v>
      </c>
      <c r="D1435" s="28">
        <v>0.03</v>
      </c>
      <c r="E1435" s="29">
        <v>162.93</v>
      </c>
      <c r="F1435" s="29">
        <v>19.989999999999998</v>
      </c>
      <c r="G1435" s="30" t="s">
        <v>39</v>
      </c>
      <c r="H1435" s="27" t="s">
        <v>94</v>
      </c>
      <c r="I1435" s="27" t="s">
        <v>49</v>
      </c>
      <c r="J1435" s="27" t="s">
        <v>345</v>
      </c>
      <c r="K1435" s="27" t="s">
        <v>73</v>
      </c>
      <c r="L1435" s="31" t="s">
        <v>2493</v>
      </c>
      <c r="M1435" s="32">
        <v>0.39</v>
      </c>
      <c r="N1435" s="27" t="s">
        <v>33</v>
      </c>
      <c r="O1435" s="27" t="s">
        <v>111</v>
      </c>
      <c r="P1435" s="27" t="s">
        <v>248</v>
      </c>
      <c r="Q1435" s="27" t="s">
        <v>2494</v>
      </c>
      <c r="R1435" s="33">
        <v>6770</v>
      </c>
      <c r="S1435" s="34">
        <v>42137</v>
      </c>
      <c r="T1435" s="34">
        <v>42138</v>
      </c>
      <c r="U1435" s="29">
        <v>293.14</v>
      </c>
      <c r="V1435" s="26">
        <v>3</v>
      </c>
      <c r="W1435" s="29">
        <v>515.88</v>
      </c>
      <c r="X1435" s="26">
        <v>88644</v>
      </c>
      <c r="Y1435" s="35">
        <v>11.57</v>
      </c>
      <c r="Z1435" s="1" t="s">
        <v>3014</v>
      </c>
      <c r="AA1435" s="36">
        <v>14.6637</v>
      </c>
      <c r="AB1435" s="54">
        <v>314.68680000000001</v>
      </c>
      <c r="AC1435" s="54">
        <v>67.064400000000006</v>
      </c>
      <c r="AD1435" s="36">
        <v>188.08629999999999</v>
      </c>
    </row>
    <row r="1436" spans="1:30" s="37" customFormat="1" ht="15.75" customHeight="1" x14ac:dyDescent="0.2">
      <c r="A1436" s="26">
        <v>1085</v>
      </c>
      <c r="B1436" s="27" t="s">
        <v>231</v>
      </c>
      <c r="C1436" s="27" t="s">
        <v>3094</v>
      </c>
      <c r="D1436" s="28">
        <v>0.06</v>
      </c>
      <c r="E1436" s="29">
        <v>30.42</v>
      </c>
      <c r="F1436" s="29">
        <v>8.65</v>
      </c>
      <c r="G1436" s="30" t="s">
        <v>39</v>
      </c>
      <c r="H1436" s="27" t="s">
        <v>94</v>
      </c>
      <c r="I1436" s="27" t="s">
        <v>41</v>
      </c>
      <c r="J1436" s="27" t="s">
        <v>42</v>
      </c>
      <c r="K1436" s="27" t="s">
        <v>73</v>
      </c>
      <c r="L1436" s="31" t="s">
        <v>384</v>
      </c>
      <c r="M1436" s="32">
        <v>0.74</v>
      </c>
      <c r="N1436" s="27" t="s">
        <v>33</v>
      </c>
      <c r="O1436" s="27" t="s">
        <v>111</v>
      </c>
      <c r="P1436" s="27" t="s">
        <v>112</v>
      </c>
      <c r="Q1436" s="27" t="s">
        <v>233</v>
      </c>
      <c r="R1436" s="33">
        <v>11729</v>
      </c>
      <c r="S1436" s="34">
        <v>42137</v>
      </c>
      <c r="T1436" s="34">
        <v>42139</v>
      </c>
      <c r="U1436" s="29">
        <v>-159.25</v>
      </c>
      <c r="V1436" s="26">
        <v>10</v>
      </c>
      <c r="W1436" s="29">
        <v>309.05</v>
      </c>
      <c r="X1436" s="26">
        <v>86124</v>
      </c>
      <c r="Y1436" s="35">
        <v>55.980000000000004</v>
      </c>
      <c r="Z1436" s="1" t="s">
        <v>3014</v>
      </c>
      <c r="AA1436" s="36">
        <v>18.251999999999999</v>
      </c>
      <c r="AB1436" s="54">
        <v>80.353000000000009</v>
      </c>
      <c r="AC1436" s="54">
        <v>22.869700000000002</v>
      </c>
      <c r="AD1436" s="36">
        <v>441.39800000000002</v>
      </c>
    </row>
    <row r="1437" spans="1:30" s="37" customFormat="1" ht="15.75" customHeight="1" x14ac:dyDescent="0.2">
      <c r="A1437" s="26">
        <v>1085</v>
      </c>
      <c r="B1437" s="27" t="s">
        <v>231</v>
      </c>
      <c r="C1437" s="27" t="s">
        <v>3094</v>
      </c>
      <c r="D1437" s="28">
        <v>0.02</v>
      </c>
      <c r="E1437" s="29">
        <v>37.94</v>
      </c>
      <c r="F1437" s="29">
        <v>5.08</v>
      </c>
      <c r="G1437" s="30" t="s">
        <v>39</v>
      </c>
      <c r="H1437" s="27" t="s">
        <v>94</v>
      </c>
      <c r="I1437" s="27" t="s">
        <v>49</v>
      </c>
      <c r="J1437" s="27" t="s">
        <v>88</v>
      </c>
      <c r="K1437" s="27" t="s">
        <v>51</v>
      </c>
      <c r="L1437" s="31" t="s">
        <v>1113</v>
      </c>
      <c r="M1437" s="32">
        <v>0.38</v>
      </c>
      <c r="N1437" s="27" t="s">
        <v>33</v>
      </c>
      <c r="O1437" s="27" t="s">
        <v>111</v>
      </c>
      <c r="P1437" s="27" t="s">
        <v>112</v>
      </c>
      <c r="Q1437" s="27" t="s">
        <v>233</v>
      </c>
      <c r="R1437" s="33">
        <v>11729</v>
      </c>
      <c r="S1437" s="34">
        <v>42137</v>
      </c>
      <c r="T1437" s="34">
        <v>42138</v>
      </c>
      <c r="U1437" s="29">
        <v>206.517</v>
      </c>
      <c r="V1437" s="26">
        <v>8</v>
      </c>
      <c r="W1437" s="29">
        <v>299.3</v>
      </c>
      <c r="X1437" s="26">
        <v>86124</v>
      </c>
      <c r="Y1437" s="35">
        <v>13.84</v>
      </c>
      <c r="Z1437" s="1" t="s">
        <v>3014</v>
      </c>
      <c r="AA1437" s="36">
        <v>6.0703999999999994</v>
      </c>
      <c r="AB1437" s="54">
        <v>185.566</v>
      </c>
      <c r="AC1437" s="54">
        <v>14.216750000000001</v>
      </c>
      <c r="AD1437" s="36">
        <v>81.632599999999996</v>
      </c>
    </row>
    <row r="1438" spans="1:30" s="37" customFormat="1" ht="15.75" customHeight="1" x14ac:dyDescent="0.2">
      <c r="A1438" s="26">
        <v>585</v>
      </c>
      <c r="B1438" s="27" t="s">
        <v>2497</v>
      </c>
      <c r="C1438" s="27" t="s">
        <v>116</v>
      </c>
      <c r="D1438" s="28">
        <v>0.06</v>
      </c>
      <c r="E1438" s="29">
        <v>13.9</v>
      </c>
      <c r="F1438" s="29">
        <v>7.59</v>
      </c>
      <c r="G1438" s="30" t="s">
        <v>39</v>
      </c>
      <c r="H1438" s="27" t="s">
        <v>94</v>
      </c>
      <c r="I1438" s="27" t="s">
        <v>49</v>
      </c>
      <c r="J1438" s="27" t="s">
        <v>568</v>
      </c>
      <c r="K1438" s="27" t="s">
        <v>43</v>
      </c>
      <c r="L1438" s="31" t="s">
        <v>2464</v>
      </c>
      <c r="M1438" s="32">
        <v>0.56000000000000005</v>
      </c>
      <c r="N1438" s="27" t="s">
        <v>33</v>
      </c>
      <c r="O1438" s="27" t="s">
        <v>111</v>
      </c>
      <c r="P1438" s="27" t="s">
        <v>1356</v>
      </c>
      <c r="Q1438" s="27" t="s">
        <v>453</v>
      </c>
      <c r="R1438" s="33">
        <v>3301</v>
      </c>
      <c r="S1438" s="34">
        <v>42137</v>
      </c>
      <c r="T1438" s="34">
        <v>42138</v>
      </c>
      <c r="U1438" s="29">
        <v>-67.59</v>
      </c>
      <c r="V1438" s="26">
        <v>12</v>
      </c>
      <c r="W1438" s="29">
        <v>170.45</v>
      </c>
      <c r="X1438" s="26">
        <v>88644</v>
      </c>
      <c r="Y1438" s="35">
        <v>25.38</v>
      </c>
      <c r="Z1438" s="1" t="s">
        <v>3014</v>
      </c>
      <c r="AA1438" s="36">
        <v>10.007999999999999</v>
      </c>
      <c r="AB1438" s="54">
        <v>74.99799999999999</v>
      </c>
      <c r="AC1438" s="54">
        <v>7.9543333333333335</v>
      </c>
      <c r="AD1438" s="36">
        <v>220.44200000000001</v>
      </c>
    </row>
    <row r="1439" spans="1:30" s="37" customFormat="1" ht="15.75" customHeight="1" x14ac:dyDescent="0.2">
      <c r="A1439" s="26">
        <v>1389</v>
      </c>
      <c r="B1439" s="27" t="s">
        <v>769</v>
      </c>
      <c r="C1439" s="27" t="s">
        <v>38</v>
      </c>
      <c r="D1439" s="28">
        <v>0.08</v>
      </c>
      <c r="E1439" s="29">
        <v>2.62</v>
      </c>
      <c r="F1439" s="29">
        <v>0.8</v>
      </c>
      <c r="G1439" s="30" t="s">
        <v>87</v>
      </c>
      <c r="H1439" s="27" t="s">
        <v>3095</v>
      </c>
      <c r="I1439" s="27" t="s">
        <v>49</v>
      </c>
      <c r="J1439" s="27" t="s">
        <v>176</v>
      </c>
      <c r="K1439" s="27" t="s">
        <v>51</v>
      </c>
      <c r="L1439" s="31" t="s">
        <v>2124</v>
      </c>
      <c r="M1439" s="32">
        <v>0.39</v>
      </c>
      <c r="N1439" s="27" t="s">
        <v>33</v>
      </c>
      <c r="O1439" s="27" t="s">
        <v>60</v>
      </c>
      <c r="P1439" s="27" t="s">
        <v>90</v>
      </c>
      <c r="Q1439" s="27" t="s">
        <v>771</v>
      </c>
      <c r="R1439" s="33">
        <v>94025</v>
      </c>
      <c r="S1439" s="34">
        <v>42137</v>
      </c>
      <c r="T1439" s="34">
        <v>42139</v>
      </c>
      <c r="U1439" s="29">
        <v>21.769500000000001</v>
      </c>
      <c r="V1439" s="26">
        <v>12</v>
      </c>
      <c r="W1439" s="29">
        <v>31.55</v>
      </c>
      <c r="X1439" s="26">
        <v>88728</v>
      </c>
      <c r="Y1439" s="35">
        <v>30.360000000000003</v>
      </c>
      <c r="Z1439" s="1" t="s">
        <v>3013</v>
      </c>
      <c r="AA1439" s="36">
        <v>2.5152000000000001</v>
      </c>
      <c r="AB1439" s="54">
        <v>19.2455</v>
      </c>
      <c r="AC1439" s="54">
        <v>1.0253750000000001</v>
      </c>
      <c r="AD1439" s="36">
        <v>6.4652999999999992</v>
      </c>
    </row>
    <row r="1440" spans="1:30" s="37" customFormat="1" ht="15.75" customHeight="1" x14ac:dyDescent="0.2">
      <c r="A1440" s="26">
        <v>579</v>
      </c>
      <c r="B1440" s="27" t="s">
        <v>2495</v>
      </c>
      <c r="C1440" s="27" t="s">
        <v>116</v>
      </c>
      <c r="D1440" s="28">
        <v>0.01</v>
      </c>
      <c r="E1440" s="29">
        <v>11.58</v>
      </c>
      <c r="F1440" s="29">
        <v>5.72</v>
      </c>
      <c r="G1440" s="30" t="s">
        <v>39</v>
      </c>
      <c r="H1440" s="27" t="s">
        <v>94</v>
      </c>
      <c r="I1440" s="27" t="s">
        <v>49</v>
      </c>
      <c r="J1440" s="27" t="s">
        <v>345</v>
      </c>
      <c r="K1440" s="27" t="s">
        <v>73</v>
      </c>
      <c r="L1440" s="31" t="s">
        <v>624</v>
      </c>
      <c r="M1440" s="32">
        <v>0.35</v>
      </c>
      <c r="N1440" s="27" t="s">
        <v>33</v>
      </c>
      <c r="O1440" s="27" t="s">
        <v>111</v>
      </c>
      <c r="P1440" s="27" t="s">
        <v>248</v>
      </c>
      <c r="Q1440" s="27" t="s">
        <v>1748</v>
      </c>
      <c r="R1440" s="33">
        <v>6478</v>
      </c>
      <c r="S1440" s="34">
        <v>42137</v>
      </c>
      <c r="T1440" s="34">
        <v>42139</v>
      </c>
      <c r="U1440" s="29">
        <v>-6.61</v>
      </c>
      <c r="V1440" s="26">
        <v>2</v>
      </c>
      <c r="W1440" s="29">
        <v>25.06</v>
      </c>
      <c r="X1440" s="26">
        <v>88644</v>
      </c>
      <c r="Y1440" s="35">
        <v>37.919999999999995</v>
      </c>
      <c r="Z1440" s="1" t="s">
        <v>3014</v>
      </c>
      <c r="AA1440" s="36">
        <v>0.2316</v>
      </c>
      <c r="AB1440" s="54">
        <v>16.289000000000001</v>
      </c>
      <c r="AC1440" s="54">
        <v>4.3854999999999995</v>
      </c>
      <c r="AD1440" s="36">
        <v>25.718399999999999</v>
      </c>
    </row>
    <row r="1441" spans="1:30" s="37" customFormat="1" ht="15.75" customHeight="1" x14ac:dyDescent="0.2">
      <c r="A1441" s="26">
        <v>497</v>
      </c>
      <c r="B1441" s="27" t="s">
        <v>2500</v>
      </c>
      <c r="C1441" s="27" t="s">
        <v>26</v>
      </c>
      <c r="D1441" s="28">
        <v>7.0000000000000007E-2</v>
      </c>
      <c r="E1441" s="29">
        <v>152.47999999999999</v>
      </c>
      <c r="F1441" s="29">
        <v>6.5</v>
      </c>
      <c r="G1441" s="30" t="s">
        <v>39</v>
      </c>
      <c r="H1441" s="27" t="s">
        <v>3095</v>
      </c>
      <c r="I1441" s="27" t="s">
        <v>41</v>
      </c>
      <c r="J1441" s="27" t="s">
        <v>42</v>
      </c>
      <c r="K1441" s="27" t="s">
        <v>73</v>
      </c>
      <c r="L1441" s="31" t="s">
        <v>1793</v>
      </c>
      <c r="M1441" s="32">
        <v>0.74</v>
      </c>
      <c r="N1441" s="27" t="s">
        <v>33</v>
      </c>
      <c r="O1441" s="27" t="s">
        <v>34</v>
      </c>
      <c r="P1441" s="27" t="s">
        <v>400</v>
      </c>
      <c r="Q1441" s="27" t="s">
        <v>552</v>
      </c>
      <c r="R1441" s="33">
        <v>37130</v>
      </c>
      <c r="S1441" s="34">
        <v>42138</v>
      </c>
      <c r="T1441" s="34">
        <v>42140</v>
      </c>
      <c r="U1441" s="29">
        <v>171.83879999999999</v>
      </c>
      <c r="V1441" s="26">
        <v>35</v>
      </c>
      <c r="W1441" s="29">
        <v>5062.49</v>
      </c>
      <c r="X1441" s="26">
        <v>90706</v>
      </c>
      <c r="Y1441" s="35">
        <v>95.97999999999999</v>
      </c>
      <c r="Z1441" s="1" t="s">
        <v>3011</v>
      </c>
      <c r="AA1441" s="36">
        <v>373.57600000000002</v>
      </c>
      <c r="AB1441" s="54">
        <v>1316.2474</v>
      </c>
      <c r="AC1441" s="54">
        <v>107.03550285714284</v>
      </c>
      <c r="AD1441" s="36">
        <v>4510.5751999999993</v>
      </c>
    </row>
    <row r="1442" spans="1:30" s="37" customFormat="1" ht="15.75" customHeight="1" x14ac:dyDescent="0.2">
      <c r="A1442" s="26">
        <v>156</v>
      </c>
      <c r="B1442" s="27" t="s">
        <v>772</v>
      </c>
      <c r="C1442" s="27" t="s">
        <v>26</v>
      </c>
      <c r="D1442" s="28">
        <v>0.01</v>
      </c>
      <c r="E1442" s="29">
        <v>95.99</v>
      </c>
      <c r="F1442" s="29">
        <v>4.9000000000000004</v>
      </c>
      <c r="G1442" s="30" t="s">
        <v>39</v>
      </c>
      <c r="H1442" s="27" t="s">
        <v>94</v>
      </c>
      <c r="I1442" s="27" t="s">
        <v>41</v>
      </c>
      <c r="J1442" s="27" t="s">
        <v>135</v>
      </c>
      <c r="K1442" s="27" t="s">
        <v>73</v>
      </c>
      <c r="L1442" s="31" t="s">
        <v>768</v>
      </c>
      <c r="M1442" s="32">
        <v>0.56000000000000005</v>
      </c>
      <c r="N1442" s="27" t="s">
        <v>33</v>
      </c>
      <c r="O1442" s="27" t="s">
        <v>60</v>
      </c>
      <c r="P1442" s="27" t="s">
        <v>61</v>
      </c>
      <c r="Q1442" s="27" t="s">
        <v>62</v>
      </c>
      <c r="R1442" s="33">
        <v>80525</v>
      </c>
      <c r="S1442" s="34">
        <v>42138</v>
      </c>
      <c r="T1442" s="34">
        <v>42139</v>
      </c>
      <c r="U1442" s="29">
        <v>713.88</v>
      </c>
      <c r="V1442" s="26">
        <v>13</v>
      </c>
      <c r="W1442" s="29">
        <v>1050.08</v>
      </c>
      <c r="X1442" s="26">
        <v>87671</v>
      </c>
      <c r="Y1442" s="35">
        <v>152.41</v>
      </c>
      <c r="Z1442" s="1" t="s">
        <v>3013</v>
      </c>
      <c r="AA1442" s="36">
        <v>12.4787</v>
      </c>
      <c r="AB1442" s="54">
        <v>462.03519999999992</v>
      </c>
      <c r="AC1442" s="54">
        <v>45.234215384615389</v>
      </c>
      <c r="AD1442" s="36">
        <v>318.82129999999995</v>
      </c>
    </row>
    <row r="1443" spans="1:30" s="37" customFormat="1" ht="15.75" customHeight="1" x14ac:dyDescent="0.2">
      <c r="A1443" s="26">
        <v>1069</v>
      </c>
      <c r="B1443" s="27" t="s">
        <v>2511</v>
      </c>
      <c r="C1443" s="27" t="s">
        <v>116</v>
      </c>
      <c r="D1443" s="28">
        <v>0.02</v>
      </c>
      <c r="E1443" s="29">
        <v>15.94</v>
      </c>
      <c r="F1443" s="29">
        <v>5.45</v>
      </c>
      <c r="G1443" s="30" t="s">
        <v>39</v>
      </c>
      <c r="H1443" s="27" t="s">
        <v>71</v>
      </c>
      <c r="I1443" s="27" t="s">
        <v>49</v>
      </c>
      <c r="J1443" s="27" t="s">
        <v>50</v>
      </c>
      <c r="K1443" s="27" t="s">
        <v>43</v>
      </c>
      <c r="L1443" s="31" t="s">
        <v>2512</v>
      </c>
      <c r="M1443" s="32">
        <v>0.55000000000000004</v>
      </c>
      <c r="N1443" s="27" t="s">
        <v>33</v>
      </c>
      <c r="O1443" s="27" t="s">
        <v>53</v>
      </c>
      <c r="P1443" s="27" t="s">
        <v>103</v>
      </c>
      <c r="Q1443" s="27" t="s">
        <v>2513</v>
      </c>
      <c r="R1443" s="33">
        <v>62901</v>
      </c>
      <c r="S1443" s="34">
        <v>42138</v>
      </c>
      <c r="T1443" s="34">
        <v>42139</v>
      </c>
      <c r="U1443" s="29">
        <v>139.61199999999999</v>
      </c>
      <c r="V1443" s="26">
        <v>41</v>
      </c>
      <c r="W1443" s="29">
        <v>664.34</v>
      </c>
      <c r="X1443" s="26">
        <v>87110</v>
      </c>
      <c r="Y1443" s="35">
        <v>5.28</v>
      </c>
      <c r="Z1443" s="1" t="s">
        <v>3012</v>
      </c>
      <c r="AA1443" s="36">
        <v>13.070799999999998</v>
      </c>
      <c r="AB1443" s="54">
        <v>298.95299999999997</v>
      </c>
      <c r="AC1443" s="54">
        <v>8.9118780487804887</v>
      </c>
      <c r="AD1443" s="36">
        <v>506.20720000000006</v>
      </c>
    </row>
    <row r="1444" spans="1:30" s="37" customFormat="1" ht="15.75" customHeight="1" x14ac:dyDescent="0.2">
      <c r="A1444" s="26">
        <v>540</v>
      </c>
      <c r="B1444" s="27" t="s">
        <v>2508</v>
      </c>
      <c r="C1444" s="27" t="s">
        <v>116</v>
      </c>
      <c r="D1444" s="28">
        <v>0.08</v>
      </c>
      <c r="E1444" s="29">
        <v>20.99</v>
      </c>
      <c r="F1444" s="29">
        <v>1.25</v>
      </c>
      <c r="G1444" s="30" t="s">
        <v>39</v>
      </c>
      <c r="H1444" s="27" t="s">
        <v>3095</v>
      </c>
      <c r="I1444" s="27" t="s">
        <v>41</v>
      </c>
      <c r="J1444" s="27" t="s">
        <v>135</v>
      </c>
      <c r="K1444" s="27" t="s">
        <v>43</v>
      </c>
      <c r="L1444" s="31" t="s">
        <v>2509</v>
      </c>
      <c r="M1444" s="32">
        <v>0.83</v>
      </c>
      <c r="N1444" s="27" t="s">
        <v>33</v>
      </c>
      <c r="O1444" s="27" t="s">
        <v>53</v>
      </c>
      <c r="P1444" s="27" t="s">
        <v>103</v>
      </c>
      <c r="Q1444" s="27" t="s">
        <v>2510</v>
      </c>
      <c r="R1444" s="33">
        <v>60061</v>
      </c>
      <c r="S1444" s="34">
        <v>42138</v>
      </c>
      <c r="T1444" s="34">
        <v>42140</v>
      </c>
      <c r="U1444" s="29">
        <v>15.3714</v>
      </c>
      <c r="V1444" s="26">
        <v>28</v>
      </c>
      <c r="W1444" s="29">
        <v>469.69</v>
      </c>
      <c r="X1444" s="26">
        <v>91174</v>
      </c>
      <c r="Y1444" s="35">
        <v>4.8099999999999996</v>
      </c>
      <c r="Z1444" s="1" t="s">
        <v>3012</v>
      </c>
      <c r="AA1444" s="36">
        <v>47.017599999999995</v>
      </c>
      <c r="AB1444" s="54">
        <v>79.847300000000018</v>
      </c>
      <c r="AC1444" s="54">
        <v>13.922953571428572</v>
      </c>
      <c r="AD1444" s="36">
        <v>406.05099999999999</v>
      </c>
    </row>
    <row r="1445" spans="1:30" s="37" customFormat="1" ht="15.75" customHeight="1" x14ac:dyDescent="0.2">
      <c r="A1445" s="26">
        <v>539</v>
      </c>
      <c r="B1445" s="27" t="s">
        <v>2505</v>
      </c>
      <c r="C1445" s="27" t="s">
        <v>116</v>
      </c>
      <c r="D1445" s="28">
        <v>0.05</v>
      </c>
      <c r="E1445" s="29">
        <v>59.78</v>
      </c>
      <c r="F1445" s="29">
        <v>10.29</v>
      </c>
      <c r="G1445" s="30" t="s">
        <v>39</v>
      </c>
      <c r="H1445" s="27" t="s">
        <v>3095</v>
      </c>
      <c r="I1445" s="27" t="s">
        <v>49</v>
      </c>
      <c r="J1445" s="27" t="s">
        <v>72</v>
      </c>
      <c r="K1445" s="27" t="s">
        <v>73</v>
      </c>
      <c r="L1445" s="31" t="s">
        <v>2506</v>
      </c>
      <c r="M1445" s="32">
        <v>0.39</v>
      </c>
      <c r="N1445" s="27" t="s">
        <v>33</v>
      </c>
      <c r="O1445" s="27" t="s">
        <v>53</v>
      </c>
      <c r="P1445" s="27" t="s">
        <v>103</v>
      </c>
      <c r="Q1445" s="27" t="s">
        <v>2507</v>
      </c>
      <c r="R1445" s="33">
        <v>61801</v>
      </c>
      <c r="S1445" s="34">
        <v>42138</v>
      </c>
      <c r="T1445" s="34">
        <v>42139</v>
      </c>
      <c r="U1445" s="29">
        <v>159.52969999999999</v>
      </c>
      <c r="V1445" s="26">
        <v>7</v>
      </c>
      <c r="W1445" s="29">
        <v>414.49</v>
      </c>
      <c r="X1445" s="26">
        <v>91174</v>
      </c>
      <c r="Y1445" s="35">
        <v>6.6099999999999994</v>
      </c>
      <c r="Z1445" s="1" t="s">
        <v>3012</v>
      </c>
      <c r="AA1445" s="36">
        <v>20.923000000000002</v>
      </c>
      <c r="AB1445" s="54">
        <v>252.8389</v>
      </c>
      <c r="AC1445" s="54">
        <v>23.093014285714286</v>
      </c>
      <c r="AD1445" s="36">
        <v>223.74730000000002</v>
      </c>
    </row>
    <row r="1446" spans="1:30" s="37" customFormat="1" ht="15.75" customHeight="1" x14ac:dyDescent="0.2">
      <c r="A1446" s="26">
        <v>353</v>
      </c>
      <c r="B1446" s="27" t="s">
        <v>2502</v>
      </c>
      <c r="C1446" s="27" t="s">
        <v>48</v>
      </c>
      <c r="D1446" s="28">
        <v>7.0000000000000007E-2</v>
      </c>
      <c r="E1446" s="29">
        <v>6.68</v>
      </c>
      <c r="F1446" s="29">
        <v>6.92</v>
      </c>
      <c r="G1446" s="30" t="s">
        <v>39</v>
      </c>
      <c r="H1446" s="27" t="s">
        <v>71</v>
      </c>
      <c r="I1446" s="27" t="s">
        <v>49</v>
      </c>
      <c r="J1446" s="27" t="s">
        <v>88</v>
      </c>
      <c r="K1446" s="27" t="s">
        <v>73</v>
      </c>
      <c r="L1446" s="31" t="s">
        <v>2504</v>
      </c>
      <c r="M1446" s="32">
        <v>0.37</v>
      </c>
      <c r="N1446" s="27" t="s">
        <v>33</v>
      </c>
      <c r="O1446" s="27" t="s">
        <v>60</v>
      </c>
      <c r="P1446" s="27" t="s">
        <v>588</v>
      </c>
      <c r="Q1446" s="27" t="s">
        <v>2503</v>
      </c>
      <c r="R1446" s="33">
        <v>85301</v>
      </c>
      <c r="S1446" s="34">
        <v>42138</v>
      </c>
      <c r="T1446" s="34">
        <v>42145</v>
      </c>
      <c r="U1446" s="29">
        <v>-141.12</v>
      </c>
      <c r="V1446" s="26">
        <v>16</v>
      </c>
      <c r="W1446" s="29">
        <v>104.84</v>
      </c>
      <c r="X1446" s="26">
        <v>89647</v>
      </c>
      <c r="Y1446" s="35">
        <v>59.730000000000004</v>
      </c>
      <c r="Z1446" s="1" t="s">
        <v>3013</v>
      </c>
      <c r="AA1446" s="36">
        <v>7.4816000000000003</v>
      </c>
      <c r="AB1446" s="54">
        <v>66.049199999999999</v>
      </c>
      <c r="AC1446" s="54">
        <v>2.4244249999999998</v>
      </c>
      <c r="AD1446" s="36">
        <v>231.55840000000001</v>
      </c>
    </row>
    <row r="1447" spans="1:30" s="37" customFormat="1" ht="15.75" customHeight="1" x14ac:dyDescent="0.2">
      <c r="A1447" s="26">
        <v>910</v>
      </c>
      <c r="B1447" s="27" t="s">
        <v>2501</v>
      </c>
      <c r="C1447" s="27" t="s">
        <v>26</v>
      </c>
      <c r="D1447" s="28">
        <v>0</v>
      </c>
      <c r="E1447" s="29">
        <v>5.28</v>
      </c>
      <c r="F1447" s="29">
        <v>5.61</v>
      </c>
      <c r="G1447" s="30" t="s">
        <v>39</v>
      </c>
      <c r="H1447" s="27" t="s">
        <v>94</v>
      </c>
      <c r="I1447" s="27" t="s">
        <v>49</v>
      </c>
      <c r="J1447" s="27" t="s">
        <v>88</v>
      </c>
      <c r="K1447" s="27" t="s">
        <v>73</v>
      </c>
      <c r="L1447" s="31" t="s">
        <v>2275</v>
      </c>
      <c r="M1447" s="32">
        <v>0.4</v>
      </c>
      <c r="N1447" s="27" t="s">
        <v>33</v>
      </c>
      <c r="O1447" s="27" t="s">
        <v>34</v>
      </c>
      <c r="P1447" s="27" t="s">
        <v>45</v>
      </c>
      <c r="Q1447" s="27" t="s">
        <v>1315</v>
      </c>
      <c r="R1447" s="33">
        <v>71854</v>
      </c>
      <c r="S1447" s="34">
        <v>42138</v>
      </c>
      <c r="T1447" s="34">
        <v>42138</v>
      </c>
      <c r="U1447" s="29">
        <v>-149.21199999999999</v>
      </c>
      <c r="V1447" s="26">
        <v>15</v>
      </c>
      <c r="W1447" s="29">
        <v>85.26</v>
      </c>
      <c r="X1447" s="26">
        <v>90187</v>
      </c>
      <c r="Y1447" s="35">
        <v>20.91</v>
      </c>
      <c r="Z1447" s="1" t="s">
        <v>3011</v>
      </c>
      <c r="AA1447" s="36">
        <v>0</v>
      </c>
      <c r="AB1447" s="54">
        <v>51.155999999999999</v>
      </c>
      <c r="AC1447" s="54">
        <v>2.2736000000000001</v>
      </c>
      <c r="AD1447" s="36">
        <v>228.86199999999997</v>
      </c>
    </row>
    <row r="1448" spans="1:30" s="37" customFormat="1" ht="15.75" customHeight="1" x14ac:dyDescent="0.2">
      <c r="A1448" s="26">
        <v>353</v>
      </c>
      <c r="B1448" s="27" t="s">
        <v>2502</v>
      </c>
      <c r="C1448" s="27" t="s">
        <v>48</v>
      </c>
      <c r="D1448" s="28">
        <v>0.08</v>
      </c>
      <c r="E1448" s="29">
        <v>4.8899999999999997</v>
      </c>
      <c r="F1448" s="29">
        <v>4.93</v>
      </c>
      <c r="G1448" s="30" t="s">
        <v>87</v>
      </c>
      <c r="H1448" s="27" t="s">
        <v>71</v>
      </c>
      <c r="I1448" s="27" t="s">
        <v>41</v>
      </c>
      <c r="J1448" s="27" t="s">
        <v>42</v>
      </c>
      <c r="K1448" s="27" t="s">
        <v>43</v>
      </c>
      <c r="L1448" s="31" t="s">
        <v>1023</v>
      </c>
      <c r="M1448" s="32">
        <v>0.66</v>
      </c>
      <c r="N1448" s="27" t="s">
        <v>33</v>
      </c>
      <c r="O1448" s="27" t="s">
        <v>60</v>
      </c>
      <c r="P1448" s="27" t="s">
        <v>588</v>
      </c>
      <c r="Q1448" s="27" t="s">
        <v>2503</v>
      </c>
      <c r="R1448" s="33">
        <v>85301</v>
      </c>
      <c r="S1448" s="34">
        <v>42138</v>
      </c>
      <c r="T1448" s="34">
        <v>42138</v>
      </c>
      <c r="U1448" s="29">
        <v>-165.45</v>
      </c>
      <c r="V1448" s="26">
        <v>17</v>
      </c>
      <c r="W1448" s="29">
        <v>84.76</v>
      </c>
      <c r="X1448" s="26">
        <v>89647</v>
      </c>
      <c r="Y1448" s="35">
        <v>15.92</v>
      </c>
      <c r="Z1448" s="1" t="s">
        <v>3013</v>
      </c>
      <c r="AA1448" s="36">
        <v>6.6503999999999994</v>
      </c>
      <c r="AB1448" s="54">
        <v>28.8184</v>
      </c>
      <c r="AC1448" s="54">
        <v>3.2906823529411771</v>
      </c>
      <c r="AD1448" s="36">
        <v>238.62959999999998</v>
      </c>
    </row>
    <row r="1449" spans="1:30" s="37" customFormat="1" ht="15.75" customHeight="1" x14ac:dyDescent="0.2">
      <c r="A1449" s="26">
        <v>21</v>
      </c>
      <c r="B1449" s="27" t="s">
        <v>2520</v>
      </c>
      <c r="C1449" s="27" t="s">
        <v>38</v>
      </c>
      <c r="D1449" s="28">
        <v>0.05</v>
      </c>
      <c r="E1449" s="29">
        <v>26.48</v>
      </c>
      <c r="F1449" s="29">
        <v>6.93</v>
      </c>
      <c r="G1449" s="30" t="s">
        <v>39</v>
      </c>
      <c r="H1449" s="27" t="s">
        <v>3095</v>
      </c>
      <c r="I1449" s="27" t="s">
        <v>29</v>
      </c>
      <c r="J1449" s="27" t="s">
        <v>126</v>
      </c>
      <c r="K1449" s="27" t="s">
        <v>73</v>
      </c>
      <c r="L1449" s="31" t="s">
        <v>2518</v>
      </c>
      <c r="M1449" s="32">
        <v>0.49</v>
      </c>
      <c r="N1449" s="27" t="s">
        <v>33</v>
      </c>
      <c r="O1449" s="27" t="s">
        <v>111</v>
      </c>
      <c r="P1449" s="27" t="s">
        <v>112</v>
      </c>
      <c r="Q1449" s="27" t="s">
        <v>113</v>
      </c>
      <c r="R1449" s="33">
        <v>10012</v>
      </c>
      <c r="S1449" s="34">
        <v>42139</v>
      </c>
      <c r="T1449" s="34">
        <v>42140</v>
      </c>
      <c r="U1449" s="29">
        <v>384.38</v>
      </c>
      <c r="V1449" s="26">
        <v>70</v>
      </c>
      <c r="W1449" s="29">
        <v>1876.69</v>
      </c>
      <c r="X1449" s="26">
        <v>41793</v>
      </c>
      <c r="Y1449" s="35">
        <v>39.04</v>
      </c>
      <c r="Z1449" s="1" t="s">
        <v>3014</v>
      </c>
      <c r="AA1449" s="36">
        <v>92.68</v>
      </c>
      <c r="AB1449" s="54">
        <v>957.11189999999999</v>
      </c>
      <c r="AC1449" s="54">
        <v>13.13683</v>
      </c>
      <c r="AD1449" s="36">
        <v>1392.7</v>
      </c>
    </row>
    <row r="1450" spans="1:30" s="37" customFormat="1" ht="15.75" customHeight="1" x14ac:dyDescent="0.2">
      <c r="A1450" s="26">
        <v>3041</v>
      </c>
      <c r="B1450" s="27" t="s">
        <v>2525</v>
      </c>
      <c r="C1450" s="27" t="s">
        <v>3094</v>
      </c>
      <c r="D1450" s="28">
        <v>0.08</v>
      </c>
      <c r="E1450" s="29">
        <v>73.98</v>
      </c>
      <c r="F1450" s="29">
        <v>4</v>
      </c>
      <c r="G1450" s="30" t="s">
        <v>39</v>
      </c>
      <c r="H1450" s="27" t="s">
        <v>94</v>
      </c>
      <c r="I1450" s="27" t="s">
        <v>41</v>
      </c>
      <c r="J1450" s="27" t="s">
        <v>42</v>
      </c>
      <c r="K1450" s="27" t="s">
        <v>73</v>
      </c>
      <c r="L1450" s="31" t="s">
        <v>733</v>
      </c>
      <c r="M1450" s="32">
        <v>0.77</v>
      </c>
      <c r="N1450" s="27" t="s">
        <v>33</v>
      </c>
      <c r="O1450" s="27" t="s">
        <v>53</v>
      </c>
      <c r="P1450" s="27" t="s">
        <v>537</v>
      </c>
      <c r="Q1450" s="27" t="s">
        <v>2065</v>
      </c>
      <c r="R1450" s="33">
        <v>67846</v>
      </c>
      <c r="S1450" s="34">
        <v>42139</v>
      </c>
      <c r="T1450" s="34">
        <v>42142</v>
      </c>
      <c r="U1450" s="29">
        <v>97.16</v>
      </c>
      <c r="V1450" s="26">
        <v>17</v>
      </c>
      <c r="W1450" s="29">
        <v>1181.67</v>
      </c>
      <c r="X1450" s="26">
        <v>86102</v>
      </c>
      <c r="Y1450" s="35">
        <v>37.6</v>
      </c>
      <c r="Z1450" s="1" t="s">
        <v>3012</v>
      </c>
      <c r="AA1450" s="36">
        <v>100.61280000000001</v>
      </c>
      <c r="AB1450" s="54">
        <v>271.78410000000002</v>
      </c>
      <c r="AC1450" s="54">
        <v>53.522700000000007</v>
      </c>
      <c r="AD1450" s="36">
        <v>979.89720000000011</v>
      </c>
    </row>
    <row r="1451" spans="1:30" s="37" customFormat="1" ht="15.75" customHeight="1" x14ac:dyDescent="0.2">
      <c r="A1451" s="26">
        <v>266</v>
      </c>
      <c r="B1451" s="27" t="s">
        <v>2522</v>
      </c>
      <c r="C1451" s="27" t="s">
        <v>116</v>
      </c>
      <c r="D1451" s="28">
        <v>0.01</v>
      </c>
      <c r="E1451" s="29">
        <v>20.34</v>
      </c>
      <c r="F1451" s="29">
        <v>35</v>
      </c>
      <c r="G1451" s="30" t="s">
        <v>39</v>
      </c>
      <c r="H1451" s="27" t="s">
        <v>94</v>
      </c>
      <c r="I1451" s="27" t="s">
        <v>49</v>
      </c>
      <c r="J1451" s="27" t="s">
        <v>78</v>
      </c>
      <c r="K1451" s="27" t="s">
        <v>65</v>
      </c>
      <c r="L1451" s="31" t="s">
        <v>260</v>
      </c>
      <c r="M1451" s="32">
        <v>0.84</v>
      </c>
      <c r="N1451" s="27" t="s">
        <v>33</v>
      </c>
      <c r="O1451" s="27" t="s">
        <v>53</v>
      </c>
      <c r="P1451" s="27" t="s">
        <v>187</v>
      </c>
      <c r="Q1451" s="27" t="s">
        <v>2524</v>
      </c>
      <c r="R1451" s="33">
        <v>78207</v>
      </c>
      <c r="S1451" s="34">
        <v>42139</v>
      </c>
      <c r="T1451" s="34">
        <v>42140</v>
      </c>
      <c r="U1451" s="29">
        <v>229.63800000000001</v>
      </c>
      <c r="V1451" s="26">
        <v>33</v>
      </c>
      <c r="W1451" s="29">
        <v>747.28</v>
      </c>
      <c r="X1451" s="26">
        <v>90594</v>
      </c>
      <c r="Y1451" s="35">
        <v>26.43</v>
      </c>
      <c r="Z1451" s="1" t="s">
        <v>3012</v>
      </c>
      <c r="AA1451" s="36">
        <v>6.7122000000000002</v>
      </c>
      <c r="AB1451" s="54">
        <v>119.56480000000002</v>
      </c>
      <c r="AC1451" s="54">
        <v>19.021672727272726</v>
      </c>
      <c r="AD1451" s="36">
        <v>475.92979999999994</v>
      </c>
    </row>
    <row r="1452" spans="1:30" s="37" customFormat="1" ht="15.75" customHeight="1" x14ac:dyDescent="0.2">
      <c r="A1452" s="26">
        <v>1023</v>
      </c>
      <c r="B1452" s="27" t="s">
        <v>2514</v>
      </c>
      <c r="C1452" s="27" t="s">
        <v>26</v>
      </c>
      <c r="D1452" s="28">
        <v>0.1</v>
      </c>
      <c r="E1452" s="29">
        <v>37.700000000000003</v>
      </c>
      <c r="F1452" s="29">
        <v>2.99</v>
      </c>
      <c r="G1452" s="30" t="s">
        <v>39</v>
      </c>
      <c r="H1452" s="27" t="s">
        <v>3095</v>
      </c>
      <c r="I1452" s="27" t="s">
        <v>49</v>
      </c>
      <c r="J1452" s="27" t="s">
        <v>72</v>
      </c>
      <c r="K1452" s="27" t="s">
        <v>73</v>
      </c>
      <c r="L1452" s="31" t="s">
        <v>2516</v>
      </c>
      <c r="M1452" s="32">
        <v>0.35</v>
      </c>
      <c r="N1452" s="27" t="s">
        <v>33</v>
      </c>
      <c r="O1452" s="27" t="s">
        <v>111</v>
      </c>
      <c r="P1452" s="27" t="s">
        <v>320</v>
      </c>
      <c r="Q1452" s="27" t="s">
        <v>2515</v>
      </c>
      <c r="R1452" s="33">
        <v>15221</v>
      </c>
      <c r="S1452" s="34">
        <v>42139</v>
      </c>
      <c r="T1452" s="34">
        <v>42140</v>
      </c>
      <c r="U1452" s="29">
        <v>455.12400000000002</v>
      </c>
      <c r="V1452" s="26">
        <v>18</v>
      </c>
      <c r="W1452" s="29">
        <v>659.6</v>
      </c>
      <c r="X1452" s="26">
        <v>88633</v>
      </c>
      <c r="Y1452" s="35">
        <v>26.43</v>
      </c>
      <c r="Z1452" s="1" t="s">
        <v>3014</v>
      </c>
      <c r="AA1452" s="36">
        <v>67.860000000000014</v>
      </c>
      <c r="AB1452" s="54">
        <v>428.74</v>
      </c>
      <c r="AC1452" s="54">
        <v>12.825555555555555</v>
      </c>
      <c r="AD1452" s="36">
        <v>133.62599999999998</v>
      </c>
    </row>
    <row r="1453" spans="1:30" s="37" customFormat="1" ht="15.75" customHeight="1" x14ac:dyDescent="0.2">
      <c r="A1453" s="26">
        <v>1023</v>
      </c>
      <c r="B1453" s="27" t="s">
        <v>2514</v>
      </c>
      <c r="C1453" s="27" t="s">
        <v>26</v>
      </c>
      <c r="D1453" s="28">
        <v>0.02</v>
      </c>
      <c r="E1453" s="29">
        <v>39.06</v>
      </c>
      <c r="F1453" s="29">
        <v>10.55</v>
      </c>
      <c r="G1453" s="30" t="s">
        <v>39</v>
      </c>
      <c r="H1453" s="27" t="s">
        <v>3095</v>
      </c>
      <c r="I1453" s="27" t="s">
        <v>49</v>
      </c>
      <c r="J1453" s="27" t="s">
        <v>72</v>
      </c>
      <c r="K1453" s="27" t="s">
        <v>73</v>
      </c>
      <c r="L1453" s="31" t="s">
        <v>255</v>
      </c>
      <c r="M1453" s="32">
        <v>0.37</v>
      </c>
      <c r="N1453" s="27" t="s">
        <v>33</v>
      </c>
      <c r="O1453" s="27" t="s">
        <v>111</v>
      </c>
      <c r="P1453" s="27" t="s">
        <v>320</v>
      </c>
      <c r="Q1453" s="27" t="s">
        <v>2515</v>
      </c>
      <c r="R1453" s="33">
        <v>15221</v>
      </c>
      <c r="S1453" s="34">
        <v>42139</v>
      </c>
      <c r="T1453" s="34">
        <v>42139</v>
      </c>
      <c r="U1453" s="29">
        <v>442.0899</v>
      </c>
      <c r="V1453" s="26">
        <v>16</v>
      </c>
      <c r="W1453" s="29">
        <v>640.71</v>
      </c>
      <c r="X1453" s="26">
        <v>88633</v>
      </c>
      <c r="Y1453" s="35">
        <v>30.97</v>
      </c>
      <c r="Z1453" s="1" t="s">
        <v>3014</v>
      </c>
      <c r="AA1453" s="36">
        <v>12.499200000000002</v>
      </c>
      <c r="AB1453" s="54">
        <v>403.64730000000003</v>
      </c>
      <c r="AC1453" s="54">
        <v>14.81641875</v>
      </c>
      <c r="AD1453" s="36">
        <v>175.57090000000005</v>
      </c>
    </row>
    <row r="1454" spans="1:30" s="37" customFormat="1" ht="15.75" customHeight="1" x14ac:dyDescent="0.2">
      <c r="A1454" s="26">
        <v>1989</v>
      </c>
      <c r="B1454" s="27" t="s">
        <v>693</v>
      </c>
      <c r="C1454" s="27" t="s">
        <v>38</v>
      </c>
      <c r="D1454" s="28">
        <v>0.01</v>
      </c>
      <c r="E1454" s="29">
        <v>40.99</v>
      </c>
      <c r="F1454" s="29">
        <v>19.989999999999998</v>
      </c>
      <c r="G1454" s="30" t="s">
        <v>39</v>
      </c>
      <c r="H1454" s="27" t="s">
        <v>94</v>
      </c>
      <c r="I1454" s="27" t="s">
        <v>49</v>
      </c>
      <c r="J1454" s="27" t="s">
        <v>88</v>
      </c>
      <c r="K1454" s="27" t="s">
        <v>73</v>
      </c>
      <c r="L1454" s="31" t="s">
        <v>1234</v>
      </c>
      <c r="M1454" s="32">
        <v>0.36</v>
      </c>
      <c r="N1454" s="27" t="s">
        <v>33</v>
      </c>
      <c r="O1454" s="27" t="s">
        <v>60</v>
      </c>
      <c r="P1454" s="27" t="s">
        <v>146</v>
      </c>
      <c r="Q1454" s="27" t="s">
        <v>695</v>
      </c>
      <c r="R1454" s="33">
        <v>84117</v>
      </c>
      <c r="S1454" s="34">
        <v>42139</v>
      </c>
      <c r="T1454" s="34">
        <v>42142</v>
      </c>
      <c r="U1454" s="29">
        <v>177.79</v>
      </c>
      <c r="V1454" s="26">
        <v>11</v>
      </c>
      <c r="W1454" s="29">
        <v>480.75</v>
      </c>
      <c r="X1454" s="26">
        <v>90001</v>
      </c>
      <c r="Y1454" s="35">
        <v>40.980000000000004</v>
      </c>
      <c r="Z1454" s="1" t="s">
        <v>3013</v>
      </c>
      <c r="AA1454" s="36">
        <v>4.5089000000000006</v>
      </c>
      <c r="AB1454" s="54">
        <v>307.68</v>
      </c>
      <c r="AC1454" s="54">
        <v>15.733636363636363</v>
      </c>
      <c r="AD1454" s="36">
        <v>278.46109999999999</v>
      </c>
    </row>
    <row r="1455" spans="1:30" s="37" customFormat="1" ht="15.75" customHeight="1" x14ac:dyDescent="0.2">
      <c r="A1455" s="26">
        <v>18</v>
      </c>
      <c r="B1455" s="27" t="s">
        <v>2517</v>
      </c>
      <c r="C1455" s="27" t="s">
        <v>38</v>
      </c>
      <c r="D1455" s="28">
        <v>0.05</v>
      </c>
      <c r="E1455" s="29">
        <v>26.48</v>
      </c>
      <c r="F1455" s="29">
        <v>6.93</v>
      </c>
      <c r="G1455" s="30" t="s">
        <v>39</v>
      </c>
      <c r="H1455" s="27" t="s">
        <v>3095</v>
      </c>
      <c r="I1455" s="27" t="s">
        <v>29</v>
      </c>
      <c r="J1455" s="27" t="s">
        <v>126</v>
      </c>
      <c r="K1455" s="27" t="s">
        <v>73</v>
      </c>
      <c r="L1455" s="31" t="s">
        <v>2518</v>
      </c>
      <c r="M1455" s="32">
        <v>0.49</v>
      </c>
      <c r="N1455" s="27" t="s">
        <v>33</v>
      </c>
      <c r="O1455" s="27" t="s">
        <v>60</v>
      </c>
      <c r="P1455" s="27" t="s">
        <v>277</v>
      </c>
      <c r="Q1455" s="27" t="s">
        <v>2519</v>
      </c>
      <c r="R1455" s="33">
        <v>59601</v>
      </c>
      <c r="S1455" s="34">
        <v>42139</v>
      </c>
      <c r="T1455" s="34">
        <v>42140</v>
      </c>
      <c r="U1455" s="29">
        <v>314.48129999999998</v>
      </c>
      <c r="V1455" s="26">
        <v>17</v>
      </c>
      <c r="W1455" s="29">
        <v>455.77</v>
      </c>
      <c r="X1455" s="26">
        <v>90031</v>
      </c>
      <c r="Y1455" s="35">
        <v>6.4</v>
      </c>
      <c r="Z1455" s="1" t="s">
        <v>3013</v>
      </c>
      <c r="AA1455" s="36">
        <v>22.508000000000003</v>
      </c>
      <c r="AB1455" s="54">
        <v>232.4427</v>
      </c>
      <c r="AC1455" s="54">
        <v>13.136899999999999</v>
      </c>
      <c r="AD1455" s="36">
        <v>111.85070000000002</v>
      </c>
    </row>
    <row r="1456" spans="1:30" s="37" customFormat="1" ht="15.75" customHeight="1" x14ac:dyDescent="0.2">
      <c r="A1456" s="26">
        <v>1989</v>
      </c>
      <c r="B1456" s="27" t="s">
        <v>693</v>
      </c>
      <c r="C1456" s="27" t="s">
        <v>38</v>
      </c>
      <c r="D1456" s="28">
        <v>0.01</v>
      </c>
      <c r="E1456" s="29">
        <v>30.98</v>
      </c>
      <c r="F1456" s="29">
        <v>6.5</v>
      </c>
      <c r="G1456" s="30" t="s">
        <v>39</v>
      </c>
      <c r="H1456" s="27" t="s">
        <v>94</v>
      </c>
      <c r="I1456" s="27" t="s">
        <v>41</v>
      </c>
      <c r="J1456" s="27" t="s">
        <v>42</v>
      </c>
      <c r="K1456" s="27" t="s">
        <v>73</v>
      </c>
      <c r="L1456" s="31" t="s">
        <v>2521</v>
      </c>
      <c r="M1456" s="32">
        <v>0.64</v>
      </c>
      <c r="N1456" s="27" t="s">
        <v>33</v>
      </c>
      <c r="O1456" s="27" t="s">
        <v>60</v>
      </c>
      <c r="P1456" s="27" t="s">
        <v>146</v>
      </c>
      <c r="Q1456" s="27" t="s">
        <v>695</v>
      </c>
      <c r="R1456" s="33">
        <v>84117</v>
      </c>
      <c r="S1456" s="34">
        <v>42139</v>
      </c>
      <c r="T1456" s="34">
        <v>42140</v>
      </c>
      <c r="U1456" s="29">
        <v>46.29</v>
      </c>
      <c r="V1456" s="26">
        <v>11</v>
      </c>
      <c r="W1456" s="29">
        <v>363.37</v>
      </c>
      <c r="X1456" s="26">
        <v>90001</v>
      </c>
      <c r="Y1456" s="35">
        <v>20.329999999999998</v>
      </c>
      <c r="Z1456" s="1" t="s">
        <v>3013</v>
      </c>
      <c r="AA1456" s="36">
        <v>3.4078000000000004</v>
      </c>
      <c r="AB1456" s="54">
        <v>130.81319999999999</v>
      </c>
      <c r="AC1456" s="54">
        <v>21.14152727272727</v>
      </c>
      <c r="AD1456" s="36">
        <v>307.17219999999998</v>
      </c>
    </row>
    <row r="1457" spans="1:30" s="37" customFormat="1" ht="15.75" customHeight="1" x14ac:dyDescent="0.2">
      <c r="A1457" s="26">
        <v>494</v>
      </c>
      <c r="B1457" s="27" t="s">
        <v>1074</v>
      </c>
      <c r="C1457" s="27" t="s">
        <v>116</v>
      </c>
      <c r="D1457" s="28">
        <v>0.06</v>
      </c>
      <c r="E1457" s="29">
        <v>8.32</v>
      </c>
      <c r="F1457" s="29">
        <v>2.38</v>
      </c>
      <c r="G1457" s="30" t="s">
        <v>39</v>
      </c>
      <c r="H1457" s="27" t="s">
        <v>40</v>
      </c>
      <c r="I1457" s="27" t="s">
        <v>41</v>
      </c>
      <c r="J1457" s="27" t="s">
        <v>42</v>
      </c>
      <c r="K1457" s="27" t="s">
        <v>43</v>
      </c>
      <c r="L1457" s="31" t="s">
        <v>1425</v>
      </c>
      <c r="M1457" s="32">
        <v>0.74</v>
      </c>
      <c r="N1457" s="27" t="s">
        <v>33</v>
      </c>
      <c r="O1457" s="27" t="s">
        <v>60</v>
      </c>
      <c r="P1457" s="27" t="s">
        <v>67</v>
      </c>
      <c r="Q1457" s="27" t="s">
        <v>142</v>
      </c>
      <c r="R1457" s="33">
        <v>98115</v>
      </c>
      <c r="S1457" s="34">
        <v>42139</v>
      </c>
      <c r="T1457" s="34">
        <v>42141</v>
      </c>
      <c r="U1457" s="29">
        <v>-36.630000000000003</v>
      </c>
      <c r="V1457" s="26">
        <v>12</v>
      </c>
      <c r="W1457" s="29">
        <v>101.26</v>
      </c>
      <c r="X1457" s="26">
        <v>88905</v>
      </c>
      <c r="Y1457" s="35">
        <v>2.86</v>
      </c>
      <c r="Z1457" s="1" t="s">
        <v>3013</v>
      </c>
      <c r="AA1457" s="36">
        <v>5.9903999999999993</v>
      </c>
      <c r="AB1457" s="54">
        <v>26.327600000000004</v>
      </c>
      <c r="AC1457" s="54">
        <v>6.2443666666666671</v>
      </c>
      <c r="AD1457" s="36">
        <v>129.5196</v>
      </c>
    </row>
    <row r="1458" spans="1:30" s="37" customFormat="1" ht="15.75" customHeight="1" x14ac:dyDescent="0.2">
      <c r="A1458" s="26">
        <v>266</v>
      </c>
      <c r="B1458" s="27" t="s">
        <v>2522</v>
      </c>
      <c r="C1458" s="27" t="s">
        <v>116</v>
      </c>
      <c r="D1458" s="28">
        <v>0.08</v>
      </c>
      <c r="E1458" s="29">
        <v>6.48</v>
      </c>
      <c r="F1458" s="29">
        <v>7.03</v>
      </c>
      <c r="G1458" s="30" t="s">
        <v>39</v>
      </c>
      <c r="H1458" s="27" t="s">
        <v>94</v>
      </c>
      <c r="I1458" s="27" t="s">
        <v>49</v>
      </c>
      <c r="J1458" s="27" t="s">
        <v>88</v>
      </c>
      <c r="K1458" s="27" t="s">
        <v>73</v>
      </c>
      <c r="L1458" s="31" t="s">
        <v>2523</v>
      </c>
      <c r="M1458" s="32">
        <v>0.37</v>
      </c>
      <c r="N1458" s="27" t="s">
        <v>33</v>
      </c>
      <c r="O1458" s="27" t="s">
        <v>53</v>
      </c>
      <c r="P1458" s="27" t="s">
        <v>187</v>
      </c>
      <c r="Q1458" s="27" t="s">
        <v>2524</v>
      </c>
      <c r="R1458" s="33">
        <v>78207</v>
      </c>
      <c r="S1458" s="34">
        <v>42139</v>
      </c>
      <c r="T1458" s="34">
        <v>42140</v>
      </c>
      <c r="U1458" s="29">
        <v>8.9320000000000004</v>
      </c>
      <c r="V1458" s="26">
        <v>10</v>
      </c>
      <c r="W1458" s="29">
        <v>67.86</v>
      </c>
      <c r="X1458" s="26">
        <v>90594</v>
      </c>
      <c r="Y1458" s="35">
        <v>8.26</v>
      </c>
      <c r="Z1458" s="1" t="s">
        <v>3012</v>
      </c>
      <c r="AA1458" s="36">
        <v>5.1840000000000011</v>
      </c>
      <c r="AB1458" s="54">
        <v>42.751800000000003</v>
      </c>
      <c r="AC1458" s="54">
        <v>2.5108199999999998</v>
      </c>
      <c r="AD1458" s="36">
        <v>46.713999999999999</v>
      </c>
    </row>
    <row r="1459" spans="1:30" s="37" customFormat="1" ht="15.75" customHeight="1" x14ac:dyDescent="0.2">
      <c r="A1459" s="26">
        <v>491</v>
      </c>
      <c r="B1459" s="27" t="s">
        <v>1073</v>
      </c>
      <c r="C1459" s="27" t="s">
        <v>116</v>
      </c>
      <c r="D1459" s="28">
        <v>0.08</v>
      </c>
      <c r="E1459" s="29">
        <v>2.94</v>
      </c>
      <c r="F1459" s="29">
        <v>0.96</v>
      </c>
      <c r="G1459" s="30" t="s">
        <v>39</v>
      </c>
      <c r="H1459" s="27" t="s">
        <v>40</v>
      </c>
      <c r="I1459" s="27" t="s">
        <v>49</v>
      </c>
      <c r="J1459" s="27" t="s">
        <v>50</v>
      </c>
      <c r="K1459" s="27" t="s">
        <v>51</v>
      </c>
      <c r="L1459" s="31" t="s">
        <v>829</v>
      </c>
      <c r="M1459" s="32">
        <v>0.57999999999999996</v>
      </c>
      <c r="N1459" s="27" t="s">
        <v>33</v>
      </c>
      <c r="O1459" s="27" t="s">
        <v>111</v>
      </c>
      <c r="P1459" s="27" t="s">
        <v>112</v>
      </c>
      <c r="Q1459" s="27" t="s">
        <v>113</v>
      </c>
      <c r="R1459" s="33">
        <v>10154</v>
      </c>
      <c r="S1459" s="34">
        <v>42139</v>
      </c>
      <c r="T1459" s="34">
        <v>42141</v>
      </c>
      <c r="U1459" s="29">
        <v>-2.12</v>
      </c>
      <c r="V1459" s="26">
        <v>23</v>
      </c>
      <c r="W1459" s="29">
        <v>66.7</v>
      </c>
      <c r="X1459" s="26">
        <v>8353</v>
      </c>
      <c r="Y1459" s="35">
        <v>2.86</v>
      </c>
      <c r="Z1459" s="1" t="s">
        <v>3014</v>
      </c>
      <c r="AA1459" s="36">
        <v>5.4096000000000002</v>
      </c>
      <c r="AB1459" s="54">
        <v>28.014000000000003</v>
      </c>
      <c r="AC1459" s="54">
        <v>1.6819999999999999</v>
      </c>
      <c r="AD1459" s="36">
        <v>62.450400000000002</v>
      </c>
    </row>
    <row r="1460" spans="1:30" s="37" customFormat="1" ht="15.75" customHeight="1" x14ac:dyDescent="0.2">
      <c r="A1460" s="26">
        <v>3041</v>
      </c>
      <c r="B1460" s="27" t="s">
        <v>2525</v>
      </c>
      <c r="C1460" s="27" t="s">
        <v>3094</v>
      </c>
      <c r="D1460" s="28">
        <v>0.02</v>
      </c>
      <c r="E1460" s="29">
        <v>3.68</v>
      </c>
      <c r="F1460" s="29">
        <v>1.32</v>
      </c>
      <c r="G1460" s="30" t="s">
        <v>39</v>
      </c>
      <c r="H1460" s="27" t="s">
        <v>94</v>
      </c>
      <c r="I1460" s="27" t="s">
        <v>49</v>
      </c>
      <c r="J1460" s="27" t="s">
        <v>568</v>
      </c>
      <c r="K1460" s="27" t="s">
        <v>51</v>
      </c>
      <c r="L1460" s="31" t="s">
        <v>2526</v>
      </c>
      <c r="M1460" s="32">
        <v>0.83</v>
      </c>
      <c r="N1460" s="27" t="s">
        <v>33</v>
      </c>
      <c r="O1460" s="27" t="s">
        <v>53</v>
      </c>
      <c r="P1460" s="27" t="s">
        <v>537</v>
      </c>
      <c r="Q1460" s="27" t="s">
        <v>2065</v>
      </c>
      <c r="R1460" s="33">
        <v>67846</v>
      </c>
      <c r="S1460" s="34">
        <v>42139</v>
      </c>
      <c r="T1460" s="34">
        <v>42141</v>
      </c>
      <c r="U1460" s="29">
        <v>-20.65</v>
      </c>
      <c r="V1460" s="26">
        <v>8</v>
      </c>
      <c r="W1460" s="29">
        <v>29.93</v>
      </c>
      <c r="X1460" s="26">
        <v>86102</v>
      </c>
      <c r="Y1460" s="35">
        <v>73.900000000000006</v>
      </c>
      <c r="Z1460" s="1" t="s">
        <v>3012</v>
      </c>
      <c r="AA1460" s="36">
        <v>0.58879999999999999</v>
      </c>
      <c r="AB1460" s="54">
        <v>5.0881000000000007</v>
      </c>
      <c r="AC1460" s="54">
        <v>3.1052374999999999</v>
      </c>
      <c r="AD1460" s="36">
        <v>48.671199999999999</v>
      </c>
    </row>
    <row r="1461" spans="1:30" s="37" customFormat="1" ht="15.75" customHeight="1" x14ac:dyDescent="0.2">
      <c r="A1461" s="26">
        <v>494</v>
      </c>
      <c r="B1461" s="27" t="s">
        <v>1074</v>
      </c>
      <c r="C1461" s="27" t="s">
        <v>116</v>
      </c>
      <c r="D1461" s="28">
        <v>0.08</v>
      </c>
      <c r="E1461" s="29">
        <v>2.94</v>
      </c>
      <c r="F1461" s="29">
        <v>0.96</v>
      </c>
      <c r="G1461" s="30" t="s">
        <v>39</v>
      </c>
      <c r="H1461" s="27" t="s">
        <v>40</v>
      </c>
      <c r="I1461" s="27" t="s">
        <v>49</v>
      </c>
      <c r="J1461" s="27" t="s">
        <v>50</v>
      </c>
      <c r="K1461" s="27" t="s">
        <v>51</v>
      </c>
      <c r="L1461" s="31" t="s">
        <v>829</v>
      </c>
      <c r="M1461" s="32">
        <v>0.57999999999999996</v>
      </c>
      <c r="N1461" s="27" t="s">
        <v>33</v>
      </c>
      <c r="O1461" s="27" t="s">
        <v>60</v>
      </c>
      <c r="P1461" s="27" t="s">
        <v>67</v>
      </c>
      <c r="Q1461" s="27" t="s">
        <v>142</v>
      </c>
      <c r="R1461" s="33">
        <v>98115</v>
      </c>
      <c r="S1461" s="34">
        <v>42139</v>
      </c>
      <c r="T1461" s="34">
        <v>42141</v>
      </c>
      <c r="U1461" s="29">
        <v>-2.12</v>
      </c>
      <c r="V1461" s="26">
        <v>6</v>
      </c>
      <c r="W1461" s="29">
        <v>17.399999999999999</v>
      </c>
      <c r="X1461" s="26">
        <v>88905</v>
      </c>
      <c r="Y1461" s="35">
        <v>3.66</v>
      </c>
      <c r="Z1461" s="1" t="s">
        <v>3013</v>
      </c>
      <c r="AA1461" s="36">
        <v>1.4112</v>
      </c>
      <c r="AB1461" s="54">
        <v>7.3079999999999998</v>
      </c>
      <c r="AC1461" s="54">
        <v>1.6819999999999999</v>
      </c>
      <c r="AD1461" s="36">
        <v>17.148799999999998</v>
      </c>
    </row>
    <row r="1462" spans="1:30" s="37" customFormat="1" ht="15.75" customHeight="1" x14ac:dyDescent="0.2">
      <c r="A1462" s="26">
        <v>1390</v>
      </c>
      <c r="B1462" s="27" t="s">
        <v>2531</v>
      </c>
      <c r="C1462" s="27" t="s">
        <v>26</v>
      </c>
      <c r="D1462" s="28">
        <v>0.03</v>
      </c>
      <c r="E1462" s="29">
        <v>110.99</v>
      </c>
      <c r="F1462" s="29">
        <v>2.5</v>
      </c>
      <c r="G1462" s="30" t="s">
        <v>39</v>
      </c>
      <c r="H1462" s="27" t="s">
        <v>94</v>
      </c>
      <c r="I1462" s="27" t="s">
        <v>41</v>
      </c>
      <c r="J1462" s="27" t="s">
        <v>135</v>
      </c>
      <c r="K1462" s="27" t="s">
        <v>73</v>
      </c>
      <c r="L1462" s="31" t="s">
        <v>136</v>
      </c>
      <c r="M1462" s="32">
        <v>0.56999999999999995</v>
      </c>
      <c r="N1462" s="27" t="s">
        <v>33</v>
      </c>
      <c r="O1462" s="27" t="s">
        <v>60</v>
      </c>
      <c r="P1462" s="27" t="s">
        <v>90</v>
      </c>
      <c r="Q1462" s="27" t="s">
        <v>2533</v>
      </c>
      <c r="R1462" s="33">
        <v>95207</v>
      </c>
      <c r="S1462" s="34">
        <v>42140</v>
      </c>
      <c r="T1462" s="34">
        <v>42142</v>
      </c>
      <c r="U1462" s="29">
        <v>2495.3987999999999</v>
      </c>
      <c r="V1462" s="26">
        <v>38</v>
      </c>
      <c r="W1462" s="29">
        <v>3616.52</v>
      </c>
      <c r="X1462" s="26">
        <v>88731</v>
      </c>
      <c r="Y1462" s="35">
        <v>18.93</v>
      </c>
      <c r="Z1462" s="1" t="s">
        <v>3013</v>
      </c>
      <c r="AA1462" s="36">
        <v>126.5286</v>
      </c>
      <c r="AB1462" s="54">
        <v>1555.1036000000001</v>
      </c>
      <c r="AC1462" s="54">
        <v>54.247799999999991</v>
      </c>
      <c r="AD1462" s="36">
        <v>992.09259999999995</v>
      </c>
    </row>
    <row r="1463" spans="1:30" s="37" customFormat="1" ht="15.75" customHeight="1" x14ac:dyDescent="0.2">
      <c r="A1463" s="26">
        <v>688</v>
      </c>
      <c r="B1463" s="27" t="s">
        <v>1521</v>
      </c>
      <c r="C1463" s="27" t="s">
        <v>26</v>
      </c>
      <c r="D1463" s="28">
        <v>7.0000000000000007E-2</v>
      </c>
      <c r="E1463" s="29">
        <v>279.48</v>
      </c>
      <c r="F1463" s="29">
        <v>35</v>
      </c>
      <c r="G1463" s="30" t="s">
        <v>39</v>
      </c>
      <c r="H1463" s="27" t="s">
        <v>3095</v>
      </c>
      <c r="I1463" s="27" t="s">
        <v>49</v>
      </c>
      <c r="J1463" s="27" t="s">
        <v>78</v>
      </c>
      <c r="K1463" s="27" t="s">
        <v>65</v>
      </c>
      <c r="L1463" s="31" t="s">
        <v>225</v>
      </c>
      <c r="M1463" s="32">
        <v>0.8</v>
      </c>
      <c r="N1463" s="27" t="s">
        <v>33</v>
      </c>
      <c r="O1463" s="27" t="s">
        <v>53</v>
      </c>
      <c r="P1463" s="27" t="s">
        <v>80</v>
      </c>
      <c r="Q1463" s="27" t="s">
        <v>1523</v>
      </c>
      <c r="R1463" s="33">
        <v>63116</v>
      </c>
      <c r="S1463" s="34">
        <v>42140</v>
      </c>
      <c r="T1463" s="34">
        <v>42140</v>
      </c>
      <c r="U1463" s="29">
        <v>-207.28</v>
      </c>
      <c r="V1463" s="26">
        <v>10</v>
      </c>
      <c r="W1463" s="29">
        <v>2716.09</v>
      </c>
      <c r="X1463" s="26">
        <v>88503</v>
      </c>
      <c r="Y1463" s="35">
        <v>10.89</v>
      </c>
      <c r="Z1463" s="1" t="s">
        <v>3012</v>
      </c>
      <c r="AA1463" s="36">
        <v>195.63600000000005</v>
      </c>
      <c r="AB1463" s="54">
        <v>543.21799999999996</v>
      </c>
      <c r="AC1463" s="54">
        <v>217.28720000000004</v>
      </c>
      <c r="AD1463" s="36">
        <v>2692.7339999999999</v>
      </c>
    </row>
    <row r="1464" spans="1:30" s="37" customFormat="1" ht="15.75" customHeight="1" x14ac:dyDescent="0.2">
      <c r="A1464" s="26">
        <v>1723</v>
      </c>
      <c r="B1464" s="27" t="s">
        <v>888</v>
      </c>
      <c r="C1464" s="27" t="s">
        <v>38</v>
      </c>
      <c r="D1464" s="28">
        <v>0.04</v>
      </c>
      <c r="E1464" s="29">
        <v>12.44</v>
      </c>
      <c r="F1464" s="29">
        <v>6.27</v>
      </c>
      <c r="G1464" s="30" t="s">
        <v>39</v>
      </c>
      <c r="H1464" s="27" t="s">
        <v>94</v>
      </c>
      <c r="I1464" s="27" t="s">
        <v>49</v>
      </c>
      <c r="J1464" s="27" t="s">
        <v>78</v>
      </c>
      <c r="K1464" s="27" t="s">
        <v>144</v>
      </c>
      <c r="L1464" s="31" t="s">
        <v>2535</v>
      </c>
      <c r="M1464" s="32">
        <v>0.56999999999999995</v>
      </c>
      <c r="N1464" s="27" t="s">
        <v>33</v>
      </c>
      <c r="O1464" s="27" t="s">
        <v>60</v>
      </c>
      <c r="P1464" s="27" t="s">
        <v>90</v>
      </c>
      <c r="Q1464" s="27" t="s">
        <v>890</v>
      </c>
      <c r="R1464" s="33">
        <v>92037</v>
      </c>
      <c r="S1464" s="34">
        <v>42140</v>
      </c>
      <c r="T1464" s="34">
        <v>42141</v>
      </c>
      <c r="U1464" s="29">
        <v>-59.06</v>
      </c>
      <c r="V1464" s="26">
        <v>146</v>
      </c>
      <c r="W1464" s="29">
        <v>1834.61</v>
      </c>
      <c r="X1464" s="26">
        <v>32710</v>
      </c>
      <c r="Y1464" s="35">
        <v>279.41000000000003</v>
      </c>
      <c r="Z1464" s="1" t="s">
        <v>3013</v>
      </c>
      <c r="AA1464" s="36">
        <v>72.649599999999992</v>
      </c>
      <c r="AB1464" s="54">
        <v>788.8823000000001</v>
      </c>
      <c r="AC1464" s="54">
        <v>7.1625184931506842</v>
      </c>
      <c r="AD1464" s="36">
        <v>1814.7503999999999</v>
      </c>
    </row>
    <row r="1465" spans="1:30" s="37" customFormat="1" ht="15.75" customHeight="1" x14ac:dyDescent="0.2">
      <c r="A1465" s="26">
        <v>2071</v>
      </c>
      <c r="B1465" s="27" t="s">
        <v>917</v>
      </c>
      <c r="C1465" s="27" t="s">
        <v>48</v>
      </c>
      <c r="D1465" s="28">
        <v>0.08</v>
      </c>
      <c r="E1465" s="29">
        <v>65.989999999999995</v>
      </c>
      <c r="F1465" s="29">
        <v>5.92</v>
      </c>
      <c r="G1465" s="30" t="s">
        <v>87</v>
      </c>
      <c r="H1465" s="27" t="s">
        <v>94</v>
      </c>
      <c r="I1465" s="27" t="s">
        <v>41</v>
      </c>
      <c r="J1465" s="27" t="s">
        <v>135</v>
      </c>
      <c r="K1465" s="27" t="s">
        <v>73</v>
      </c>
      <c r="L1465" s="31" t="s">
        <v>1056</v>
      </c>
      <c r="M1465" s="32">
        <v>0.57999999999999996</v>
      </c>
      <c r="N1465" s="27" t="s">
        <v>33</v>
      </c>
      <c r="O1465" s="27" t="s">
        <v>53</v>
      </c>
      <c r="P1465" s="27" t="s">
        <v>289</v>
      </c>
      <c r="Q1465" s="27" t="s">
        <v>919</v>
      </c>
      <c r="R1465" s="33">
        <v>48336</v>
      </c>
      <c r="S1465" s="34">
        <v>42140</v>
      </c>
      <c r="T1465" s="34">
        <v>42147</v>
      </c>
      <c r="U1465" s="29">
        <v>183.84299999999999</v>
      </c>
      <c r="V1465" s="26">
        <v>20</v>
      </c>
      <c r="W1465" s="29">
        <v>1063.81</v>
      </c>
      <c r="X1465" s="26">
        <v>88558</v>
      </c>
      <c r="Y1465" s="35">
        <v>14.42</v>
      </c>
      <c r="Z1465" s="1" t="s">
        <v>3012</v>
      </c>
      <c r="AA1465" s="36">
        <v>105.58399999999999</v>
      </c>
      <c r="AB1465" s="54">
        <v>446.80020000000002</v>
      </c>
      <c r="AC1465" s="54">
        <v>30.850489999999997</v>
      </c>
      <c r="AD1465" s="36">
        <v>768.46299999999997</v>
      </c>
    </row>
    <row r="1466" spans="1:30" s="37" customFormat="1" ht="15.75" customHeight="1" x14ac:dyDescent="0.2">
      <c r="A1466" s="26">
        <v>1721</v>
      </c>
      <c r="B1466" s="27" t="s">
        <v>2534</v>
      </c>
      <c r="C1466" s="27" t="s">
        <v>38</v>
      </c>
      <c r="D1466" s="28">
        <v>0.04</v>
      </c>
      <c r="E1466" s="29">
        <v>12.44</v>
      </c>
      <c r="F1466" s="29">
        <v>6.27</v>
      </c>
      <c r="G1466" s="30" t="s">
        <v>39</v>
      </c>
      <c r="H1466" s="27" t="s">
        <v>94</v>
      </c>
      <c r="I1466" s="27" t="s">
        <v>49</v>
      </c>
      <c r="J1466" s="27" t="s">
        <v>78</v>
      </c>
      <c r="K1466" s="27" t="s">
        <v>144</v>
      </c>
      <c r="L1466" s="31" t="s">
        <v>2535</v>
      </c>
      <c r="M1466" s="32">
        <v>0.56999999999999995</v>
      </c>
      <c r="N1466" s="27" t="s">
        <v>33</v>
      </c>
      <c r="O1466" s="27" t="s">
        <v>34</v>
      </c>
      <c r="P1466" s="27" t="s">
        <v>45</v>
      </c>
      <c r="Q1466" s="27" t="s">
        <v>2536</v>
      </c>
      <c r="R1466" s="33">
        <v>72401</v>
      </c>
      <c r="S1466" s="34">
        <v>42140</v>
      </c>
      <c r="T1466" s="34">
        <v>42141</v>
      </c>
      <c r="U1466" s="29">
        <v>-258.56599999999997</v>
      </c>
      <c r="V1466" s="26">
        <v>37</v>
      </c>
      <c r="W1466" s="29">
        <v>464.94</v>
      </c>
      <c r="X1466" s="26">
        <v>90787</v>
      </c>
      <c r="Y1466" s="35">
        <v>8.07</v>
      </c>
      <c r="Z1466" s="1" t="s">
        <v>3011</v>
      </c>
      <c r="AA1466" s="36">
        <v>18.411200000000001</v>
      </c>
      <c r="AB1466" s="54">
        <v>199.92420000000001</v>
      </c>
      <c r="AC1466" s="54">
        <v>7.1625891891891893</v>
      </c>
      <c r="AD1466" s="36">
        <v>698.82479999999998</v>
      </c>
    </row>
    <row r="1467" spans="1:30" s="37" customFormat="1" ht="15.75" customHeight="1" x14ac:dyDescent="0.2">
      <c r="A1467" s="26">
        <v>1984</v>
      </c>
      <c r="B1467" s="27" t="s">
        <v>2541</v>
      </c>
      <c r="C1467" s="27" t="s">
        <v>3094</v>
      </c>
      <c r="D1467" s="28">
        <v>0.1</v>
      </c>
      <c r="E1467" s="29">
        <v>7.37</v>
      </c>
      <c r="F1467" s="29">
        <v>5.53</v>
      </c>
      <c r="G1467" s="30" t="s">
        <v>39</v>
      </c>
      <c r="H1467" s="27" t="s">
        <v>40</v>
      </c>
      <c r="I1467" s="27" t="s">
        <v>41</v>
      </c>
      <c r="J1467" s="27" t="s">
        <v>42</v>
      </c>
      <c r="K1467" s="27" t="s">
        <v>43</v>
      </c>
      <c r="L1467" s="31" t="s">
        <v>549</v>
      </c>
      <c r="M1467" s="32">
        <v>0.69</v>
      </c>
      <c r="N1467" s="27" t="s">
        <v>33</v>
      </c>
      <c r="O1467" s="27" t="s">
        <v>34</v>
      </c>
      <c r="P1467" s="27" t="s">
        <v>271</v>
      </c>
      <c r="Q1467" s="27" t="s">
        <v>272</v>
      </c>
      <c r="R1467" s="33">
        <v>29915</v>
      </c>
      <c r="S1467" s="34">
        <v>42140</v>
      </c>
      <c r="T1467" s="34">
        <v>42140</v>
      </c>
      <c r="U1467" s="29">
        <v>290.202</v>
      </c>
      <c r="V1467" s="26">
        <v>38</v>
      </c>
      <c r="W1467" s="29">
        <v>269.33</v>
      </c>
      <c r="X1467" s="26">
        <v>91258</v>
      </c>
      <c r="Y1467" s="35">
        <v>110.96</v>
      </c>
      <c r="Z1467" s="1" t="s">
        <v>3011</v>
      </c>
      <c r="AA1467" s="36">
        <v>28.006000000000004</v>
      </c>
      <c r="AB1467" s="54">
        <v>83.492300000000014</v>
      </c>
      <c r="AC1467" s="54">
        <v>4.8904657894736836</v>
      </c>
      <c r="AD1467" s="36">
        <v>-54.408000000000015</v>
      </c>
    </row>
    <row r="1468" spans="1:30" s="37" customFormat="1" ht="15.75" customHeight="1" x14ac:dyDescent="0.2">
      <c r="A1468" s="26">
        <v>3354</v>
      </c>
      <c r="B1468" s="27" t="s">
        <v>1893</v>
      </c>
      <c r="C1468" s="27" t="s">
        <v>38</v>
      </c>
      <c r="D1468" s="28">
        <v>0.03</v>
      </c>
      <c r="E1468" s="29">
        <v>28.53</v>
      </c>
      <c r="F1468" s="29">
        <v>1.49</v>
      </c>
      <c r="G1468" s="30" t="s">
        <v>39</v>
      </c>
      <c r="H1468" s="27" t="s">
        <v>94</v>
      </c>
      <c r="I1468" s="27" t="s">
        <v>49</v>
      </c>
      <c r="J1468" s="27" t="s">
        <v>72</v>
      </c>
      <c r="K1468" s="27" t="s">
        <v>73</v>
      </c>
      <c r="L1468" s="31" t="s">
        <v>1832</v>
      </c>
      <c r="M1468" s="32">
        <v>0.38</v>
      </c>
      <c r="N1468" s="27" t="s">
        <v>33</v>
      </c>
      <c r="O1468" s="27" t="s">
        <v>60</v>
      </c>
      <c r="P1468" s="27" t="s">
        <v>90</v>
      </c>
      <c r="Q1468" s="27" t="s">
        <v>1895</v>
      </c>
      <c r="R1468" s="33">
        <v>92231</v>
      </c>
      <c r="S1468" s="34">
        <v>42140</v>
      </c>
      <c r="T1468" s="34">
        <v>42141</v>
      </c>
      <c r="U1468" s="29">
        <v>137.67570000000001</v>
      </c>
      <c r="V1468" s="26">
        <v>7</v>
      </c>
      <c r="W1468" s="29">
        <v>199.53</v>
      </c>
      <c r="X1468" s="26">
        <v>88589</v>
      </c>
      <c r="Y1468" s="35">
        <v>12.4</v>
      </c>
      <c r="Z1468" s="1" t="s">
        <v>3013</v>
      </c>
      <c r="AA1468" s="36">
        <v>5.9912999999999998</v>
      </c>
      <c r="AB1468" s="54">
        <v>123.7086</v>
      </c>
      <c r="AC1468" s="54">
        <v>10.831628571428572</v>
      </c>
      <c r="AD1468" s="36">
        <v>54.37299999999999</v>
      </c>
    </row>
    <row r="1469" spans="1:30" s="37" customFormat="1" ht="15.75" customHeight="1" x14ac:dyDescent="0.2">
      <c r="A1469" s="26">
        <v>2070</v>
      </c>
      <c r="B1469" s="27" t="s">
        <v>2539</v>
      </c>
      <c r="C1469" s="27" t="s">
        <v>48</v>
      </c>
      <c r="D1469" s="28">
        <v>7.0000000000000007E-2</v>
      </c>
      <c r="E1469" s="29">
        <v>35.99</v>
      </c>
      <c r="F1469" s="29">
        <v>5.99</v>
      </c>
      <c r="G1469" s="30" t="s">
        <v>39</v>
      </c>
      <c r="H1469" s="27" t="s">
        <v>94</v>
      </c>
      <c r="I1469" s="27" t="s">
        <v>41</v>
      </c>
      <c r="J1469" s="27" t="s">
        <v>135</v>
      </c>
      <c r="K1469" s="27" t="s">
        <v>51</v>
      </c>
      <c r="L1469" s="31" t="s">
        <v>1372</v>
      </c>
      <c r="M1469" s="32">
        <v>0.38</v>
      </c>
      <c r="N1469" s="27" t="s">
        <v>33</v>
      </c>
      <c r="O1469" s="27" t="s">
        <v>53</v>
      </c>
      <c r="P1469" s="27" t="s">
        <v>289</v>
      </c>
      <c r="Q1469" s="27" t="s">
        <v>2540</v>
      </c>
      <c r="R1469" s="33">
        <v>48021</v>
      </c>
      <c r="S1469" s="34">
        <v>42140</v>
      </c>
      <c r="T1469" s="34">
        <v>42144</v>
      </c>
      <c r="U1469" s="29">
        <v>17.8398</v>
      </c>
      <c r="V1469" s="26">
        <v>5</v>
      </c>
      <c r="W1469" s="29">
        <v>153.61000000000001</v>
      </c>
      <c r="X1469" s="26">
        <v>88558</v>
      </c>
      <c r="Y1469" s="35">
        <v>12.4</v>
      </c>
      <c r="Z1469" s="1" t="s">
        <v>3012</v>
      </c>
      <c r="AA1469" s="36">
        <v>12.596500000000002</v>
      </c>
      <c r="AB1469" s="54">
        <v>95.238200000000006</v>
      </c>
      <c r="AC1469" s="54">
        <v>11.67436</v>
      </c>
      <c r="AD1469" s="36">
        <v>117.18370000000002</v>
      </c>
    </row>
    <row r="1470" spans="1:30" s="37" customFormat="1" ht="15.75" customHeight="1" x14ac:dyDescent="0.2">
      <c r="A1470" s="26">
        <v>1390</v>
      </c>
      <c r="B1470" s="27" t="s">
        <v>2531</v>
      </c>
      <c r="C1470" s="27" t="s">
        <v>26</v>
      </c>
      <c r="D1470" s="28">
        <v>0.1</v>
      </c>
      <c r="E1470" s="29">
        <v>8.17</v>
      </c>
      <c r="F1470" s="29">
        <v>1.69</v>
      </c>
      <c r="G1470" s="30" t="s">
        <v>39</v>
      </c>
      <c r="H1470" s="27" t="s">
        <v>94</v>
      </c>
      <c r="I1470" s="27" t="s">
        <v>49</v>
      </c>
      <c r="J1470" s="27" t="s">
        <v>88</v>
      </c>
      <c r="K1470" s="27" t="s">
        <v>51</v>
      </c>
      <c r="L1470" s="31" t="s">
        <v>2532</v>
      </c>
      <c r="M1470" s="32">
        <v>0.38</v>
      </c>
      <c r="N1470" s="27" t="s">
        <v>33</v>
      </c>
      <c r="O1470" s="27" t="s">
        <v>60</v>
      </c>
      <c r="P1470" s="27" t="s">
        <v>90</v>
      </c>
      <c r="Q1470" s="27" t="s">
        <v>2533</v>
      </c>
      <c r="R1470" s="33">
        <v>95207</v>
      </c>
      <c r="S1470" s="34">
        <v>42140</v>
      </c>
      <c r="T1470" s="34">
        <v>42140</v>
      </c>
      <c r="U1470" s="29">
        <v>100.2984</v>
      </c>
      <c r="V1470" s="26">
        <v>19</v>
      </c>
      <c r="W1470" s="29">
        <v>145.36000000000001</v>
      </c>
      <c r="X1470" s="26">
        <v>88731</v>
      </c>
      <c r="Y1470" s="35">
        <v>5.3100000000000005</v>
      </c>
      <c r="Z1470" s="1" t="s">
        <v>3013</v>
      </c>
      <c r="AA1470" s="36">
        <v>15.523000000000001</v>
      </c>
      <c r="AB1470" s="54">
        <v>90.123200000000011</v>
      </c>
      <c r="AC1470" s="54">
        <v>2.9072000000000005</v>
      </c>
      <c r="AD1470" s="36">
        <v>27.848600000000019</v>
      </c>
    </row>
    <row r="1471" spans="1:30" s="37" customFormat="1" ht="15.75" customHeight="1" x14ac:dyDescent="0.2">
      <c r="A1471" s="26">
        <v>136</v>
      </c>
      <c r="B1471" s="27" t="s">
        <v>2527</v>
      </c>
      <c r="C1471" s="27" t="s">
        <v>26</v>
      </c>
      <c r="D1471" s="28">
        <v>0.04</v>
      </c>
      <c r="E1471" s="29">
        <v>18.97</v>
      </c>
      <c r="F1471" s="29">
        <v>9.5399999999999991</v>
      </c>
      <c r="G1471" s="30" t="s">
        <v>39</v>
      </c>
      <c r="H1471" s="27" t="s">
        <v>3095</v>
      </c>
      <c r="I1471" s="27" t="s">
        <v>49</v>
      </c>
      <c r="J1471" s="27" t="s">
        <v>88</v>
      </c>
      <c r="K1471" s="27" t="s">
        <v>73</v>
      </c>
      <c r="L1471" s="31" t="s">
        <v>479</v>
      </c>
      <c r="M1471" s="32">
        <v>0.37</v>
      </c>
      <c r="N1471" s="27" t="s">
        <v>33</v>
      </c>
      <c r="O1471" s="27" t="s">
        <v>60</v>
      </c>
      <c r="P1471" s="27" t="s">
        <v>90</v>
      </c>
      <c r="Q1471" s="27" t="s">
        <v>2528</v>
      </c>
      <c r="R1471" s="33">
        <v>94952</v>
      </c>
      <c r="S1471" s="34">
        <v>42140</v>
      </c>
      <c r="T1471" s="34">
        <v>42141</v>
      </c>
      <c r="U1471" s="29">
        <v>3.04</v>
      </c>
      <c r="V1471" s="26">
        <v>5</v>
      </c>
      <c r="W1471" s="29">
        <v>101.74</v>
      </c>
      <c r="X1471" s="26">
        <v>88534</v>
      </c>
      <c r="Y1471" s="35">
        <v>28.5</v>
      </c>
      <c r="Z1471" s="1" t="s">
        <v>3013</v>
      </c>
      <c r="AA1471" s="36">
        <v>3.7939999999999996</v>
      </c>
      <c r="AB1471" s="54">
        <v>64.096199999999996</v>
      </c>
      <c r="AC1471" s="54">
        <v>7.5287599999999992</v>
      </c>
      <c r="AD1471" s="36">
        <v>85.366</v>
      </c>
    </row>
    <row r="1472" spans="1:30" s="37" customFormat="1" ht="15.75" customHeight="1" x14ac:dyDescent="0.2">
      <c r="A1472" s="26">
        <v>1042</v>
      </c>
      <c r="B1472" s="27" t="s">
        <v>2529</v>
      </c>
      <c r="C1472" s="27" t="s">
        <v>26</v>
      </c>
      <c r="D1472" s="28">
        <v>0</v>
      </c>
      <c r="E1472" s="29">
        <v>14.42</v>
      </c>
      <c r="F1472" s="29">
        <v>6.75</v>
      </c>
      <c r="G1472" s="30" t="s">
        <v>87</v>
      </c>
      <c r="H1472" s="27" t="s">
        <v>3095</v>
      </c>
      <c r="I1472" s="27" t="s">
        <v>49</v>
      </c>
      <c r="J1472" s="27" t="s">
        <v>95</v>
      </c>
      <c r="K1472" s="27" t="s">
        <v>144</v>
      </c>
      <c r="L1472" s="31" t="s">
        <v>409</v>
      </c>
      <c r="M1472" s="32">
        <v>0.52</v>
      </c>
      <c r="N1472" s="27" t="s">
        <v>33</v>
      </c>
      <c r="O1472" s="27" t="s">
        <v>60</v>
      </c>
      <c r="P1472" s="27" t="s">
        <v>90</v>
      </c>
      <c r="Q1472" s="27" t="s">
        <v>2530</v>
      </c>
      <c r="R1472" s="33">
        <v>95991</v>
      </c>
      <c r="S1472" s="34">
        <v>42140</v>
      </c>
      <c r="T1472" s="34">
        <v>42141</v>
      </c>
      <c r="U1472" s="29">
        <v>9.33</v>
      </c>
      <c r="V1472" s="26">
        <v>6</v>
      </c>
      <c r="W1472" s="29">
        <v>98.96</v>
      </c>
      <c r="X1472" s="26">
        <v>87847</v>
      </c>
      <c r="Y1472" s="35">
        <v>5.91</v>
      </c>
      <c r="Z1472" s="1" t="s">
        <v>3013</v>
      </c>
      <c r="AA1472" s="36">
        <v>0</v>
      </c>
      <c r="AB1472" s="54">
        <v>47.500799999999998</v>
      </c>
      <c r="AC1472" s="54">
        <v>8.5765333333333338</v>
      </c>
      <c r="AD1472" s="36">
        <v>82.88</v>
      </c>
    </row>
    <row r="1473" spans="1:30" s="37" customFormat="1" ht="15.75" customHeight="1" x14ac:dyDescent="0.2">
      <c r="A1473" s="26">
        <v>136</v>
      </c>
      <c r="B1473" s="27" t="s">
        <v>2527</v>
      </c>
      <c r="C1473" s="27" t="s">
        <v>26</v>
      </c>
      <c r="D1473" s="28">
        <v>0.09</v>
      </c>
      <c r="E1473" s="29">
        <v>10.98</v>
      </c>
      <c r="F1473" s="29">
        <v>3.37</v>
      </c>
      <c r="G1473" s="30" t="s">
        <v>39</v>
      </c>
      <c r="H1473" s="27" t="s">
        <v>3095</v>
      </c>
      <c r="I1473" s="27" t="s">
        <v>49</v>
      </c>
      <c r="J1473" s="27" t="s">
        <v>568</v>
      </c>
      <c r="K1473" s="27" t="s">
        <v>43</v>
      </c>
      <c r="L1473" s="31" t="s">
        <v>2129</v>
      </c>
      <c r="M1473" s="32">
        <v>0.56999999999999995</v>
      </c>
      <c r="N1473" s="27" t="s">
        <v>33</v>
      </c>
      <c r="O1473" s="27" t="s">
        <v>60</v>
      </c>
      <c r="P1473" s="27" t="s">
        <v>90</v>
      </c>
      <c r="Q1473" s="27" t="s">
        <v>2528</v>
      </c>
      <c r="R1473" s="33">
        <v>94952</v>
      </c>
      <c r="S1473" s="34">
        <v>42140</v>
      </c>
      <c r="T1473" s="34">
        <v>42141</v>
      </c>
      <c r="U1473" s="29">
        <v>2.706</v>
      </c>
      <c r="V1473" s="26">
        <v>8</v>
      </c>
      <c r="W1473" s="29">
        <v>84.52</v>
      </c>
      <c r="X1473" s="26">
        <v>88534</v>
      </c>
      <c r="Y1473" s="35">
        <v>35.92</v>
      </c>
      <c r="Z1473" s="1" t="s">
        <v>3013</v>
      </c>
      <c r="AA1473" s="36">
        <v>7.9055999999999997</v>
      </c>
      <c r="AB1473" s="54">
        <v>36.343600000000002</v>
      </c>
      <c r="AC1473" s="54">
        <v>6.0220499999999992</v>
      </c>
      <c r="AD1473" s="36">
        <v>70.538399999999996</v>
      </c>
    </row>
    <row r="1474" spans="1:30" s="37" customFormat="1" ht="15.75" customHeight="1" x14ac:dyDescent="0.2">
      <c r="A1474" s="26">
        <v>2610</v>
      </c>
      <c r="B1474" s="27" t="s">
        <v>2537</v>
      </c>
      <c r="C1474" s="27" t="s">
        <v>38</v>
      </c>
      <c r="D1474" s="28">
        <v>0.09</v>
      </c>
      <c r="E1474" s="29">
        <v>5.4</v>
      </c>
      <c r="F1474" s="29">
        <v>7.78</v>
      </c>
      <c r="G1474" s="30" t="s">
        <v>39</v>
      </c>
      <c r="H1474" s="27" t="s">
        <v>94</v>
      </c>
      <c r="I1474" s="27" t="s">
        <v>49</v>
      </c>
      <c r="J1474" s="27" t="s">
        <v>72</v>
      </c>
      <c r="K1474" s="27" t="s">
        <v>73</v>
      </c>
      <c r="L1474" s="31" t="s">
        <v>1484</v>
      </c>
      <c r="M1474" s="32">
        <v>0.37</v>
      </c>
      <c r="N1474" s="27" t="s">
        <v>33</v>
      </c>
      <c r="O1474" s="27" t="s">
        <v>60</v>
      </c>
      <c r="P1474" s="27" t="s">
        <v>90</v>
      </c>
      <c r="Q1474" s="27" t="s">
        <v>2295</v>
      </c>
      <c r="R1474" s="33">
        <v>95616</v>
      </c>
      <c r="S1474" s="34">
        <v>42140</v>
      </c>
      <c r="T1474" s="34">
        <v>42141</v>
      </c>
      <c r="U1474" s="29">
        <v>-136.25200000000001</v>
      </c>
      <c r="V1474" s="26">
        <v>9</v>
      </c>
      <c r="W1474" s="29">
        <v>49.24</v>
      </c>
      <c r="X1474" s="26">
        <v>86118</v>
      </c>
      <c r="Y1474" s="35">
        <v>65.91</v>
      </c>
      <c r="Z1474" s="1" t="s">
        <v>3013</v>
      </c>
      <c r="AA1474" s="36">
        <v>4.3739999999999997</v>
      </c>
      <c r="AB1474" s="54">
        <v>31.0212</v>
      </c>
      <c r="AC1474" s="54">
        <v>2.024311111111111</v>
      </c>
      <c r="AD1474" s="36">
        <v>173.33800000000002</v>
      </c>
    </row>
    <row r="1475" spans="1:30" s="37" customFormat="1" ht="15.75" customHeight="1" x14ac:dyDescent="0.2">
      <c r="A1475" s="26">
        <v>3354</v>
      </c>
      <c r="B1475" s="27" t="s">
        <v>1893</v>
      </c>
      <c r="C1475" s="27" t="s">
        <v>38</v>
      </c>
      <c r="D1475" s="28">
        <v>7.0000000000000007E-2</v>
      </c>
      <c r="E1475" s="29">
        <v>5.98</v>
      </c>
      <c r="F1475" s="29">
        <v>7.15</v>
      </c>
      <c r="G1475" s="30" t="s">
        <v>39</v>
      </c>
      <c r="H1475" s="27" t="s">
        <v>94</v>
      </c>
      <c r="I1475" s="27" t="s">
        <v>49</v>
      </c>
      <c r="J1475" s="27" t="s">
        <v>88</v>
      </c>
      <c r="K1475" s="27" t="s">
        <v>73</v>
      </c>
      <c r="L1475" s="31" t="s">
        <v>2538</v>
      </c>
      <c r="M1475" s="32">
        <v>0.36</v>
      </c>
      <c r="N1475" s="27" t="s">
        <v>33</v>
      </c>
      <c r="O1475" s="27" t="s">
        <v>60</v>
      </c>
      <c r="P1475" s="27" t="s">
        <v>90</v>
      </c>
      <c r="Q1475" s="27" t="s">
        <v>1895</v>
      </c>
      <c r="R1475" s="33">
        <v>92231</v>
      </c>
      <c r="S1475" s="34">
        <v>42140</v>
      </c>
      <c r="T1475" s="34">
        <v>42142</v>
      </c>
      <c r="U1475" s="29">
        <v>-62</v>
      </c>
      <c r="V1475" s="26">
        <v>6</v>
      </c>
      <c r="W1475" s="29">
        <v>37.049999999999997</v>
      </c>
      <c r="X1475" s="26">
        <v>88589</v>
      </c>
      <c r="Y1475" s="35">
        <v>7.2700000000000005</v>
      </c>
      <c r="Z1475" s="1" t="s">
        <v>3013</v>
      </c>
      <c r="AA1475" s="36">
        <v>2.5116000000000005</v>
      </c>
      <c r="AB1475" s="54">
        <v>23.712</v>
      </c>
      <c r="AC1475" s="54">
        <v>2.2229999999999999</v>
      </c>
      <c r="AD1475" s="36">
        <v>89.38839999999999</v>
      </c>
    </row>
    <row r="1476" spans="1:30" s="37" customFormat="1" ht="15.75" customHeight="1" x14ac:dyDescent="0.2">
      <c r="A1476" s="26">
        <v>1906</v>
      </c>
      <c r="B1476" s="27" t="s">
        <v>2547</v>
      </c>
      <c r="C1476" s="27" t="s">
        <v>48</v>
      </c>
      <c r="D1476" s="28">
        <v>7.0000000000000007E-2</v>
      </c>
      <c r="E1476" s="29">
        <v>172.99</v>
      </c>
      <c r="F1476" s="29">
        <v>19.989999999999998</v>
      </c>
      <c r="G1476" s="30" t="s">
        <v>39</v>
      </c>
      <c r="H1476" s="27" t="s">
        <v>94</v>
      </c>
      <c r="I1476" s="27" t="s">
        <v>49</v>
      </c>
      <c r="J1476" s="27" t="s">
        <v>72</v>
      </c>
      <c r="K1476" s="27" t="s">
        <v>73</v>
      </c>
      <c r="L1476" s="31" t="s">
        <v>2548</v>
      </c>
      <c r="M1476" s="32">
        <v>0.39</v>
      </c>
      <c r="N1476" s="27" t="s">
        <v>33</v>
      </c>
      <c r="O1476" s="27" t="s">
        <v>111</v>
      </c>
      <c r="P1476" s="27" t="s">
        <v>317</v>
      </c>
      <c r="Q1476" s="27" t="s">
        <v>2019</v>
      </c>
      <c r="R1476" s="33">
        <v>45801</v>
      </c>
      <c r="S1476" s="34">
        <v>42141</v>
      </c>
      <c r="T1476" s="34">
        <v>42141</v>
      </c>
      <c r="U1476" s="29">
        <v>2502.6851999999999</v>
      </c>
      <c r="V1476" s="26">
        <v>22</v>
      </c>
      <c r="W1476" s="29">
        <v>3627.08</v>
      </c>
      <c r="X1476" s="26">
        <v>86500</v>
      </c>
      <c r="Y1476" s="35">
        <v>19.77</v>
      </c>
      <c r="Z1476" s="1" t="s">
        <v>3014</v>
      </c>
      <c r="AA1476" s="36">
        <v>266.40460000000002</v>
      </c>
      <c r="AB1476" s="54">
        <v>2212.5187999999998</v>
      </c>
      <c r="AC1476" s="54">
        <v>64.298236363636363</v>
      </c>
      <c r="AD1476" s="36">
        <v>838.0002000000004</v>
      </c>
    </row>
    <row r="1477" spans="1:30" s="37" customFormat="1" ht="15.75" customHeight="1" x14ac:dyDescent="0.2">
      <c r="A1477" s="26">
        <v>3132</v>
      </c>
      <c r="B1477" s="27" t="s">
        <v>2552</v>
      </c>
      <c r="C1477" s="27" t="s">
        <v>116</v>
      </c>
      <c r="D1477" s="28">
        <v>0.04</v>
      </c>
      <c r="E1477" s="29">
        <v>62.05</v>
      </c>
      <c r="F1477" s="29">
        <v>3.99</v>
      </c>
      <c r="G1477" s="30" t="s">
        <v>39</v>
      </c>
      <c r="H1477" s="27" t="s">
        <v>94</v>
      </c>
      <c r="I1477" s="27" t="s">
        <v>49</v>
      </c>
      <c r="J1477" s="27" t="s">
        <v>95</v>
      </c>
      <c r="K1477" s="27" t="s">
        <v>73</v>
      </c>
      <c r="L1477" s="31" t="s">
        <v>2553</v>
      </c>
      <c r="M1477" s="32">
        <v>0.55000000000000004</v>
      </c>
      <c r="N1477" s="27" t="s">
        <v>33</v>
      </c>
      <c r="O1477" s="27" t="s">
        <v>53</v>
      </c>
      <c r="P1477" s="27" t="s">
        <v>103</v>
      </c>
      <c r="Q1477" s="27" t="s">
        <v>2554</v>
      </c>
      <c r="R1477" s="33">
        <v>60060</v>
      </c>
      <c r="S1477" s="34">
        <v>42141</v>
      </c>
      <c r="T1477" s="34">
        <v>42142</v>
      </c>
      <c r="U1477" s="29">
        <v>1644.0768</v>
      </c>
      <c r="V1477" s="26">
        <v>40</v>
      </c>
      <c r="W1477" s="29">
        <v>2382.7199999999998</v>
      </c>
      <c r="X1477" s="26">
        <v>86794</v>
      </c>
      <c r="Y1477" s="35">
        <v>8.27</v>
      </c>
      <c r="Z1477" s="1" t="s">
        <v>3012</v>
      </c>
      <c r="AA1477" s="36">
        <v>99.279999999999987</v>
      </c>
      <c r="AB1477" s="54">
        <v>1072.2239999999997</v>
      </c>
      <c r="AC1477" s="54">
        <v>32.7624</v>
      </c>
      <c r="AD1477" s="36">
        <v>635.37319999999977</v>
      </c>
    </row>
    <row r="1478" spans="1:30" s="37" customFormat="1" ht="15.75" customHeight="1" x14ac:dyDescent="0.2">
      <c r="A1478" s="26">
        <v>3113</v>
      </c>
      <c r="B1478" s="27" t="s">
        <v>2555</v>
      </c>
      <c r="C1478" s="27" t="s">
        <v>3094</v>
      </c>
      <c r="D1478" s="28">
        <v>7.0000000000000007E-2</v>
      </c>
      <c r="E1478" s="29">
        <v>34.54</v>
      </c>
      <c r="F1478" s="29">
        <v>14.72</v>
      </c>
      <c r="G1478" s="30" t="s">
        <v>39</v>
      </c>
      <c r="H1478" s="27" t="s">
        <v>94</v>
      </c>
      <c r="I1478" s="27" t="s">
        <v>49</v>
      </c>
      <c r="J1478" s="27" t="s">
        <v>72</v>
      </c>
      <c r="K1478" s="27" t="s">
        <v>73</v>
      </c>
      <c r="L1478" s="31" t="s">
        <v>2556</v>
      </c>
      <c r="M1478" s="32">
        <v>0.37</v>
      </c>
      <c r="N1478" s="27" t="s">
        <v>33</v>
      </c>
      <c r="O1478" s="27" t="s">
        <v>34</v>
      </c>
      <c r="P1478" s="27" t="s">
        <v>168</v>
      </c>
      <c r="Q1478" s="27" t="s">
        <v>2557</v>
      </c>
      <c r="R1478" s="33">
        <v>70560</v>
      </c>
      <c r="S1478" s="34">
        <v>42141</v>
      </c>
      <c r="T1478" s="34">
        <v>42142</v>
      </c>
      <c r="U1478" s="29">
        <v>-20.182259999999999</v>
      </c>
      <c r="V1478" s="26">
        <v>17</v>
      </c>
      <c r="W1478" s="29">
        <v>574.97</v>
      </c>
      <c r="X1478" s="26">
        <v>86860</v>
      </c>
      <c r="Y1478" s="35">
        <v>4.8900000000000006</v>
      </c>
      <c r="Z1478" s="1" t="s">
        <v>3011</v>
      </c>
      <c r="AA1478" s="36">
        <v>41.102600000000002</v>
      </c>
      <c r="AB1478" s="54">
        <v>362.23110000000003</v>
      </c>
      <c r="AC1478" s="54">
        <v>12.51405294117647</v>
      </c>
      <c r="AD1478" s="36">
        <v>539.32965999999999</v>
      </c>
    </row>
    <row r="1479" spans="1:30" s="37" customFormat="1" ht="15.75" customHeight="1" x14ac:dyDescent="0.2">
      <c r="A1479" s="26">
        <v>3113</v>
      </c>
      <c r="B1479" s="27" t="s">
        <v>2555</v>
      </c>
      <c r="C1479" s="27" t="s">
        <v>3094</v>
      </c>
      <c r="D1479" s="28">
        <v>0.06</v>
      </c>
      <c r="E1479" s="29">
        <v>34.58</v>
      </c>
      <c r="F1479" s="29">
        <v>8.99</v>
      </c>
      <c r="G1479" s="30" t="s">
        <v>87</v>
      </c>
      <c r="H1479" s="27" t="s">
        <v>94</v>
      </c>
      <c r="I1479" s="27" t="s">
        <v>49</v>
      </c>
      <c r="J1479" s="27" t="s">
        <v>50</v>
      </c>
      <c r="K1479" s="27" t="s">
        <v>43</v>
      </c>
      <c r="L1479" s="31" t="s">
        <v>2559</v>
      </c>
      <c r="M1479" s="32">
        <v>0.56000000000000005</v>
      </c>
      <c r="N1479" s="27" t="s">
        <v>33</v>
      </c>
      <c r="O1479" s="27" t="s">
        <v>34</v>
      </c>
      <c r="P1479" s="27" t="s">
        <v>168</v>
      </c>
      <c r="Q1479" s="27" t="s">
        <v>2557</v>
      </c>
      <c r="R1479" s="33">
        <v>70560</v>
      </c>
      <c r="S1479" s="34">
        <v>42141</v>
      </c>
      <c r="T1479" s="34">
        <v>42143</v>
      </c>
      <c r="U1479" s="29">
        <v>384.5043</v>
      </c>
      <c r="V1479" s="26">
        <v>13</v>
      </c>
      <c r="W1479" s="29">
        <v>456.58</v>
      </c>
      <c r="X1479" s="26">
        <v>86860</v>
      </c>
      <c r="Y1479" s="35">
        <v>4.04</v>
      </c>
      <c r="Z1479" s="1" t="s">
        <v>3011</v>
      </c>
      <c r="AA1479" s="36">
        <v>26.972399999999997</v>
      </c>
      <c r="AB1479" s="54">
        <v>200.89519999999996</v>
      </c>
      <c r="AC1479" s="54">
        <v>19.66806153846154</v>
      </c>
      <c r="AD1479" s="36">
        <v>36.113299999999981</v>
      </c>
    </row>
    <row r="1480" spans="1:30" s="37" customFormat="1" ht="15.75" customHeight="1" x14ac:dyDescent="0.2">
      <c r="A1480" s="26">
        <v>772</v>
      </c>
      <c r="B1480" s="27" t="s">
        <v>476</v>
      </c>
      <c r="C1480" s="27" t="s">
        <v>48</v>
      </c>
      <c r="D1480" s="28">
        <v>7.0000000000000007E-2</v>
      </c>
      <c r="E1480" s="29">
        <v>9.49</v>
      </c>
      <c r="F1480" s="29">
        <v>5.76</v>
      </c>
      <c r="G1480" s="30" t="s">
        <v>39</v>
      </c>
      <c r="H1480" s="27" t="s">
        <v>3095</v>
      </c>
      <c r="I1480" s="27" t="s">
        <v>41</v>
      </c>
      <c r="J1480" s="27" t="s">
        <v>57</v>
      </c>
      <c r="K1480" s="27" t="s">
        <v>144</v>
      </c>
      <c r="L1480" s="31" t="s">
        <v>2546</v>
      </c>
      <c r="M1480" s="32">
        <v>0.39</v>
      </c>
      <c r="N1480" s="27" t="s">
        <v>33</v>
      </c>
      <c r="O1480" s="27" t="s">
        <v>111</v>
      </c>
      <c r="P1480" s="27" t="s">
        <v>320</v>
      </c>
      <c r="Q1480" s="27" t="s">
        <v>478</v>
      </c>
      <c r="R1480" s="33">
        <v>18103</v>
      </c>
      <c r="S1480" s="34">
        <v>42141</v>
      </c>
      <c r="T1480" s="34">
        <v>42145</v>
      </c>
      <c r="U1480" s="29">
        <v>7.71516</v>
      </c>
      <c r="V1480" s="26">
        <v>37</v>
      </c>
      <c r="W1480" s="29">
        <v>344.57</v>
      </c>
      <c r="X1480" s="26">
        <v>88668</v>
      </c>
      <c r="Y1480" s="35">
        <v>9.42</v>
      </c>
      <c r="Z1480" s="1" t="s">
        <v>3014</v>
      </c>
      <c r="AA1480" s="36">
        <v>24.579100000000004</v>
      </c>
      <c r="AB1480" s="54">
        <v>210.18769999999998</v>
      </c>
      <c r="AC1480" s="54">
        <v>3.6319540540540545</v>
      </c>
      <c r="AD1480" s="36">
        <v>306.51573999999999</v>
      </c>
    </row>
    <row r="1481" spans="1:30" s="37" customFormat="1" ht="15.75" customHeight="1" x14ac:dyDescent="0.2">
      <c r="A1481" s="26">
        <v>91</v>
      </c>
      <c r="B1481" s="27" t="s">
        <v>1246</v>
      </c>
      <c r="C1481" s="27" t="s">
        <v>38</v>
      </c>
      <c r="D1481" s="28">
        <v>7.0000000000000007E-2</v>
      </c>
      <c r="E1481" s="29">
        <v>19.84</v>
      </c>
      <c r="F1481" s="29">
        <v>4.0999999999999996</v>
      </c>
      <c r="G1481" s="30" t="s">
        <v>39</v>
      </c>
      <c r="H1481" s="27" t="s">
        <v>71</v>
      </c>
      <c r="I1481" s="27" t="s">
        <v>49</v>
      </c>
      <c r="J1481" s="27" t="s">
        <v>50</v>
      </c>
      <c r="K1481" s="27" t="s">
        <v>51</v>
      </c>
      <c r="L1481" s="31" t="s">
        <v>2542</v>
      </c>
      <c r="M1481" s="32">
        <v>0.44</v>
      </c>
      <c r="N1481" s="27" t="s">
        <v>33</v>
      </c>
      <c r="O1481" s="27" t="s">
        <v>60</v>
      </c>
      <c r="P1481" s="27" t="s">
        <v>90</v>
      </c>
      <c r="Q1481" s="27" t="s">
        <v>1247</v>
      </c>
      <c r="R1481" s="33">
        <v>94591</v>
      </c>
      <c r="S1481" s="34">
        <v>42141</v>
      </c>
      <c r="T1481" s="34">
        <v>42142</v>
      </c>
      <c r="U1481" s="29">
        <v>117.852</v>
      </c>
      <c r="V1481" s="26">
        <v>9</v>
      </c>
      <c r="W1481" s="29">
        <v>170.8</v>
      </c>
      <c r="X1481" s="26">
        <v>87175</v>
      </c>
      <c r="Y1481" s="35">
        <v>172.92000000000002</v>
      </c>
      <c r="Z1481" s="1" t="s">
        <v>3013</v>
      </c>
      <c r="AA1481" s="36">
        <v>12.4992</v>
      </c>
      <c r="AB1481" s="54">
        <v>95.64800000000001</v>
      </c>
      <c r="AC1481" s="54">
        <v>8.3502222222222215</v>
      </c>
      <c r="AD1481" s="36">
        <v>36.348800000000011</v>
      </c>
    </row>
    <row r="1482" spans="1:30" s="37" customFormat="1" ht="15.75" customHeight="1" x14ac:dyDescent="0.2">
      <c r="A1482" s="26">
        <v>92</v>
      </c>
      <c r="B1482" s="27" t="s">
        <v>2543</v>
      </c>
      <c r="C1482" s="27" t="s">
        <v>38</v>
      </c>
      <c r="D1482" s="28">
        <v>7.0000000000000007E-2</v>
      </c>
      <c r="E1482" s="29">
        <v>8.34</v>
      </c>
      <c r="F1482" s="29">
        <v>1.43</v>
      </c>
      <c r="G1482" s="30" t="s">
        <v>39</v>
      </c>
      <c r="H1482" s="27" t="s">
        <v>71</v>
      </c>
      <c r="I1482" s="27" t="s">
        <v>49</v>
      </c>
      <c r="J1482" s="27" t="s">
        <v>88</v>
      </c>
      <c r="K1482" s="27" t="s">
        <v>51</v>
      </c>
      <c r="L1482" s="31" t="s">
        <v>2544</v>
      </c>
      <c r="M1482" s="32">
        <v>0.35</v>
      </c>
      <c r="N1482" s="27" t="s">
        <v>33</v>
      </c>
      <c r="O1482" s="27" t="s">
        <v>34</v>
      </c>
      <c r="P1482" s="27" t="s">
        <v>168</v>
      </c>
      <c r="Q1482" s="27" t="s">
        <v>2545</v>
      </c>
      <c r="R1482" s="33">
        <v>70056</v>
      </c>
      <c r="S1482" s="34">
        <v>42141</v>
      </c>
      <c r="T1482" s="34">
        <v>42143</v>
      </c>
      <c r="U1482" s="29">
        <v>-190.68</v>
      </c>
      <c r="V1482" s="26">
        <v>16</v>
      </c>
      <c r="W1482" s="29">
        <v>132.08000000000001</v>
      </c>
      <c r="X1482" s="26">
        <v>87175</v>
      </c>
      <c r="Y1482" s="35">
        <v>7.55</v>
      </c>
      <c r="Z1482" s="1" t="s">
        <v>3011</v>
      </c>
      <c r="AA1482" s="36">
        <v>9.3408000000000015</v>
      </c>
      <c r="AB1482" s="54">
        <v>85.852000000000018</v>
      </c>
      <c r="AC1482" s="54">
        <v>2.8892500000000001</v>
      </c>
      <c r="AD1482" s="36">
        <v>311.98919999999998</v>
      </c>
    </row>
    <row r="1483" spans="1:30" s="37" customFormat="1" ht="15.75" customHeight="1" x14ac:dyDescent="0.2">
      <c r="A1483" s="26">
        <v>3113</v>
      </c>
      <c r="B1483" s="27" t="s">
        <v>2555</v>
      </c>
      <c r="C1483" s="27" t="s">
        <v>3094</v>
      </c>
      <c r="D1483" s="28">
        <v>0.02</v>
      </c>
      <c r="E1483" s="29">
        <v>12.28</v>
      </c>
      <c r="F1483" s="29">
        <v>6.47</v>
      </c>
      <c r="G1483" s="30" t="s">
        <v>39</v>
      </c>
      <c r="H1483" s="27" t="s">
        <v>94</v>
      </c>
      <c r="I1483" s="27" t="s">
        <v>49</v>
      </c>
      <c r="J1483" s="27" t="s">
        <v>88</v>
      </c>
      <c r="K1483" s="27" t="s">
        <v>73</v>
      </c>
      <c r="L1483" s="31" t="s">
        <v>2558</v>
      </c>
      <c r="M1483" s="32">
        <v>0.38</v>
      </c>
      <c r="N1483" s="27" t="s">
        <v>33</v>
      </c>
      <c r="O1483" s="27" t="s">
        <v>34</v>
      </c>
      <c r="P1483" s="27" t="s">
        <v>168</v>
      </c>
      <c r="Q1483" s="27" t="s">
        <v>2557</v>
      </c>
      <c r="R1483" s="33">
        <v>70560</v>
      </c>
      <c r="S1483" s="34">
        <v>42141</v>
      </c>
      <c r="T1483" s="34">
        <v>42141</v>
      </c>
      <c r="U1483" s="29">
        <v>-156.97219999999999</v>
      </c>
      <c r="V1483" s="26">
        <v>9</v>
      </c>
      <c r="W1483" s="29">
        <v>115.22</v>
      </c>
      <c r="X1483" s="26">
        <v>86860</v>
      </c>
      <c r="Y1483" s="35">
        <v>2.88</v>
      </c>
      <c r="Z1483" s="1" t="s">
        <v>3011</v>
      </c>
      <c r="AA1483" s="36">
        <v>2.2103999999999999</v>
      </c>
      <c r="AB1483" s="54">
        <v>71.436399999999992</v>
      </c>
      <c r="AC1483" s="54">
        <v>4.8648444444444445</v>
      </c>
      <c r="AD1483" s="36">
        <v>263.51179999999999</v>
      </c>
    </row>
    <row r="1484" spans="1:30" s="37" customFormat="1" ht="15.75" customHeight="1" x14ac:dyDescent="0.2">
      <c r="A1484" s="26">
        <v>772</v>
      </c>
      <c r="B1484" s="27" t="s">
        <v>476</v>
      </c>
      <c r="C1484" s="27" t="s">
        <v>48</v>
      </c>
      <c r="D1484" s="28">
        <v>0.02</v>
      </c>
      <c r="E1484" s="29">
        <v>4.0599999999999996</v>
      </c>
      <c r="F1484" s="29">
        <v>6.89</v>
      </c>
      <c r="G1484" s="30" t="s">
        <v>87</v>
      </c>
      <c r="H1484" s="27" t="s">
        <v>3095</v>
      </c>
      <c r="I1484" s="27" t="s">
        <v>49</v>
      </c>
      <c r="J1484" s="27" t="s">
        <v>95</v>
      </c>
      <c r="K1484" s="27" t="s">
        <v>73</v>
      </c>
      <c r="L1484" s="31" t="s">
        <v>1271</v>
      </c>
      <c r="M1484" s="32">
        <v>0.6</v>
      </c>
      <c r="N1484" s="27" t="s">
        <v>33</v>
      </c>
      <c r="O1484" s="27" t="s">
        <v>111</v>
      </c>
      <c r="P1484" s="27" t="s">
        <v>320</v>
      </c>
      <c r="Q1484" s="27" t="s">
        <v>478</v>
      </c>
      <c r="R1484" s="33">
        <v>18103</v>
      </c>
      <c r="S1484" s="34">
        <v>42141</v>
      </c>
      <c r="T1484" s="34">
        <v>42145</v>
      </c>
      <c r="U1484" s="29">
        <v>12.706</v>
      </c>
      <c r="V1484" s="26">
        <v>12</v>
      </c>
      <c r="W1484" s="29">
        <v>64.41</v>
      </c>
      <c r="X1484" s="26">
        <v>88668</v>
      </c>
      <c r="Y1484" s="35">
        <v>62.01</v>
      </c>
      <c r="Z1484" s="1" t="s">
        <v>3014</v>
      </c>
      <c r="AA1484" s="36">
        <v>0.97439999999999993</v>
      </c>
      <c r="AB1484" s="54">
        <v>25.763999999999999</v>
      </c>
      <c r="AC1484" s="54">
        <v>3.2204999999999999</v>
      </c>
      <c r="AD1484" s="36">
        <v>43.839599999999997</v>
      </c>
    </row>
    <row r="1485" spans="1:30" s="37" customFormat="1" ht="15.75" customHeight="1" x14ac:dyDescent="0.2">
      <c r="A1485" s="26">
        <v>92</v>
      </c>
      <c r="B1485" s="27" t="s">
        <v>2543</v>
      </c>
      <c r="C1485" s="27" t="s">
        <v>38</v>
      </c>
      <c r="D1485" s="28">
        <v>0.09</v>
      </c>
      <c r="E1485" s="29">
        <v>4.9800000000000004</v>
      </c>
      <c r="F1485" s="29">
        <v>6.07</v>
      </c>
      <c r="G1485" s="30" t="s">
        <v>39</v>
      </c>
      <c r="H1485" s="27" t="s">
        <v>71</v>
      </c>
      <c r="I1485" s="27" t="s">
        <v>49</v>
      </c>
      <c r="J1485" s="27" t="s">
        <v>88</v>
      </c>
      <c r="K1485" s="27" t="s">
        <v>73</v>
      </c>
      <c r="L1485" s="31" t="s">
        <v>787</v>
      </c>
      <c r="M1485" s="32">
        <v>0.36</v>
      </c>
      <c r="N1485" s="27" t="s">
        <v>33</v>
      </c>
      <c r="O1485" s="27" t="s">
        <v>34</v>
      </c>
      <c r="P1485" s="27" t="s">
        <v>168</v>
      </c>
      <c r="Q1485" s="27" t="s">
        <v>2545</v>
      </c>
      <c r="R1485" s="33">
        <v>70056</v>
      </c>
      <c r="S1485" s="34">
        <v>42141</v>
      </c>
      <c r="T1485" s="34">
        <v>42142</v>
      </c>
      <c r="U1485" s="29">
        <v>325.39800000000002</v>
      </c>
      <c r="V1485" s="26">
        <v>9</v>
      </c>
      <c r="W1485" s="29">
        <v>45.34</v>
      </c>
      <c r="X1485" s="26">
        <v>87175</v>
      </c>
      <c r="Y1485" s="35">
        <v>34.47</v>
      </c>
      <c r="Z1485" s="1" t="s">
        <v>3011</v>
      </c>
      <c r="AA1485" s="36">
        <v>4.0338000000000003</v>
      </c>
      <c r="AB1485" s="54">
        <v>29.017600000000002</v>
      </c>
      <c r="AC1485" s="54">
        <v>1.8136000000000001</v>
      </c>
      <c r="AD1485" s="36">
        <v>-290.16179999999997</v>
      </c>
    </row>
    <row r="1486" spans="1:30" s="37" customFormat="1" ht="15.75" customHeight="1" x14ac:dyDescent="0.2">
      <c r="A1486" s="26">
        <v>2858</v>
      </c>
      <c r="B1486" s="27" t="s">
        <v>2551</v>
      </c>
      <c r="C1486" s="27" t="s">
        <v>116</v>
      </c>
      <c r="D1486" s="28">
        <v>0.06</v>
      </c>
      <c r="E1486" s="29">
        <v>2.94</v>
      </c>
      <c r="F1486" s="29">
        <v>0.96</v>
      </c>
      <c r="G1486" s="30" t="s">
        <v>39</v>
      </c>
      <c r="H1486" s="27" t="s">
        <v>94</v>
      </c>
      <c r="I1486" s="27" t="s">
        <v>49</v>
      </c>
      <c r="J1486" s="27" t="s">
        <v>50</v>
      </c>
      <c r="K1486" s="27" t="s">
        <v>51</v>
      </c>
      <c r="L1486" s="31" t="s">
        <v>829</v>
      </c>
      <c r="M1486" s="32">
        <v>0.57999999999999996</v>
      </c>
      <c r="N1486" s="27" t="s">
        <v>33</v>
      </c>
      <c r="O1486" s="27" t="s">
        <v>34</v>
      </c>
      <c r="P1486" s="27" t="s">
        <v>123</v>
      </c>
      <c r="Q1486" s="27" t="s">
        <v>1363</v>
      </c>
      <c r="R1486" s="33">
        <v>32259</v>
      </c>
      <c r="S1486" s="34">
        <v>42141</v>
      </c>
      <c r="T1486" s="34">
        <v>42142</v>
      </c>
      <c r="U1486" s="29">
        <v>-8.8759999999999994</v>
      </c>
      <c r="V1486" s="26">
        <v>3</v>
      </c>
      <c r="W1486" s="29">
        <v>8.7899999999999991</v>
      </c>
      <c r="X1486" s="26">
        <v>88279</v>
      </c>
      <c r="Y1486" s="35">
        <v>12.26</v>
      </c>
      <c r="Z1486" s="1" t="s">
        <v>3011</v>
      </c>
      <c r="AA1486" s="36">
        <v>0.5292</v>
      </c>
      <c r="AB1486" s="54">
        <v>3.6918000000000002</v>
      </c>
      <c r="AC1486" s="54">
        <v>1.6993999999999998</v>
      </c>
      <c r="AD1486" s="36">
        <v>16.1768</v>
      </c>
    </row>
    <row r="1487" spans="1:30" s="37" customFormat="1" ht="15.75" customHeight="1" x14ac:dyDescent="0.2">
      <c r="A1487" s="26">
        <v>1907</v>
      </c>
      <c r="B1487" s="27" t="s">
        <v>2549</v>
      </c>
      <c r="C1487" s="27" t="s">
        <v>48</v>
      </c>
      <c r="D1487" s="28">
        <v>0.09</v>
      </c>
      <c r="E1487" s="29">
        <v>7.64</v>
      </c>
      <c r="F1487" s="29">
        <v>1.39</v>
      </c>
      <c r="G1487" s="30" t="s">
        <v>39</v>
      </c>
      <c r="H1487" s="27" t="s">
        <v>94</v>
      </c>
      <c r="I1487" s="27" t="s">
        <v>49</v>
      </c>
      <c r="J1487" s="27" t="s">
        <v>345</v>
      </c>
      <c r="K1487" s="27" t="s">
        <v>73</v>
      </c>
      <c r="L1487" s="31" t="s">
        <v>1558</v>
      </c>
      <c r="M1487" s="32">
        <v>0.36</v>
      </c>
      <c r="N1487" s="27" t="s">
        <v>33</v>
      </c>
      <c r="O1487" s="27" t="s">
        <v>111</v>
      </c>
      <c r="P1487" s="27" t="s">
        <v>317</v>
      </c>
      <c r="Q1487" s="27" t="s">
        <v>2550</v>
      </c>
      <c r="R1487" s="33">
        <v>44052</v>
      </c>
      <c r="S1487" s="34">
        <v>42141</v>
      </c>
      <c r="T1487" s="34">
        <v>42150</v>
      </c>
      <c r="U1487" s="29">
        <v>0.68799999999999994</v>
      </c>
      <c r="V1487" s="26">
        <v>1</v>
      </c>
      <c r="W1487" s="29">
        <v>8.34</v>
      </c>
      <c r="X1487" s="26">
        <v>86500</v>
      </c>
      <c r="Y1487" s="35">
        <v>34.519999999999996</v>
      </c>
      <c r="Z1487" s="1" t="s">
        <v>3014</v>
      </c>
      <c r="AA1487" s="36">
        <v>0.68759999999999999</v>
      </c>
      <c r="AB1487" s="54">
        <v>5.3376000000000001</v>
      </c>
      <c r="AC1487" s="54">
        <v>3.0023999999999997</v>
      </c>
      <c r="AD1487" s="36">
        <v>5.5743999999999998</v>
      </c>
    </row>
    <row r="1488" spans="1:30" s="37" customFormat="1" ht="15.75" customHeight="1" x14ac:dyDescent="0.2">
      <c r="A1488" s="26">
        <v>266</v>
      </c>
      <c r="B1488" s="27" t="s">
        <v>2522</v>
      </c>
      <c r="C1488" s="27" t="s">
        <v>3094</v>
      </c>
      <c r="D1488" s="28">
        <v>0</v>
      </c>
      <c r="E1488" s="29">
        <v>73.98</v>
      </c>
      <c r="F1488" s="29">
        <v>12.14</v>
      </c>
      <c r="G1488" s="30" t="s">
        <v>87</v>
      </c>
      <c r="H1488" s="27" t="s">
        <v>94</v>
      </c>
      <c r="I1488" s="27" t="s">
        <v>41</v>
      </c>
      <c r="J1488" s="27" t="s">
        <v>42</v>
      </c>
      <c r="K1488" s="27" t="s">
        <v>73</v>
      </c>
      <c r="L1488" s="31" t="s">
        <v>733</v>
      </c>
      <c r="M1488" s="32">
        <v>0.67</v>
      </c>
      <c r="N1488" s="27" t="s">
        <v>33</v>
      </c>
      <c r="O1488" s="27" t="s">
        <v>53</v>
      </c>
      <c r="P1488" s="27" t="s">
        <v>187</v>
      </c>
      <c r="Q1488" s="27" t="s">
        <v>2524</v>
      </c>
      <c r="R1488" s="33">
        <v>78207</v>
      </c>
      <c r="S1488" s="34">
        <v>42142</v>
      </c>
      <c r="T1488" s="34">
        <v>42144</v>
      </c>
      <c r="U1488" s="29">
        <v>326.25</v>
      </c>
      <c r="V1488" s="26">
        <v>17</v>
      </c>
      <c r="W1488" s="29">
        <v>1300.81</v>
      </c>
      <c r="X1488" s="26">
        <v>90593</v>
      </c>
      <c r="Y1488" s="35">
        <v>1.7899999999999998</v>
      </c>
      <c r="Z1488" s="1" t="s">
        <v>3012</v>
      </c>
      <c r="AA1488" s="36">
        <v>0</v>
      </c>
      <c r="AB1488" s="54">
        <v>429.26729999999992</v>
      </c>
      <c r="AC1488" s="54">
        <v>51.267217647058828</v>
      </c>
      <c r="AD1488" s="36">
        <v>962.42</v>
      </c>
    </row>
    <row r="1489" spans="1:30" s="37" customFormat="1" ht="15.75" customHeight="1" x14ac:dyDescent="0.2">
      <c r="A1489" s="26">
        <v>489</v>
      </c>
      <c r="B1489" s="27" t="s">
        <v>2567</v>
      </c>
      <c r="C1489" s="27" t="s">
        <v>116</v>
      </c>
      <c r="D1489" s="28">
        <v>0.09</v>
      </c>
      <c r="E1489" s="29">
        <v>20.99</v>
      </c>
      <c r="F1489" s="29">
        <v>0.99</v>
      </c>
      <c r="G1489" s="30" t="s">
        <v>39</v>
      </c>
      <c r="H1489" s="27" t="s">
        <v>94</v>
      </c>
      <c r="I1489" s="27" t="s">
        <v>41</v>
      </c>
      <c r="J1489" s="27" t="s">
        <v>135</v>
      </c>
      <c r="K1489" s="27" t="s">
        <v>51</v>
      </c>
      <c r="L1489" s="31" t="s">
        <v>2331</v>
      </c>
      <c r="M1489" s="32">
        <v>0.56999999999999995</v>
      </c>
      <c r="N1489" s="27" t="s">
        <v>33</v>
      </c>
      <c r="O1489" s="27" t="s">
        <v>111</v>
      </c>
      <c r="P1489" s="27" t="s">
        <v>403</v>
      </c>
      <c r="Q1489" s="27" t="s">
        <v>2568</v>
      </c>
      <c r="R1489" s="33">
        <v>2062</v>
      </c>
      <c r="S1489" s="34">
        <v>42142</v>
      </c>
      <c r="T1489" s="34">
        <v>42142</v>
      </c>
      <c r="U1489" s="29">
        <v>122.292</v>
      </c>
      <c r="V1489" s="26">
        <v>14</v>
      </c>
      <c r="W1489" s="29">
        <v>229.57</v>
      </c>
      <c r="X1489" s="26">
        <v>91063</v>
      </c>
      <c r="Y1489" s="35">
        <v>10.940000000000001</v>
      </c>
      <c r="Z1489" s="1" t="s">
        <v>3014</v>
      </c>
      <c r="AA1489" s="36">
        <v>26.447399999999998</v>
      </c>
      <c r="AB1489" s="54">
        <v>98.715100000000007</v>
      </c>
      <c r="AC1489" s="54">
        <v>9.3467785714285689</v>
      </c>
      <c r="AD1489" s="36">
        <v>79.840599999999995</v>
      </c>
    </row>
    <row r="1490" spans="1:30" s="37" customFormat="1" ht="15.75" customHeight="1" x14ac:dyDescent="0.2">
      <c r="A1490" s="26">
        <v>1554</v>
      </c>
      <c r="B1490" s="27" t="s">
        <v>1148</v>
      </c>
      <c r="C1490" s="27" t="s">
        <v>38</v>
      </c>
      <c r="D1490" s="28">
        <v>0.04</v>
      </c>
      <c r="E1490" s="29">
        <v>10.98</v>
      </c>
      <c r="F1490" s="29">
        <v>3.99</v>
      </c>
      <c r="G1490" s="30" t="s">
        <v>39</v>
      </c>
      <c r="H1490" s="27" t="s">
        <v>3095</v>
      </c>
      <c r="I1490" s="27" t="s">
        <v>49</v>
      </c>
      <c r="J1490" s="27" t="s">
        <v>95</v>
      </c>
      <c r="K1490" s="27" t="s">
        <v>73</v>
      </c>
      <c r="L1490" s="31" t="s">
        <v>1693</v>
      </c>
      <c r="M1490" s="32">
        <v>0.57999999999999996</v>
      </c>
      <c r="N1490" s="27" t="s">
        <v>33</v>
      </c>
      <c r="O1490" s="27" t="s">
        <v>34</v>
      </c>
      <c r="P1490" s="27" t="s">
        <v>35</v>
      </c>
      <c r="Q1490" s="27" t="s">
        <v>1150</v>
      </c>
      <c r="R1490" s="33">
        <v>39503</v>
      </c>
      <c r="S1490" s="34">
        <v>42142</v>
      </c>
      <c r="T1490" s="34">
        <v>42142</v>
      </c>
      <c r="U1490" s="29">
        <v>481.03199999999998</v>
      </c>
      <c r="V1490" s="26">
        <v>15</v>
      </c>
      <c r="W1490" s="29">
        <v>172.22</v>
      </c>
      <c r="X1490" s="26">
        <v>87485</v>
      </c>
      <c r="Y1490" s="35">
        <v>39.940000000000005</v>
      </c>
      <c r="Z1490" s="1" t="s">
        <v>3011</v>
      </c>
      <c r="AA1490" s="36">
        <v>6.588000000000001</v>
      </c>
      <c r="AB1490" s="54">
        <v>72.332400000000007</v>
      </c>
      <c r="AC1490" s="54">
        <v>6.6591733333333334</v>
      </c>
      <c r="AD1490" s="36">
        <v>-319.39</v>
      </c>
    </row>
    <row r="1491" spans="1:30" s="37" customFormat="1" ht="15.75" customHeight="1" x14ac:dyDescent="0.2">
      <c r="A1491" s="26">
        <v>3086</v>
      </c>
      <c r="B1491" s="27" t="s">
        <v>2562</v>
      </c>
      <c r="C1491" s="27" t="s">
        <v>38</v>
      </c>
      <c r="D1491" s="28">
        <v>0.05</v>
      </c>
      <c r="E1491" s="29">
        <v>39.99</v>
      </c>
      <c r="F1491" s="29">
        <v>10.25</v>
      </c>
      <c r="G1491" s="30" t="s">
        <v>87</v>
      </c>
      <c r="H1491" s="27" t="s">
        <v>40</v>
      </c>
      <c r="I1491" s="27" t="s">
        <v>41</v>
      </c>
      <c r="J1491" s="27" t="s">
        <v>42</v>
      </c>
      <c r="K1491" s="27" t="s">
        <v>73</v>
      </c>
      <c r="L1491" s="31" t="s">
        <v>2563</v>
      </c>
      <c r="M1491" s="32">
        <v>0.55000000000000004</v>
      </c>
      <c r="N1491" s="27" t="s">
        <v>33</v>
      </c>
      <c r="O1491" s="27" t="s">
        <v>34</v>
      </c>
      <c r="P1491" s="27" t="s">
        <v>123</v>
      </c>
      <c r="Q1491" s="27" t="s">
        <v>2564</v>
      </c>
      <c r="R1491" s="33">
        <v>34287</v>
      </c>
      <c r="S1491" s="34">
        <v>42142</v>
      </c>
      <c r="T1491" s="34">
        <v>42143</v>
      </c>
      <c r="U1491" s="29">
        <v>4.29</v>
      </c>
      <c r="V1491" s="26">
        <v>3</v>
      </c>
      <c r="W1491" s="29">
        <v>130.91</v>
      </c>
      <c r="X1491" s="26">
        <v>88380</v>
      </c>
      <c r="Y1491" s="35">
        <v>3.26</v>
      </c>
      <c r="Z1491" s="1" t="s">
        <v>3011</v>
      </c>
      <c r="AA1491" s="36">
        <v>5.9985000000000008</v>
      </c>
      <c r="AB1491" s="54">
        <v>58.909499999999994</v>
      </c>
      <c r="AC1491" s="54">
        <v>24.000166666666665</v>
      </c>
      <c r="AD1491" s="36">
        <v>110.3715</v>
      </c>
    </row>
    <row r="1492" spans="1:30" s="37" customFormat="1" ht="15.75" customHeight="1" x14ac:dyDescent="0.2">
      <c r="A1492" s="26">
        <v>2035</v>
      </c>
      <c r="B1492" s="27" t="s">
        <v>2560</v>
      </c>
      <c r="C1492" s="27" t="s">
        <v>26</v>
      </c>
      <c r="D1492" s="28">
        <v>0.1</v>
      </c>
      <c r="E1492" s="29">
        <v>1.89</v>
      </c>
      <c r="F1492" s="29">
        <v>0.76</v>
      </c>
      <c r="G1492" s="30" t="s">
        <v>39</v>
      </c>
      <c r="H1492" s="27" t="s">
        <v>40</v>
      </c>
      <c r="I1492" s="27" t="s">
        <v>49</v>
      </c>
      <c r="J1492" s="27" t="s">
        <v>176</v>
      </c>
      <c r="K1492" s="27" t="s">
        <v>51</v>
      </c>
      <c r="L1492" s="31" t="s">
        <v>2561</v>
      </c>
      <c r="M1492" s="32">
        <v>0.83</v>
      </c>
      <c r="N1492" s="27" t="s">
        <v>33</v>
      </c>
      <c r="O1492" s="27" t="s">
        <v>34</v>
      </c>
      <c r="P1492" s="27" t="s">
        <v>123</v>
      </c>
      <c r="Q1492" s="27" t="s">
        <v>604</v>
      </c>
      <c r="R1492" s="33">
        <v>33403</v>
      </c>
      <c r="S1492" s="34">
        <v>42142</v>
      </c>
      <c r="T1492" s="34">
        <v>42144</v>
      </c>
      <c r="U1492" s="29">
        <v>-40.432000000000002</v>
      </c>
      <c r="V1492" s="26">
        <v>20</v>
      </c>
      <c r="W1492" s="29">
        <v>36.72</v>
      </c>
      <c r="X1492" s="26">
        <v>87117</v>
      </c>
      <c r="Y1492" s="35">
        <v>12.209999999999999</v>
      </c>
      <c r="Z1492" s="1" t="s">
        <v>3011</v>
      </c>
      <c r="AA1492" s="36">
        <v>3.7800000000000002</v>
      </c>
      <c r="AB1492" s="54">
        <v>6.2424000000000008</v>
      </c>
      <c r="AC1492" s="54">
        <v>1.5238799999999999</v>
      </c>
      <c r="AD1492" s="36">
        <v>72.611999999999995</v>
      </c>
    </row>
    <row r="1493" spans="1:30" s="37" customFormat="1" ht="15.75" customHeight="1" x14ac:dyDescent="0.2">
      <c r="A1493" s="26">
        <v>488</v>
      </c>
      <c r="B1493" s="27" t="s">
        <v>2566</v>
      </c>
      <c r="C1493" s="27" t="s">
        <v>116</v>
      </c>
      <c r="D1493" s="28">
        <v>7.0000000000000007E-2</v>
      </c>
      <c r="E1493" s="29">
        <v>12.28</v>
      </c>
      <c r="F1493" s="29">
        <v>4.8600000000000003</v>
      </c>
      <c r="G1493" s="30" t="s">
        <v>39</v>
      </c>
      <c r="H1493" s="27" t="s">
        <v>94</v>
      </c>
      <c r="I1493" s="27" t="s">
        <v>49</v>
      </c>
      <c r="J1493" s="27" t="s">
        <v>88</v>
      </c>
      <c r="K1493" s="27" t="s">
        <v>73</v>
      </c>
      <c r="L1493" s="31" t="s">
        <v>1860</v>
      </c>
      <c r="M1493" s="32">
        <v>0.38</v>
      </c>
      <c r="N1493" s="27" t="s">
        <v>33</v>
      </c>
      <c r="O1493" s="27" t="s">
        <v>111</v>
      </c>
      <c r="P1493" s="27" t="s">
        <v>331</v>
      </c>
      <c r="Q1493" s="27" t="s">
        <v>2427</v>
      </c>
      <c r="R1493" s="33">
        <v>4106</v>
      </c>
      <c r="S1493" s="34">
        <v>42142</v>
      </c>
      <c r="T1493" s="34">
        <v>42144</v>
      </c>
      <c r="U1493" s="29">
        <v>-7.94</v>
      </c>
      <c r="V1493" s="26">
        <v>2</v>
      </c>
      <c r="W1493" s="29">
        <v>25.7</v>
      </c>
      <c r="X1493" s="26">
        <v>91063</v>
      </c>
      <c r="Y1493" s="35">
        <v>20.9</v>
      </c>
      <c r="Z1493" s="1" t="s">
        <v>3014</v>
      </c>
      <c r="AA1493" s="36">
        <v>1.7192000000000001</v>
      </c>
      <c r="AB1493" s="54">
        <v>15.933999999999999</v>
      </c>
      <c r="AC1493" s="54">
        <v>4.883</v>
      </c>
      <c r="AD1493" s="36">
        <v>27.0608</v>
      </c>
    </row>
    <row r="1494" spans="1:30" s="37" customFormat="1" ht="15.75" customHeight="1" x14ac:dyDescent="0.2">
      <c r="A1494" s="26">
        <v>487</v>
      </c>
      <c r="B1494" s="27" t="s">
        <v>2565</v>
      </c>
      <c r="C1494" s="27" t="s">
        <v>116</v>
      </c>
      <c r="D1494" s="28">
        <v>0.1</v>
      </c>
      <c r="E1494" s="29">
        <v>3.36</v>
      </c>
      <c r="F1494" s="29">
        <v>6.27</v>
      </c>
      <c r="G1494" s="30" t="s">
        <v>87</v>
      </c>
      <c r="H1494" s="27" t="s">
        <v>94</v>
      </c>
      <c r="I1494" s="27" t="s">
        <v>49</v>
      </c>
      <c r="J1494" s="27" t="s">
        <v>72</v>
      </c>
      <c r="K1494" s="27" t="s">
        <v>73</v>
      </c>
      <c r="L1494" s="31" t="s">
        <v>186</v>
      </c>
      <c r="M1494" s="32">
        <v>0.4</v>
      </c>
      <c r="N1494" s="27" t="s">
        <v>33</v>
      </c>
      <c r="O1494" s="27" t="s">
        <v>111</v>
      </c>
      <c r="P1494" s="27" t="s">
        <v>331</v>
      </c>
      <c r="Q1494" s="27" t="s">
        <v>332</v>
      </c>
      <c r="R1494" s="33">
        <v>4073</v>
      </c>
      <c r="S1494" s="34">
        <v>42142</v>
      </c>
      <c r="T1494" s="34">
        <v>42143</v>
      </c>
      <c r="U1494" s="29">
        <v>-67.0565</v>
      </c>
      <c r="V1494" s="26">
        <v>5</v>
      </c>
      <c r="W1494" s="29">
        <v>20.87</v>
      </c>
      <c r="X1494" s="26">
        <v>91063</v>
      </c>
      <c r="Y1494" s="35">
        <v>73.98</v>
      </c>
      <c r="Z1494" s="1" t="s">
        <v>3014</v>
      </c>
      <c r="AA1494" s="36">
        <v>1.6800000000000002</v>
      </c>
      <c r="AB1494" s="54">
        <v>12.522</v>
      </c>
      <c r="AC1494" s="54">
        <v>1.6696000000000002</v>
      </c>
      <c r="AD1494" s="36">
        <v>79.976500000000001</v>
      </c>
    </row>
    <row r="1495" spans="1:30" s="37" customFormat="1" ht="15.75" customHeight="1" x14ac:dyDescent="0.2">
      <c r="A1495" s="26">
        <v>1433</v>
      </c>
      <c r="B1495" s="27" t="s">
        <v>1513</v>
      </c>
      <c r="C1495" s="27" t="s">
        <v>38</v>
      </c>
      <c r="D1495" s="28">
        <v>7.0000000000000007E-2</v>
      </c>
      <c r="E1495" s="29">
        <v>300.98</v>
      </c>
      <c r="F1495" s="29">
        <v>64.73</v>
      </c>
      <c r="G1495" s="30" t="s">
        <v>27</v>
      </c>
      <c r="H1495" s="27" t="s">
        <v>94</v>
      </c>
      <c r="I1495" s="27" t="s">
        <v>29</v>
      </c>
      <c r="J1495" s="27" t="s">
        <v>109</v>
      </c>
      <c r="K1495" s="27" t="s">
        <v>58</v>
      </c>
      <c r="L1495" s="31" t="s">
        <v>1340</v>
      </c>
      <c r="M1495" s="32">
        <v>0.56000000000000005</v>
      </c>
      <c r="N1495" s="27" t="s">
        <v>33</v>
      </c>
      <c r="O1495" s="27" t="s">
        <v>53</v>
      </c>
      <c r="P1495" s="27" t="s">
        <v>54</v>
      </c>
      <c r="Q1495" s="27" t="s">
        <v>1514</v>
      </c>
      <c r="R1495" s="33">
        <v>47130</v>
      </c>
      <c r="S1495" s="34">
        <v>42143</v>
      </c>
      <c r="T1495" s="34">
        <v>42145</v>
      </c>
      <c r="U1495" s="29">
        <v>1399.64</v>
      </c>
      <c r="V1495" s="26">
        <v>14</v>
      </c>
      <c r="W1495" s="29">
        <v>4285.5600000000004</v>
      </c>
      <c r="X1495" s="26">
        <v>86828</v>
      </c>
      <c r="Y1495" s="35">
        <v>300.91000000000003</v>
      </c>
      <c r="Z1495" s="1" t="s">
        <v>3012</v>
      </c>
      <c r="AA1495" s="36">
        <v>294.96040000000005</v>
      </c>
      <c r="AB1495" s="54">
        <v>1885.6463999999999</v>
      </c>
      <c r="AC1495" s="54">
        <v>171.42240000000001</v>
      </c>
      <c r="AD1495" s="36">
        <v>2526.2296000000001</v>
      </c>
    </row>
    <row r="1496" spans="1:30" s="37" customFormat="1" ht="15.75" customHeight="1" x14ac:dyDescent="0.2">
      <c r="A1496" s="26">
        <v>2431</v>
      </c>
      <c r="B1496" s="27" t="s">
        <v>2570</v>
      </c>
      <c r="C1496" s="27" t="s">
        <v>38</v>
      </c>
      <c r="D1496" s="28">
        <v>7.0000000000000007E-2</v>
      </c>
      <c r="E1496" s="29">
        <v>155.06</v>
      </c>
      <c r="F1496" s="29">
        <v>7.07</v>
      </c>
      <c r="G1496" s="30" t="s">
        <v>39</v>
      </c>
      <c r="H1496" s="27" t="s">
        <v>40</v>
      </c>
      <c r="I1496" s="27" t="s">
        <v>49</v>
      </c>
      <c r="J1496" s="27" t="s">
        <v>78</v>
      </c>
      <c r="K1496" s="27" t="s">
        <v>73</v>
      </c>
      <c r="L1496" s="31" t="s">
        <v>106</v>
      </c>
      <c r="M1496" s="32">
        <v>0.59</v>
      </c>
      <c r="N1496" s="27" t="s">
        <v>33</v>
      </c>
      <c r="O1496" s="27" t="s">
        <v>60</v>
      </c>
      <c r="P1496" s="27" t="s">
        <v>90</v>
      </c>
      <c r="Q1496" s="27" t="s">
        <v>100</v>
      </c>
      <c r="R1496" s="33">
        <v>90004</v>
      </c>
      <c r="S1496" s="34">
        <v>42143</v>
      </c>
      <c r="T1496" s="34">
        <v>42143</v>
      </c>
      <c r="U1496" s="29">
        <v>-121.75</v>
      </c>
      <c r="V1496" s="26">
        <v>14</v>
      </c>
      <c r="W1496" s="29">
        <v>2039.07</v>
      </c>
      <c r="X1496" s="26">
        <v>5920</v>
      </c>
      <c r="Y1496" s="35">
        <v>20.97</v>
      </c>
      <c r="Z1496" s="1" t="s">
        <v>3013</v>
      </c>
      <c r="AA1496" s="36">
        <v>151.9588</v>
      </c>
      <c r="AB1496" s="54">
        <v>836.01870000000008</v>
      </c>
      <c r="AC1496" s="54">
        <v>85.93223571428571</v>
      </c>
      <c r="AD1496" s="36">
        <v>2001.7911999999999</v>
      </c>
    </row>
    <row r="1497" spans="1:30" s="37" customFormat="1" ht="15.75" customHeight="1" x14ac:dyDescent="0.2">
      <c r="A1497" s="26">
        <v>1433</v>
      </c>
      <c r="B1497" s="27" t="s">
        <v>1513</v>
      </c>
      <c r="C1497" s="27" t="s">
        <v>38</v>
      </c>
      <c r="D1497" s="28">
        <v>0.01</v>
      </c>
      <c r="E1497" s="29">
        <v>20.98</v>
      </c>
      <c r="F1497" s="29">
        <v>45</v>
      </c>
      <c r="G1497" s="30" t="s">
        <v>27</v>
      </c>
      <c r="H1497" s="27" t="s">
        <v>94</v>
      </c>
      <c r="I1497" s="27" t="s">
        <v>49</v>
      </c>
      <c r="J1497" s="27" t="s">
        <v>78</v>
      </c>
      <c r="K1497" s="27" t="s">
        <v>58</v>
      </c>
      <c r="L1497" s="31" t="s">
        <v>2569</v>
      </c>
      <c r="M1497" s="32">
        <v>0.61</v>
      </c>
      <c r="N1497" s="27" t="s">
        <v>33</v>
      </c>
      <c r="O1497" s="27" t="s">
        <v>53</v>
      </c>
      <c r="P1497" s="27" t="s">
        <v>54</v>
      </c>
      <c r="Q1497" s="27" t="s">
        <v>1514</v>
      </c>
      <c r="R1497" s="33">
        <v>47130</v>
      </c>
      <c r="S1497" s="34">
        <v>42143</v>
      </c>
      <c r="T1497" s="34">
        <v>42143</v>
      </c>
      <c r="U1497" s="29">
        <v>232.642</v>
      </c>
      <c r="V1497" s="26">
        <v>28</v>
      </c>
      <c r="W1497" s="29">
        <v>631.37</v>
      </c>
      <c r="X1497" s="26">
        <v>86828</v>
      </c>
      <c r="Y1497" s="35">
        <v>154.99</v>
      </c>
      <c r="Z1497" s="1" t="s">
        <v>3012</v>
      </c>
      <c r="AA1497" s="36">
        <v>5.8744000000000005</v>
      </c>
      <c r="AB1497" s="54">
        <v>246.23430000000002</v>
      </c>
      <c r="AC1497" s="54">
        <v>13.754846428571428</v>
      </c>
      <c r="AD1497" s="36">
        <v>347.85360000000003</v>
      </c>
    </row>
    <row r="1498" spans="1:30" s="37" customFormat="1" ht="15.75" customHeight="1" x14ac:dyDescent="0.2">
      <c r="A1498" s="26">
        <v>2432</v>
      </c>
      <c r="B1498" s="27" t="s">
        <v>2571</v>
      </c>
      <c r="C1498" s="27" t="s">
        <v>38</v>
      </c>
      <c r="D1498" s="28">
        <v>7.0000000000000007E-2</v>
      </c>
      <c r="E1498" s="29">
        <v>155.06</v>
      </c>
      <c r="F1498" s="29">
        <v>7.07</v>
      </c>
      <c r="G1498" s="30" t="s">
        <v>39</v>
      </c>
      <c r="H1498" s="27" t="s">
        <v>40</v>
      </c>
      <c r="I1498" s="27" t="s">
        <v>49</v>
      </c>
      <c r="J1498" s="27" t="s">
        <v>78</v>
      </c>
      <c r="K1498" s="27" t="s">
        <v>73</v>
      </c>
      <c r="L1498" s="31" t="s">
        <v>106</v>
      </c>
      <c r="M1498" s="32">
        <v>0.59</v>
      </c>
      <c r="N1498" s="27" t="s">
        <v>33</v>
      </c>
      <c r="O1498" s="27" t="s">
        <v>53</v>
      </c>
      <c r="P1498" s="27" t="s">
        <v>207</v>
      </c>
      <c r="Q1498" s="27" t="s">
        <v>2572</v>
      </c>
      <c r="R1498" s="33">
        <v>73110</v>
      </c>
      <c r="S1498" s="34">
        <v>42143</v>
      </c>
      <c r="T1498" s="34">
        <v>42143</v>
      </c>
      <c r="U1498" s="29">
        <v>24.35</v>
      </c>
      <c r="V1498" s="26">
        <v>3</v>
      </c>
      <c r="W1498" s="29">
        <v>436.94</v>
      </c>
      <c r="X1498" s="26">
        <v>89096</v>
      </c>
      <c r="Y1498" s="35">
        <v>154.99</v>
      </c>
      <c r="Z1498" s="1" t="s">
        <v>3012</v>
      </c>
      <c r="AA1498" s="36">
        <v>32.562600000000003</v>
      </c>
      <c r="AB1498" s="54">
        <v>179.14540000000002</v>
      </c>
      <c r="AC1498" s="54">
        <v>85.931533333333334</v>
      </c>
      <c r="AD1498" s="36">
        <v>372.95740000000001</v>
      </c>
    </row>
    <row r="1499" spans="1:30" s="37" customFormat="1" ht="15.75" customHeight="1" x14ac:dyDescent="0.2">
      <c r="A1499" s="26">
        <v>3264</v>
      </c>
      <c r="B1499" s="27" t="s">
        <v>2573</v>
      </c>
      <c r="C1499" s="27" t="s">
        <v>116</v>
      </c>
      <c r="D1499" s="28">
        <v>0.04</v>
      </c>
      <c r="E1499" s="29">
        <v>9.99</v>
      </c>
      <c r="F1499" s="29">
        <v>11.59</v>
      </c>
      <c r="G1499" s="30" t="s">
        <v>39</v>
      </c>
      <c r="H1499" s="27" t="s">
        <v>94</v>
      </c>
      <c r="I1499" s="27" t="s">
        <v>49</v>
      </c>
      <c r="J1499" s="27" t="s">
        <v>88</v>
      </c>
      <c r="K1499" s="27" t="s">
        <v>73</v>
      </c>
      <c r="L1499" s="31" t="s">
        <v>2200</v>
      </c>
      <c r="M1499" s="32">
        <v>0.4</v>
      </c>
      <c r="N1499" s="27" t="s">
        <v>33</v>
      </c>
      <c r="O1499" s="27" t="s">
        <v>60</v>
      </c>
      <c r="P1499" s="27" t="s">
        <v>90</v>
      </c>
      <c r="Q1499" s="27" t="s">
        <v>2574</v>
      </c>
      <c r="R1499" s="33">
        <v>95501</v>
      </c>
      <c r="S1499" s="34">
        <v>42143</v>
      </c>
      <c r="T1499" s="34">
        <v>42145</v>
      </c>
      <c r="U1499" s="29">
        <v>-92.32</v>
      </c>
      <c r="V1499" s="26">
        <v>5</v>
      </c>
      <c r="W1499" s="29">
        <v>52.09</v>
      </c>
      <c r="X1499" s="26">
        <v>89835</v>
      </c>
      <c r="Y1499" s="35">
        <v>9.9500000000000011</v>
      </c>
      <c r="Z1499" s="1" t="s">
        <v>3013</v>
      </c>
      <c r="AA1499" s="36">
        <v>1.998</v>
      </c>
      <c r="AB1499" s="54">
        <v>31.254000000000001</v>
      </c>
      <c r="AC1499" s="54">
        <v>4.1672000000000002</v>
      </c>
      <c r="AD1499" s="36">
        <v>130.822</v>
      </c>
    </row>
    <row r="1500" spans="1:30" s="37" customFormat="1" ht="15.75" customHeight="1" x14ac:dyDescent="0.2">
      <c r="A1500" s="26">
        <v>2162</v>
      </c>
      <c r="B1500" s="27" t="s">
        <v>2588</v>
      </c>
      <c r="C1500" s="27" t="s">
        <v>116</v>
      </c>
      <c r="D1500" s="28">
        <v>0.09</v>
      </c>
      <c r="E1500" s="29">
        <v>159.31</v>
      </c>
      <c r="F1500" s="29">
        <v>60</v>
      </c>
      <c r="G1500" s="30" t="s">
        <v>27</v>
      </c>
      <c r="H1500" s="27" t="s">
        <v>94</v>
      </c>
      <c r="I1500" s="27" t="s">
        <v>29</v>
      </c>
      <c r="J1500" s="27" t="s">
        <v>30</v>
      </c>
      <c r="K1500" s="27" t="s">
        <v>58</v>
      </c>
      <c r="L1500" s="31" t="s">
        <v>2589</v>
      </c>
      <c r="M1500" s="32">
        <v>0.55000000000000004</v>
      </c>
      <c r="N1500" s="27" t="s">
        <v>33</v>
      </c>
      <c r="O1500" s="27" t="s">
        <v>111</v>
      </c>
      <c r="P1500" s="27" t="s">
        <v>320</v>
      </c>
      <c r="Q1500" s="27" t="s">
        <v>2590</v>
      </c>
      <c r="R1500" s="33">
        <v>16146</v>
      </c>
      <c r="S1500" s="34">
        <v>42144</v>
      </c>
      <c r="T1500" s="34">
        <v>42146</v>
      </c>
      <c r="U1500" s="29">
        <v>77.000895400000005</v>
      </c>
      <c r="V1500" s="26">
        <v>41</v>
      </c>
      <c r="W1500" s="29">
        <v>6173.42</v>
      </c>
      <c r="X1500" s="26">
        <v>90387</v>
      </c>
      <c r="Y1500" s="35">
        <v>58.05</v>
      </c>
      <c r="Z1500" s="1" t="s">
        <v>3014</v>
      </c>
      <c r="AA1500" s="36">
        <v>587.85389999999995</v>
      </c>
      <c r="AB1500" s="54">
        <v>2778.0389999999998</v>
      </c>
      <c r="AC1500" s="54">
        <v>82.814170731707321</v>
      </c>
      <c r="AD1500" s="36">
        <v>5448.5652046000005</v>
      </c>
    </row>
    <row r="1501" spans="1:30" s="37" customFormat="1" ht="15.75" customHeight="1" x14ac:dyDescent="0.2">
      <c r="A1501" s="26">
        <v>1708</v>
      </c>
      <c r="B1501" s="27" t="s">
        <v>597</v>
      </c>
      <c r="C1501" s="27" t="s">
        <v>3094</v>
      </c>
      <c r="D1501" s="28">
        <v>0.03</v>
      </c>
      <c r="E1501" s="29">
        <v>205.99</v>
      </c>
      <c r="F1501" s="29">
        <v>3</v>
      </c>
      <c r="G1501" s="30" t="s">
        <v>39</v>
      </c>
      <c r="H1501" s="27" t="s">
        <v>3095</v>
      </c>
      <c r="I1501" s="27" t="s">
        <v>41</v>
      </c>
      <c r="J1501" s="27" t="s">
        <v>135</v>
      </c>
      <c r="K1501" s="27" t="s">
        <v>73</v>
      </c>
      <c r="L1501" s="31" t="s">
        <v>423</v>
      </c>
      <c r="M1501" s="32">
        <v>0.57999999999999996</v>
      </c>
      <c r="N1501" s="27" t="s">
        <v>33</v>
      </c>
      <c r="O1501" s="27" t="s">
        <v>111</v>
      </c>
      <c r="P1501" s="27" t="s">
        <v>317</v>
      </c>
      <c r="Q1501" s="27" t="s">
        <v>599</v>
      </c>
      <c r="R1501" s="33">
        <v>44118</v>
      </c>
      <c r="S1501" s="34">
        <v>42144</v>
      </c>
      <c r="T1501" s="34">
        <v>42145</v>
      </c>
      <c r="U1501" s="29">
        <v>3670.3515000000002</v>
      </c>
      <c r="V1501" s="26">
        <v>29</v>
      </c>
      <c r="W1501" s="29">
        <v>5319.35</v>
      </c>
      <c r="X1501" s="26">
        <v>88784</v>
      </c>
      <c r="Y1501" s="35">
        <v>442.03999999999996</v>
      </c>
      <c r="Z1501" s="1" t="s">
        <v>3014</v>
      </c>
      <c r="AA1501" s="36">
        <v>179.21130000000002</v>
      </c>
      <c r="AB1501" s="54">
        <v>2234.1270000000004</v>
      </c>
      <c r="AC1501" s="54">
        <v>106.387</v>
      </c>
      <c r="AD1501" s="36">
        <v>1466.7872000000002</v>
      </c>
    </row>
    <row r="1502" spans="1:30" s="37" customFormat="1" ht="15.75" customHeight="1" x14ac:dyDescent="0.2">
      <c r="A1502" s="26">
        <v>2346</v>
      </c>
      <c r="B1502" s="27" t="s">
        <v>386</v>
      </c>
      <c r="C1502" s="27" t="s">
        <v>38</v>
      </c>
      <c r="D1502" s="28">
        <v>0.1</v>
      </c>
      <c r="E1502" s="29">
        <v>218.75</v>
      </c>
      <c r="F1502" s="29">
        <v>69.64</v>
      </c>
      <c r="G1502" s="30" t="s">
        <v>27</v>
      </c>
      <c r="H1502" s="27" t="s">
        <v>94</v>
      </c>
      <c r="I1502" s="27" t="s">
        <v>29</v>
      </c>
      <c r="J1502" s="27" t="s">
        <v>30</v>
      </c>
      <c r="K1502" s="27" t="s">
        <v>31</v>
      </c>
      <c r="L1502" s="31" t="s">
        <v>874</v>
      </c>
      <c r="M1502" s="32">
        <v>0.77</v>
      </c>
      <c r="N1502" s="27" t="s">
        <v>33</v>
      </c>
      <c r="O1502" s="27" t="s">
        <v>34</v>
      </c>
      <c r="P1502" s="27" t="s">
        <v>388</v>
      </c>
      <c r="Q1502" s="27" t="s">
        <v>389</v>
      </c>
      <c r="R1502" s="33">
        <v>40258</v>
      </c>
      <c r="S1502" s="34">
        <v>42144</v>
      </c>
      <c r="T1502" s="34">
        <v>42145</v>
      </c>
      <c r="U1502" s="29">
        <v>62.298000000000002</v>
      </c>
      <c r="V1502" s="26">
        <v>17</v>
      </c>
      <c r="W1502" s="29">
        <v>2805.18</v>
      </c>
      <c r="X1502" s="26">
        <v>89505</v>
      </c>
      <c r="Y1502" s="35">
        <v>100.94</v>
      </c>
      <c r="Z1502" s="1" t="s">
        <v>3011</v>
      </c>
      <c r="AA1502" s="36">
        <v>371.875</v>
      </c>
      <c r="AB1502" s="54">
        <v>645.19139999999993</v>
      </c>
      <c r="AC1502" s="54">
        <v>127.05815294117646</v>
      </c>
      <c r="AD1502" s="36">
        <v>2301.3669999999997</v>
      </c>
    </row>
    <row r="1503" spans="1:30" s="37" customFormat="1" ht="15.75" customHeight="1" x14ac:dyDescent="0.2">
      <c r="A1503" s="26">
        <v>2973</v>
      </c>
      <c r="B1503" s="27" t="s">
        <v>2161</v>
      </c>
      <c r="C1503" s="27" t="s">
        <v>26</v>
      </c>
      <c r="D1503" s="28">
        <v>0.1</v>
      </c>
      <c r="E1503" s="29">
        <v>442.14</v>
      </c>
      <c r="F1503" s="29">
        <v>14.7</v>
      </c>
      <c r="G1503" s="30" t="s">
        <v>27</v>
      </c>
      <c r="H1503" s="27" t="s">
        <v>71</v>
      </c>
      <c r="I1503" s="27" t="s">
        <v>41</v>
      </c>
      <c r="J1503" s="27" t="s">
        <v>57</v>
      </c>
      <c r="K1503" s="27" t="s">
        <v>58</v>
      </c>
      <c r="L1503" s="31" t="s">
        <v>1312</v>
      </c>
      <c r="M1503" s="32">
        <v>0.56000000000000005</v>
      </c>
      <c r="N1503" s="27" t="s">
        <v>33</v>
      </c>
      <c r="O1503" s="27" t="s">
        <v>53</v>
      </c>
      <c r="P1503" s="27" t="s">
        <v>357</v>
      </c>
      <c r="Q1503" s="27" t="s">
        <v>2163</v>
      </c>
      <c r="R1503" s="33">
        <v>53151</v>
      </c>
      <c r="S1503" s="34">
        <v>42144</v>
      </c>
      <c r="T1503" s="34">
        <v>42145</v>
      </c>
      <c r="U1503" s="29">
        <v>137.68794</v>
      </c>
      <c r="V1503" s="26">
        <v>6</v>
      </c>
      <c r="W1503" s="29">
        <v>2411.4299999999998</v>
      </c>
      <c r="X1503" s="26">
        <v>87187</v>
      </c>
      <c r="Y1503" s="35">
        <v>218.65</v>
      </c>
      <c r="Z1503" s="1" t="s">
        <v>3012</v>
      </c>
      <c r="AA1503" s="36">
        <v>265.28399999999999</v>
      </c>
      <c r="AB1503" s="54">
        <v>1061.0291999999997</v>
      </c>
      <c r="AC1503" s="54">
        <v>225.0668</v>
      </c>
      <c r="AD1503" s="36">
        <v>1993.7580599999999</v>
      </c>
    </row>
    <row r="1504" spans="1:30" s="37" customFormat="1" ht="15.75" customHeight="1" x14ac:dyDescent="0.2">
      <c r="A1504" s="26">
        <v>918</v>
      </c>
      <c r="B1504" s="27" t="s">
        <v>2144</v>
      </c>
      <c r="C1504" s="27" t="s">
        <v>26</v>
      </c>
      <c r="D1504" s="28">
        <v>0.09</v>
      </c>
      <c r="E1504" s="29">
        <v>58.14</v>
      </c>
      <c r="F1504" s="29">
        <v>36.61</v>
      </c>
      <c r="G1504" s="30" t="s">
        <v>27</v>
      </c>
      <c r="H1504" s="27" t="s">
        <v>94</v>
      </c>
      <c r="I1504" s="27" t="s">
        <v>29</v>
      </c>
      <c r="J1504" s="27" t="s">
        <v>117</v>
      </c>
      <c r="K1504" s="27" t="s">
        <v>31</v>
      </c>
      <c r="L1504" s="31" t="s">
        <v>2575</v>
      </c>
      <c r="M1504" s="32">
        <v>0.61</v>
      </c>
      <c r="N1504" s="27" t="s">
        <v>33</v>
      </c>
      <c r="O1504" s="27" t="s">
        <v>60</v>
      </c>
      <c r="P1504" s="27" t="s">
        <v>90</v>
      </c>
      <c r="Q1504" s="27" t="s">
        <v>2146</v>
      </c>
      <c r="R1504" s="33">
        <v>91730</v>
      </c>
      <c r="S1504" s="34">
        <v>42144</v>
      </c>
      <c r="T1504" s="34">
        <v>42145</v>
      </c>
      <c r="U1504" s="29">
        <v>187.41200000000001</v>
      </c>
      <c r="V1504" s="26">
        <v>39</v>
      </c>
      <c r="W1504" s="29">
        <v>2115.06</v>
      </c>
      <c r="X1504" s="26">
        <v>90493</v>
      </c>
      <c r="Y1504" s="35">
        <v>27.46</v>
      </c>
      <c r="Z1504" s="1" t="s">
        <v>3013</v>
      </c>
      <c r="AA1504" s="36">
        <v>204.07139999999998</v>
      </c>
      <c r="AB1504" s="54">
        <v>824.87340000000006</v>
      </c>
      <c r="AC1504" s="54">
        <v>33.081707692307688</v>
      </c>
      <c r="AD1504" s="36">
        <v>1686.9666</v>
      </c>
    </row>
    <row r="1505" spans="1:30" s="37" customFormat="1" ht="15.75" customHeight="1" x14ac:dyDescent="0.2">
      <c r="A1505" s="26">
        <v>2162</v>
      </c>
      <c r="B1505" s="27" t="s">
        <v>2588</v>
      </c>
      <c r="C1505" s="27" t="s">
        <v>116</v>
      </c>
      <c r="D1505" s="28">
        <v>0.06</v>
      </c>
      <c r="E1505" s="29">
        <v>55.99</v>
      </c>
      <c r="F1505" s="29">
        <v>5</v>
      </c>
      <c r="G1505" s="30" t="s">
        <v>39</v>
      </c>
      <c r="H1505" s="27" t="s">
        <v>94</v>
      </c>
      <c r="I1505" s="27" t="s">
        <v>41</v>
      </c>
      <c r="J1505" s="27" t="s">
        <v>135</v>
      </c>
      <c r="K1505" s="27" t="s">
        <v>43</v>
      </c>
      <c r="L1505" s="31" t="s">
        <v>1938</v>
      </c>
      <c r="M1505" s="32">
        <v>0.83</v>
      </c>
      <c r="N1505" s="27" t="s">
        <v>33</v>
      </c>
      <c r="O1505" s="27" t="s">
        <v>111</v>
      </c>
      <c r="P1505" s="27" t="s">
        <v>320</v>
      </c>
      <c r="Q1505" s="27" t="s">
        <v>2590</v>
      </c>
      <c r="R1505" s="33">
        <v>16146</v>
      </c>
      <c r="S1505" s="34">
        <v>42144</v>
      </c>
      <c r="T1505" s="34">
        <v>42146</v>
      </c>
      <c r="U1505" s="29">
        <v>27.968599999999999</v>
      </c>
      <c r="V1505" s="26">
        <v>33</v>
      </c>
      <c r="W1505" s="29">
        <v>1553.7</v>
      </c>
      <c r="X1505" s="26">
        <v>90387</v>
      </c>
      <c r="Y1505" s="35">
        <v>9.98</v>
      </c>
      <c r="Z1505" s="1" t="s">
        <v>3014</v>
      </c>
      <c r="AA1505" s="36">
        <v>110.86019999999999</v>
      </c>
      <c r="AB1505" s="54">
        <v>264.12900000000008</v>
      </c>
      <c r="AC1505" s="54">
        <v>39.077909090909095</v>
      </c>
      <c r="AD1505" s="36">
        <v>1409.8712</v>
      </c>
    </row>
    <row r="1506" spans="1:30" s="37" customFormat="1" ht="15.75" customHeight="1" x14ac:dyDescent="0.2">
      <c r="A1506" s="26">
        <v>922</v>
      </c>
      <c r="B1506" s="27" t="s">
        <v>2593</v>
      </c>
      <c r="C1506" s="27" t="s">
        <v>3094</v>
      </c>
      <c r="D1506" s="28">
        <v>0.01</v>
      </c>
      <c r="E1506" s="29">
        <v>65.989999999999995</v>
      </c>
      <c r="F1506" s="29">
        <v>8.99</v>
      </c>
      <c r="G1506" s="30" t="s">
        <v>87</v>
      </c>
      <c r="H1506" s="27" t="s">
        <v>3095</v>
      </c>
      <c r="I1506" s="27" t="s">
        <v>41</v>
      </c>
      <c r="J1506" s="27" t="s">
        <v>135</v>
      </c>
      <c r="K1506" s="27" t="s">
        <v>73</v>
      </c>
      <c r="L1506" s="31" t="s">
        <v>2594</v>
      </c>
      <c r="M1506" s="32">
        <v>0.56000000000000005</v>
      </c>
      <c r="N1506" s="27" t="s">
        <v>33</v>
      </c>
      <c r="O1506" s="27" t="s">
        <v>60</v>
      </c>
      <c r="P1506" s="27" t="s">
        <v>90</v>
      </c>
      <c r="Q1506" s="27" t="s">
        <v>2146</v>
      </c>
      <c r="R1506" s="33">
        <v>91730</v>
      </c>
      <c r="S1506" s="34">
        <v>42144</v>
      </c>
      <c r="T1506" s="34">
        <v>42145</v>
      </c>
      <c r="U1506" s="29">
        <v>396.97199999999998</v>
      </c>
      <c r="V1506" s="26">
        <v>14</v>
      </c>
      <c r="W1506" s="29">
        <v>782</v>
      </c>
      <c r="X1506" s="26">
        <v>87135</v>
      </c>
      <c r="Y1506" s="35">
        <v>4.16</v>
      </c>
      <c r="Z1506" s="1" t="s">
        <v>3013</v>
      </c>
      <c r="AA1506" s="36">
        <v>9.2385999999999981</v>
      </c>
      <c r="AB1506" s="54">
        <v>344.08</v>
      </c>
      <c r="AC1506" s="54">
        <v>31.28</v>
      </c>
      <c r="AD1506" s="36">
        <v>366.79939999999999</v>
      </c>
    </row>
    <row r="1507" spans="1:30" s="37" customFormat="1" ht="15.75" customHeight="1" x14ac:dyDescent="0.2">
      <c r="A1507" s="26">
        <v>2159</v>
      </c>
      <c r="B1507" s="27" t="s">
        <v>2585</v>
      </c>
      <c r="C1507" s="27" t="s">
        <v>116</v>
      </c>
      <c r="D1507" s="28">
        <v>0.08</v>
      </c>
      <c r="E1507" s="29">
        <v>30.98</v>
      </c>
      <c r="F1507" s="29">
        <v>8.74</v>
      </c>
      <c r="G1507" s="30" t="s">
        <v>39</v>
      </c>
      <c r="H1507" s="27" t="s">
        <v>94</v>
      </c>
      <c r="I1507" s="27" t="s">
        <v>49</v>
      </c>
      <c r="J1507" s="27" t="s">
        <v>88</v>
      </c>
      <c r="K1507" s="27" t="s">
        <v>73</v>
      </c>
      <c r="L1507" s="31" t="s">
        <v>2586</v>
      </c>
      <c r="M1507" s="32">
        <v>0.4</v>
      </c>
      <c r="N1507" s="27" t="s">
        <v>33</v>
      </c>
      <c r="O1507" s="27" t="s">
        <v>53</v>
      </c>
      <c r="P1507" s="27" t="s">
        <v>289</v>
      </c>
      <c r="Q1507" s="27" t="s">
        <v>2587</v>
      </c>
      <c r="R1507" s="33">
        <v>48185</v>
      </c>
      <c r="S1507" s="34">
        <v>42144</v>
      </c>
      <c r="T1507" s="34">
        <v>42145</v>
      </c>
      <c r="U1507" s="29">
        <v>371.27199999999999</v>
      </c>
      <c r="V1507" s="26">
        <v>25</v>
      </c>
      <c r="W1507" s="29">
        <v>727.2</v>
      </c>
      <c r="X1507" s="26">
        <v>90387</v>
      </c>
      <c r="Y1507" s="35">
        <v>4.16</v>
      </c>
      <c r="Z1507" s="1" t="s">
        <v>3012</v>
      </c>
      <c r="AA1507" s="36">
        <v>61.96</v>
      </c>
      <c r="AB1507" s="54">
        <v>436.32</v>
      </c>
      <c r="AC1507" s="54">
        <v>11.635200000000001</v>
      </c>
      <c r="AD1507" s="36">
        <v>285.22800000000007</v>
      </c>
    </row>
    <row r="1508" spans="1:30" s="37" customFormat="1" ht="15.75" customHeight="1" x14ac:dyDescent="0.2">
      <c r="A1508" s="26">
        <v>1108</v>
      </c>
      <c r="B1508" s="27" t="s">
        <v>2582</v>
      </c>
      <c r="C1508" s="27" t="s">
        <v>116</v>
      </c>
      <c r="D1508" s="28">
        <v>0.02</v>
      </c>
      <c r="E1508" s="29">
        <v>65.989999999999995</v>
      </c>
      <c r="F1508" s="29">
        <v>8.99</v>
      </c>
      <c r="G1508" s="30" t="s">
        <v>87</v>
      </c>
      <c r="H1508" s="27" t="s">
        <v>3095</v>
      </c>
      <c r="I1508" s="27" t="s">
        <v>41</v>
      </c>
      <c r="J1508" s="27" t="s">
        <v>135</v>
      </c>
      <c r="K1508" s="27" t="s">
        <v>73</v>
      </c>
      <c r="L1508" s="31" t="s">
        <v>1864</v>
      </c>
      <c r="M1508" s="32">
        <v>0.56000000000000005</v>
      </c>
      <c r="N1508" s="27" t="s">
        <v>33</v>
      </c>
      <c r="O1508" s="27" t="s">
        <v>53</v>
      </c>
      <c r="P1508" s="27" t="s">
        <v>187</v>
      </c>
      <c r="Q1508" s="27" t="s">
        <v>2034</v>
      </c>
      <c r="R1508" s="33">
        <v>75146</v>
      </c>
      <c r="S1508" s="34">
        <v>42144</v>
      </c>
      <c r="T1508" s="34">
        <v>42145</v>
      </c>
      <c r="U1508" s="29">
        <v>168.23699999999999</v>
      </c>
      <c r="V1508" s="26">
        <v>8</v>
      </c>
      <c r="W1508" s="29">
        <v>479.79</v>
      </c>
      <c r="X1508" s="26">
        <v>86409</v>
      </c>
      <c r="Y1508" s="35">
        <v>6.31</v>
      </c>
      <c r="Z1508" s="1" t="s">
        <v>3012</v>
      </c>
      <c r="AA1508" s="36">
        <v>10.558399999999999</v>
      </c>
      <c r="AB1508" s="54">
        <v>211.10759999999999</v>
      </c>
      <c r="AC1508" s="54">
        <v>33.585300000000004</v>
      </c>
      <c r="AD1508" s="36">
        <v>292.00459999999998</v>
      </c>
    </row>
    <row r="1509" spans="1:30" s="37" customFormat="1" ht="15.75" customHeight="1" x14ac:dyDescent="0.2">
      <c r="A1509" s="26">
        <v>699</v>
      </c>
      <c r="B1509" s="27" t="s">
        <v>861</v>
      </c>
      <c r="C1509" s="27" t="s">
        <v>116</v>
      </c>
      <c r="D1509" s="28">
        <v>0.1</v>
      </c>
      <c r="E1509" s="29">
        <v>4.26</v>
      </c>
      <c r="F1509" s="29">
        <v>1.2</v>
      </c>
      <c r="G1509" s="30" t="s">
        <v>39</v>
      </c>
      <c r="H1509" s="27" t="s">
        <v>40</v>
      </c>
      <c r="I1509" s="27" t="s">
        <v>49</v>
      </c>
      <c r="J1509" s="27" t="s">
        <v>50</v>
      </c>
      <c r="K1509" s="27" t="s">
        <v>51</v>
      </c>
      <c r="L1509" s="31" t="s">
        <v>138</v>
      </c>
      <c r="M1509" s="32">
        <v>0.44</v>
      </c>
      <c r="N1509" s="27" t="s">
        <v>33</v>
      </c>
      <c r="O1509" s="27" t="s">
        <v>60</v>
      </c>
      <c r="P1509" s="27" t="s">
        <v>90</v>
      </c>
      <c r="Q1509" s="27" t="s">
        <v>100</v>
      </c>
      <c r="R1509" s="33">
        <v>90041</v>
      </c>
      <c r="S1509" s="34">
        <v>42144</v>
      </c>
      <c r="T1509" s="34">
        <v>42145</v>
      </c>
      <c r="U1509" s="29">
        <v>15.42</v>
      </c>
      <c r="V1509" s="26">
        <v>88</v>
      </c>
      <c r="W1509" s="29">
        <v>351.56</v>
      </c>
      <c r="X1509" s="26">
        <v>3042</v>
      </c>
      <c r="Y1509" s="35">
        <v>31.65</v>
      </c>
      <c r="Z1509" s="1" t="s">
        <v>3013</v>
      </c>
      <c r="AA1509" s="36">
        <v>37.488</v>
      </c>
      <c r="AB1509" s="54">
        <v>196.87360000000001</v>
      </c>
      <c r="AC1509" s="54">
        <v>1.7578</v>
      </c>
      <c r="AD1509" s="36">
        <v>297.452</v>
      </c>
    </row>
    <row r="1510" spans="1:30" s="37" customFormat="1" ht="15.75" customHeight="1" x14ac:dyDescent="0.2">
      <c r="A1510" s="26">
        <v>1106</v>
      </c>
      <c r="B1510" s="27" t="s">
        <v>2581</v>
      </c>
      <c r="C1510" s="27" t="s">
        <v>116</v>
      </c>
      <c r="D1510" s="28">
        <v>0.04</v>
      </c>
      <c r="E1510" s="29">
        <v>6.35</v>
      </c>
      <c r="F1510" s="29">
        <v>1.02</v>
      </c>
      <c r="G1510" s="30" t="s">
        <v>39</v>
      </c>
      <c r="H1510" s="27" t="s">
        <v>3095</v>
      </c>
      <c r="I1510" s="27" t="s">
        <v>49</v>
      </c>
      <c r="J1510" s="27" t="s">
        <v>88</v>
      </c>
      <c r="K1510" s="27" t="s">
        <v>51</v>
      </c>
      <c r="L1510" s="31" t="s">
        <v>527</v>
      </c>
      <c r="M1510" s="32">
        <v>0.39</v>
      </c>
      <c r="N1510" s="27" t="s">
        <v>33</v>
      </c>
      <c r="O1510" s="27" t="s">
        <v>53</v>
      </c>
      <c r="P1510" s="27" t="s">
        <v>187</v>
      </c>
      <c r="Q1510" s="27" t="s">
        <v>554</v>
      </c>
      <c r="R1510" s="33">
        <v>75220</v>
      </c>
      <c r="S1510" s="34">
        <v>42144</v>
      </c>
      <c r="T1510" s="34">
        <v>42147</v>
      </c>
      <c r="U1510" s="29">
        <v>81.91</v>
      </c>
      <c r="V1510" s="26">
        <v>52</v>
      </c>
      <c r="W1510" s="29">
        <v>318.47000000000003</v>
      </c>
      <c r="X1510" s="26">
        <v>20261</v>
      </c>
      <c r="Y1510" s="35">
        <v>6.31</v>
      </c>
      <c r="Z1510" s="1" t="s">
        <v>3012</v>
      </c>
      <c r="AA1510" s="36">
        <v>13.208</v>
      </c>
      <c r="AB1510" s="54">
        <v>194.26670000000001</v>
      </c>
      <c r="AC1510" s="54">
        <v>2.3885250000000005</v>
      </c>
      <c r="AD1510" s="36">
        <v>222.33200000000005</v>
      </c>
    </row>
    <row r="1511" spans="1:30" s="37" customFormat="1" ht="15.75" customHeight="1" x14ac:dyDescent="0.2">
      <c r="A1511" s="26">
        <v>1108</v>
      </c>
      <c r="B1511" s="27" t="s">
        <v>2582</v>
      </c>
      <c r="C1511" s="27" t="s">
        <v>116</v>
      </c>
      <c r="D1511" s="28">
        <v>0.09</v>
      </c>
      <c r="E1511" s="29">
        <v>31.74</v>
      </c>
      <c r="F1511" s="29">
        <v>12.62</v>
      </c>
      <c r="G1511" s="30" t="s">
        <v>87</v>
      </c>
      <c r="H1511" s="27" t="s">
        <v>3095</v>
      </c>
      <c r="I1511" s="27" t="s">
        <v>49</v>
      </c>
      <c r="J1511" s="27" t="s">
        <v>72</v>
      </c>
      <c r="K1511" s="27" t="s">
        <v>73</v>
      </c>
      <c r="L1511" s="31" t="s">
        <v>1532</v>
      </c>
      <c r="M1511" s="32">
        <v>0.37</v>
      </c>
      <c r="N1511" s="27" t="s">
        <v>33</v>
      </c>
      <c r="O1511" s="27" t="s">
        <v>53</v>
      </c>
      <c r="P1511" s="27" t="s">
        <v>187</v>
      </c>
      <c r="Q1511" s="27" t="s">
        <v>2034</v>
      </c>
      <c r="R1511" s="33">
        <v>75146</v>
      </c>
      <c r="S1511" s="34">
        <v>42144</v>
      </c>
      <c r="T1511" s="34">
        <v>42144</v>
      </c>
      <c r="U1511" s="29">
        <v>67.107500000000002</v>
      </c>
      <c r="V1511" s="26">
        <v>9</v>
      </c>
      <c r="W1511" s="29">
        <v>270.55</v>
      </c>
      <c r="X1511" s="26">
        <v>86409</v>
      </c>
      <c r="Y1511" s="35">
        <v>65.97</v>
      </c>
      <c r="Z1511" s="1" t="s">
        <v>3012</v>
      </c>
      <c r="AA1511" s="36">
        <v>25.709399999999999</v>
      </c>
      <c r="AB1511" s="54">
        <v>170.44650000000001</v>
      </c>
      <c r="AC1511" s="54">
        <v>11.122611111111112</v>
      </c>
      <c r="AD1511" s="36">
        <v>165.1131</v>
      </c>
    </row>
    <row r="1512" spans="1:30" s="37" customFormat="1" ht="15.75" customHeight="1" x14ac:dyDescent="0.2">
      <c r="A1512" s="26">
        <v>871</v>
      </c>
      <c r="B1512" s="27" t="s">
        <v>1665</v>
      </c>
      <c r="C1512" s="27" t="s">
        <v>3094</v>
      </c>
      <c r="D1512" s="28">
        <v>0</v>
      </c>
      <c r="E1512" s="29">
        <v>6.48</v>
      </c>
      <c r="F1512" s="29">
        <v>5.1100000000000003</v>
      </c>
      <c r="G1512" s="30" t="s">
        <v>39</v>
      </c>
      <c r="H1512" s="27" t="s">
        <v>71</v>
      </c>
      <c r="I1512" s="27" t="s">
        <v>49</v>
      </c>
      <c r="J1512" s="27" t="s">
        <v>88</v>
      </c>
      <c r="K1512" s="27" t="s">
        <v>73</v>
      </c>
      <c r="L1512" s="31" t="s">
        <v>2592</v>
      </c>
      <c r="M1512" s="32">
        <v>0.37</v>
      </c>
      <c r="N1512" s="27" t="s">
        <v>33</v>
      </c>
      <c r="O1512" s="27" t="s">
        <v>60</v>
      </c>
      <c r="P1512" s="27" t="s">
        <v>296</v>
      </c>
      <c r="Q1512" s="27" t="s">
        <v>1666</v>
      </c>
      <c r="R1512" s="33">
        <v>89502</v>
      </c>
      <c r="S1512" s="34">
        <v>42144</v>
      </c>
      <c r="T1512" s="34">
        <v>42146</v>
      </c>
      <c r="U1512" s="29">
        <v>-33.31</v>
      </c>
      <c r="V1512" s="26">
        <v>18</v>
      </c>
      <c r="W1512" s="29">
        <v>127.81</v>
      </c>
      <c r="X1512" s="26">
        <v>90578</v>
      </c>
      <c r="Y1512" s="35">
        <v>20.39</v>
      </c>
      <c r="Z1512" s="1" t="s">
        <v>3013</v>
      </c>
      <c r="AA1512" s="36">
        <v>0</v>
      </c>
      <c r="AB1512" s="54">
        <v>80.520300000000006</v>
      </c>
      <c r="AC1512" s="54">
        <v>2.6272055555555553</v>
      </c>
      <c r="AD1512" s="36">
        <v>156.01</v>
      </c>
    </row>
    <row r="1513" spans="1:30" s="37" customFormat="1" ht="15.75" customHeight="1" x14ac:dyDescent="0.2">
      <c r="A1513" s="26">
        <v>1159</v>
      </c>
      <c r="B1513" s="27" t="s">
        <v>2576</v>
      </c>
      <c r="C1513" s="27" t="s">
        <v>38</v>
      </c>
      <c r="D1513" s="28">
        <v>0.04</v>
      </c>
      <c r="E1513" s="29">
        <v>100.98</v>
      </c>
      <c r="F1513" s="29">
        <v>35.840000000000003</v>
      </c>
      <c r="G1513" s="30" t="s">
        <v>27</v>
      </c>
      <c r="H1513" s="27" t="s">
        <v>40</v>
      </c>
      <c r="I1513" s="27" t="s">
        <v>29</v>
      </c>
      <c r="J1513" s="27" t="s">
        <v>117</v>
      </c>
      <c r="K1513" s="27" t="s">
        <v>31</v>
      </c>
      <c r="L1513" s="31" t="s">
        <v>118</v>
      </c>
      <c r="M1513" s="32">
        <v>0.62</v>
      </c>
      <c r="N1513" s="27" t="s">
        <v>33</v>
      </c>
      <c r="O1513" s="27" t="s">
        <v>111</v>
      </c>
      <c r="P1513" s="27" t="s">
        <v>397</v>
      </c>
      <c r="Q1513" s="27" t="s">
        <v>2577</v>
      </c>
      <c r="R1513" s="33">
        <v>7086</v>
      </c>
      <c r="S1513" s="34">
        <v>42144</v>
      </c>
      <c r="T1513" s="34">
        <v>42145</v>
      </c>
      <c r="U1513" s="29">
        <v>-152.76</v>
      </c>
      <c r="V1513" s="26">
        <v>1</v>
      </c>
      <c r="W1513" s="29">
        <v>110.75</v>
      </c>
      <c r="X1513" s="26">
        <v>90854</v>
      </c>
      <c r="Y1513" s="35">
        <v>15.61</v>
      </c>
      <c r="Z1513" s="1" t="s">
        <v>3014</v>
      </c>
      <c r="AA1513" s="36">
        <v>4.0392000000000001</v>
      </c>
      <c r="AB1513" s="54">
        <v>42.085000000000001</v>
      </c>
      <c r="AC1513" s="54">
        <v>68.665000000000006</v>
      </c>
      <c r="AD1513" s="36">
        <v>223.63079999999999</v>
      </c>
    </row>
    <row r="1514" spans="1:30" s="37" customFormat="1" ht="15.75" customHeight="1" x14ac:dyDescent="0.2">
      <c r="A1514" s="26">
        <v>1974</v>
      </c>
      <c r="B1514" s="27" t="s">
        <v>2583</v>
      </c>
      <c r="C1514" s="27" t="s">
        <v>116</v>
      </c>
      <c r="D1514" s="28">
        <v>0.09</v>
      </c>
      <c r="E1514" s="29">
        <v>20.48</v>
      </c>
      <c r="F1514" s="29">
        <v>6.32</v>
      </c>
      <c r="G1514" s="30" t="s">
        <v>39</v>
      </c>
      <c r="H1514" s="27" t="s">
        <v>40</v>
      </c>
      <c r="I1514" s="27" t="s">
        <v>49</v>
      </c>
      <c r="J1514" s="27" t="s">
        <v>95</v>
      </c>
      <c r="K1514" s="27" t="s">
        <v>73</v>
      </c>
      <c r="L1514" s="31" t="s">
        <v>1039</v>
      </c>
      <c r="M1514" s="32">
        <v>0.57999999999999996</v>
      </c>
      <c r="N1514" s="27" t="s">
        <v>33</v>
      </c>
      <c r="O1514" s="27" t="s">
        <v>53</v>
      </c>
      <c r="P1514" s="27" t="s">
        <v>289</v>
      </c>
      <c r="Q1514" s="27" t="s">
        <v>2584</v>
      </c>
      <c r="R1514" s="33">
        <v>48127</v>
      </c>
      <c r="S1514" s="34">
        <v>42144</v>
      </c>
      <c r="T1514" s="34">
        <v>42145</v>
      </c>
      <c r="U1514" s="29">
        <v>-16.89</v>
      </c>
      <c r="V1514" s="26">
        <v>5</v>
      </c>
      <c r="W1514" s="29">
        <v>99.02</v>
      </c>
      <c r="X1514" s="26">
        <v>89040</v>
      </c>
      <c r="Y1514" s="35">
        <v>30.900000000000002</v>
      </c>
      <c r="Z1514" s="1" t="s">
        <v>3012</v>
      </c>
      <c r="AA1514" s="36">
        <v>9.2159999999999993</v>
      </c>
      <c r="AB1514" s="54">
        <v>41.5884</v>
      </c>
      <c r="AC1514" s="54">
        <v>11.486319999999999</v>
      </c>
      <c r="AD1514" s="36">
        <v>100.374</v>
      </c>
    </row>
    <row r="1515" spans="1:30" s="37" customFormat="1" ht="15.75" customHeight="1" x14ac:dyDescent="0.2">
      <c r="A1515" s="26">
        <v>700</v>
      </c>
      <c r="B1515" s="27" t="s">
        <v>2580</v>
      </c>
      <c r="C1515" s="27" t="s">
        <v>116</v>
      </c>
      <c r="D1515" s="28">
        <v>0.1</v>
      </c>
      <c r="E1515" s="29">
        <v>4.26</v>
      </c>
      <c r="F1515" s="29">
        <v>1.2</v>
      </c>
      <c r="G1515" s="30" t="s">
        <v>39</v>
      </c>
      <c r="H1515" s="27" t="s">
        <v>40</v>
      </c>
      <c r="I1515" s="27" t="s">
        <v>49</v>
      </c>
      <c r="J1515" s="27" t="s">
        <v>50</v>
      </c>
      <c r="K1515" s="27" t="s">
        <v>51</v>
      </c>
      <c r="L1515" s="31" t="s">
        <v>138</v>
      </c>
      <c r="M1515" s="32">
        <v>0.44</v>
      </c>
      <c r="N1515" s="27" t="s">
        <v>33</v>
      </c>
      <c r="O1515" s="27" t="s">
        <v>60</v>
      </c>
      <c r="P1515" s="27" t="s">
        <v>90</v>
      </c>
      <c r="Q1515" s="27" t="s">
        <v>1184</v>
      </c>
      <c r="R1515" s="33">
        <v>93454</v>
      </c>
      <c r="S1515" s="34">
        <v>42144</v>
      </c>
      <c r="T1515" s="34">
        <v>42145</v>
      </c>
      <c r="U1515" s="29">
        <v>33.923999999999999</v>
      </c>
      <c r="V1515" s="26">
        <v>22</v>
      </c>
      <c r="W1515" s="29">
        <v>87.89</v>
      </c>
      <c r="X1515" s="26">
        <v>87980</v>
      </c>
      <c r="Y1515" s="35">
        <v>159.22</v>
      </c>
      <c r="Z1515" s="1" t="s">
        <v>3013</v>
      </c>
      <c r="AA1515" s="36">
        <v>9.3719999999999999</v>
      </c>
      <c r="AB1515" s="54">
        <v>49.218400000000003</v>
      </c>
      <c r="AC1515" s="54">
        <v>1.7578</v>
      </c>
      <c r="AD1515" s="36">
        <v>43.393999999999998</v>
      </c>
    </row>
    <row r="1516" spans="1:30" s="37" customFormat="1" ht="15.75" customHeight="1" x14ac:dyDescent="0.2">
      <c r="A1516" s="26">
        <v>2825</v>
      </c>
      <c r="B1516" s="27" t="s">
        <v>2578</v>
      </c>
      <c r="C1516" s="27" t="s">
        <v>48</v>
      </c>
      <c r="D1516" s="28">
        <v>0.02</v>
      </c>
      <c r="E1516" s="29">
        <v>27.48</v>
      </c>
      <c r="F1516" s="29">
        <v>4</v>
      </c>
      <c r="G1516" s="30" t="s">
        <v>39</v>
      </c>
      <c r="H1516" s="27" t="s">
        <v>40</v>
      </c>
      <c r="I1516" s="27" t="s">
        <v>41</v>
      </c>
      <c r="J1516" s="27" t="s">
        <v>42</v>
      </c>
      <c r="K1516" s="27" t="s">
        <v>73</v>
      </c>
      <c r="L1516" s="31" t="s">
        <v>2061</v>
      </c>
      <c r="M1516" s="32">
        <v>0.75</v>
      </c>
      <c r="N1516" s="27" t="s">
        <v>33</v>
      </c>
      <c r="O1516" s="27" t="s">
        <v>60</v>
      </c>
      <c r="P1516" s="27" t="s">
        <v>490</v>
      </c>
      <c r="Q1516" s="27" t="s">
        <v>2579</v>
      </c>
      <c r="R1516" s="33">
        <v>83701</v>
      </c>
      <c r="S1516" s="34">
        <v>42144</v>
      </c>
      <c r="T1516" s="34">
        <v>42151</v>
      </c>
      <c r="U1516" s="29">
        <v>19.308</v>
      </c>
      <c r="V1516" s="26">
        <v>3</v>
      </c>
      <c r="W1516" s="29">
        <v>87.21</v>
      </c>
      <c r="X1516" s="26">
        <v>89497</v>
      </c>
      <c r="Y1516" s="35">
        <v>55.93</v>
      </c>
      <c r="Z1516" s="1" t="s">
        <v>3013</v>
      </c>
      <c r="AA1516" s="36">
        <v>1.6488</v>
      </c>
      <c r="AB1516" s="54">
        <v>21.802499999999998</v>
      </c>
      <c r="AC1516" s="54">
        <v>21.802499999999998</v>
      </c>
      <c r="AD1516" s="36">
        <v>62.253199999999993</v>
      </c>
    </row>
    <row r="1517" spans="1:30" s="37" customFormat="1" ht="15.75" customHeight="1" x14ac:dyDescent="0.2">
      <c r="A1517" s="26">
        <v>1108</v>
      </c>
      <c r="B1517" s="27" t="s">
        <v>2582</v>
      </c>
      <c r="C1517" s="27" t="s">
        <v>116</v>
      </c>
      <c r="D1517" s="28">
        <v>0.04</v>
      </c>
      <c r="E1517" s="29">
        <v>6.35</v>
      </c>
      <c r="F1517" s="29">
        <v>1.02</v>
      </c>
      <c r="G1517" s="30" t="s">
        <v>39</v>
      </c>
      <c r="H1517" s="27" t="s">
        <v>3095</v>
      </c>
      <c r="I1517" s="27" t="s">
        <v>49</v>
      </c>
      <c r="J1517" s="27" t="s">
        <v>88</v>
      </c>
      <c r="K1517" s="27" t="s">
        <v>51</v>
      </c>
      <c r="L1517" s="31" t="s">
        <v>527</v>
      </c>
      <c r="M1517" s="32">
        <v>0.39</v>
      </c>
      <c r="N1517" s="27" t="s">
        <v>33</v>
      </c>
      <c r="O1517" s="27" t="s">
        <v>53</v>
      </c>
      <c r="P1517" s="27" t="s">
        <v>187</v>
      </c>
      <c r="Q1517" s="27" t="s">
        <v>2034</v>
      </c>
      <c r="R1517" s="33">
        <v>75146</v>
      </c>
      <c r="S1517" s="34">
        <v>42144</v>
      </c>
      <c r="T1517" s="34">
        <v>42147</v>
      </c>
      <c r="U1517" s="29">
        <v>54.937800000000003</v>
      </c>
      <c r="V1517" s="26">
        <v>13</v>
      </c>
      <c r="W1517" s="29">
        <v>79.62</v>
      </c>
      <c r="X1517" s="26">
        <v>86409</v>
      </c>
      <c r="Y1517" s="35">
        <v>5.9300000000000006</v>
      </c>
      <c r="Z1517" s="1" t="s">
        <v>3012</v>
      </c>
      <c r="AA1517" s="36">
        <v>3.302</v>
      </c>
      <c r="AB1517" s="54">
        <v>48.568200000000004</v>
      </c>
      <c r="AC1517" s="54">
        <v>2.3886000000000003</v>
      </c>
      <c r="AD1517" s="36">
        <v>20.360199999999999</v>
      </c>
    </row>
    <row r="1518" spans="1:30" s="37" customFormat="1" ht="15.75" customHeight="1" x14ac:dyDescent="0.2">
      <c r="A1518" s="26">
        <v>871</v>
      </c>
      <c r="B1518" s="27" t="s">
        <v>1665</v>
      </c>
      <c r="C1518" s="27" t="s">
        <v>3094</v>
      </c>
      <c r="D1518" s="28">
        <v>0.01</v>
      </c>
      <c r="E1518" s="29">
        <v>5.94</v>
      </c>
      <c r="F1518" s="29">
        <v>9.92</v>
      </c>
      <c r="G1518" s="30" t="s">
        <v>39</v>
      </c>
      <c r="H1518" s="27" t="s">
        <v>71</v>
      </c>
      <c r="I1518" s="27" t="s">
        <v>49</v>
      </c>
      <c r="J1518" s="27" t="s">
        <v>72</v>
      </c>
      <c r="K1518" s="27" t="s">
        <v>73</v>
      </c>
      <c r="L1518" s="31" t="s">
        <v>2591</v>
      </c>
      <c r="M1518" s="32">
        <v>0.38</v>
      </c>
      <c r="N1518" s="27" t="s">
        <v>33</v>
      </c>
      <c r="O1518" s="27" t="s">
        <v>60</v>
      </c>
      <c r="P1518" s="27" t="s">
        <v>296</v>
      </c>
      <c r="Q1518" s="27" t="s">
        <v>1666</v>
      </c>
      <c r="R1518" s="33">
        <v>89502</v>
      </c>
      <c r="S1518" s="34">
        <v>42144</v>
      </c>
      <c r="T1518" s="34">
        <v>42147</v>
      </c>
      <c r="U1518" s="29">
        <v>-239.315</v>
      </c>
      <c r="V1518" s="26">
        <v>12</v>
      </c>
      <c r="W1518" s="29">
        <v>74.77</v>
      </c>
      <c r="X1518" s="26">
        <v>90578</v>
      </c>
      <c r="Y1518" s="35">
        <v>6.48</v>
      </c>
      <c r="Z1518" s="1" t="s">
        <v>3013</v>
      </c>
      <c r="AA1518" s="36">
        <v>0.7128000000000001</v>
      </c>
      <c r="AB1518" s="54">
        <v>46.357399999999998</v>
      </c>
      <c r="AC1518" s="54">
        <v>2.3677166666666665</v>
      </c>
      <c r="AD1518" s="36">
        <v>303.4522</v>
      </c>
    </row>
    <row r="1519" spans="1:30" s="37" customFormat="1" ht="15.75" customHeight="1" x14ac:dyDescent="0.2">
      <c r="A1519" s="26">
        <v>1974</v>
      </c>
      <c r="B1519" s="27" t="s">
        <v>2583</v>
      </c>
      <c r="C1519" s="27" t="s">
        <v>116</v>
      </c>
      <c r="D1519" s="28">
        <v>0.06</v>
      </c>
      <c r="E1519" s="29">
        <v>15.67</v>
      </c>
      <c r="F1519" s="29">
        <v>1.39</v>
      </c>
      <c r="G1519" s="30" t="s">
        <v>39</v>
      </c>
      <c r="H1519" s="27" t="s">
        <v>40</v>
      </c>
      <c r="I1519" s="27" t="s">
        <v>49</v>
      </c>
      <c r="J1519" s="27" t="s">
        <v>345</v>
      </c>
      <c r="K1519" s="27" t="s">
        <v>73</v>
      </c>
      <c r="L1519" s="31" t="s">
        <v>2484</v>
      </c>
      <c r="M1519" s="32">
        <v>0.38</v>
      </c>
      <c r="N1519" s="27" t="s">
        <v>33</v>
      </c>
      <c r="O1519" s="27" t="s">
        <v>53</v>
      </c>
      <c r="P1519" s="27" t="s">
        <v>289</v>
      </c>
      <c r="Q1519" s="27" t="s">
        <v>2584</v>
      </c>
      <c r="R1519" s="33">
        <v>48127</v>
      </c>
      <c r="S1519" s="34">
        <v>42144</v>
      </c>
      <c r="T1519" s="34">
        <v>42145</v>
      </c>
      <c r="U1519" s="29">
        <v>25.51</v>
      </c>
      <c r="V1519" s="26">
        <v>3</v>
      </c>
      <c r="W1519" s="29">
        <v>46.4</v>
      </c>
      <c r="X1519" s="26">
        <v>89040</v>
      </c>
      <c r="Y1519" s="35">
        <v>65.97999999999999</v>
      </c>
      <c r="Z1519" s="1" t="s">
        <v>3012</v>
      </c>
      <c r="AA1519" s="36">
        <v>2.8205999999999998</v>
      </c>
      <c r="AB1519" s="54">
        <v>28.768000000000001</v>
      </c>
      <c r="AC1519" s="54">
        <v>5.8773333333333335</v>
      </c>
      <c r="AD1519" s="36">
        <v>16.679399999999998</v>
      </c>
    </row>
    <row r="1520" spans="1:30" s="37" customFormat="1" ht="15.75" customHeight="1" x14ac:dyDescent="0.2">
      <c r="A1520" s="26">
        <v>2825</v>
      </c>
      <c r="B1520" s="27" t="s">
        <v>2578</v>
      </c>
      <c r="C1520" s="27" t="s">
        <v>48</v>
      </c>
      <c r="D1520" s="28">
        <v>0.08</v>
      </c>
      <c r="E1520" s="29">
        <v>10.06</v>
      </c>
      <c r="F1520" s="29">
        <v>2.06</v>
      </c>
      <c r="G1520" s="30" t="s">
        <v>39</v>
      </c>
      <c r="H1520" s="27" t="s">
        <v>40</v>
      </c>
      <c r="I1520" s="27" t="s">
        <v>49</v>
      </c>
      <c r="J1520" s="27" t="s">
        <v>88</v>
      </c>
      <c r="K1520" s="27" t="s">
        <v>51</v>
      </c>
      <c r="L1520" s="31" t="s">
        <v>173</v>
      </c>
      <c r="M1520" s="32">
        <v>0.39</v>
      </c>
      <c r="N1520" s="27" t="s">
        <v>33</v>
      </c>
      <c r="O1520" s="27" t="s">
        <v>60</v>
      </c>
      <c r="P1520" s="27" t="s">
        <v>490</v>
      </c>
      <c r="Q1520" s="27" t="s">
        <v>2579</v>
      </c>
      <c r="R1520" s="33">
        <v>83701</v>
      </c>
      <c r="S1520" s="34">
        <v>42144</v>
      </c>
      <c r="T1520" s="34">
        <v>42148</v>
      </c>
      <c r="U1520" s="29">
        <v>0.33</v>
      </c>
      <c r="V1520" s="26">
        <v>4</v>
      </c>
      <c r="W1520" s="29">
        <v>40.15</v>
      </c>
      <c r="X1520" s="26">
        <v>89497</v>
      </c>
      <c r="Y1520" s="35">
        <v>205.96</v>
      </c>
      <c r="Z1520" s="1" t="s">
        <v>3013</v>
      </c>
      <c r="AA1520" s="36">
        <v>3.2192000000000003</v>
      </c>
      <c r="AB1520" s="54">
        <v>24.491499999999998</v>
      </c>
      <c r="AC1520" s="54">
        <v>3.914625</v>
      </c>
      <c r="AD1520" s="36">
        <v>34.540799999999997</v>
      </c>
    </row>
    <row r="1521" spans="1:30" s="37" customFormat="1" ht="15.75" customHeight="1" x14ac:dyDescent="0.2">
      <c r="A1521" s="26">
        <v>3206</v>
      </c>
      <c r="B1521" s="27" t="s">
        <v>1926</v>
      </c>
      <c r="C1521" s="27" t="s">
        <v>3094</v>
      </c>
      <c r="D1521" s="28">
        <v>0.06</v>
      </c>
      <c r="E1521" s="29">
        <v>218.08</v>
      </c>
      <c r="F1521" s="29">
        <v>18.059999999999999</v>
      </c>
      <c r="G1521" s="30" t="s">
        <v>87</v>
      </c>
      <c r="H1521" s="27" t="s">
        <v>40</v>
      </c>
      <c r="I1521" s="27" t="s">
        <v>29</v>
      </c>
      <c r="J1521" s="27" t="s">
        <v>109</v>
      </c>
      <c r="K1521" s="27" t="s">
        <v>65</v>
      </c>
      <c r="L1521" s="31" t="s">
        <v>2616</v>
      </c>
      <c r="M1521" s="32">
        <v>0.56999999999999995</v>
      </c>
      <c r="N1521" s="27" t="s">
        <v>33</v>
      </c>
      <c r="O1521" s="27" t="s">
        <v>60</v>
      </c>
      <c r="P1521" s="27" t="s">
        <v>490</v>
      </c>
      <c r="Q1521" s="27" t="s">
        <v>1928</v>
      </c>
      <c r="R1521" s="33">
        <v>83301</v>
      </c>
      <c r="S1521" s="34">
        <v>42145</v>
      </c>
      <c r="T1521" s="34">
        <v>42147</v>
      </c>
      <c r="U1521" s="29">
        <v>969.42</v>
      </c>
      <c r="V1521" s="26">
        <v>7</v>
      </c>
      <c r="W1521" s="29">
        <v>1488.51</v>
      </c>
      <c r="X1521" s="26">
        <v>87934</v>
      </c>
      <c r="Y1521" s="35">
        <v>1.94</v>
      </c>
      <c r="Z1521" s="1" t="s">
        <v>3013</v>
      </c>
      <c r="AA1521" s="36">
        <v>91.593599999999995</v>
      </c>
      <c r="AB1521" s="54">
        <v>640.05930000000012</v>
      </c>
      <c r="AC1521" s="54">
        <v>121.20724285714284</v>
      </c>
      <c r="AD1521" s="36">
        <v>409.43640000000005</v>
      </c>
    </row>
    <row r="1522" spans="1:30" s="37" customFormat="1" ht="15.75" customHeight="1" x14ac:dyDescent="0.2">
      <c r="A1522" s="26">
        <v>1527</v>
      </c>
      <c r="B1522" s="27" t="s">
        <v>338</v>
      </c>
      <c r="C1522" s="27" t="s">
        <v>48</v>
      </c>
      <c r="D1522" s="28">
        <v>0.09</v>
      </c>
      <c r="E1522" s="29">
        <v>50.98</v>
      </c>
      <c r="F1522" s="29">
        <v>6.5</v>
      </c>
      <c r="G1522" s="30" t="s">
        <v>39</v>
      </c>
      <c r="H1522" s="27" t="s">
        <v>71</v>
      </c>
      <c r="I1522" s="27" t="s">
        <v>41</v>
      </c>
      <c r="J1522" s="27" t="s">
        <v>42</v>
      </c>
      <c r="K1522" s="27" t="s">
        <v>73</v>
      </c>
      <c r="L1522" s="31" t="s">
        <v>1866</v>
      </c>
      <c r="M1522" s="32">
        <v>0.73</v>
      </c>
      <c r="N1522" s="27" t="s">
        <v>33</v>
      </c>
      <c r="O1522" s="27" t="s">
        <v>34</v>
      </c>
      <c r="P1522" s="27" t="s">
        <v>164</v>
      </c>
      <c r="Q1522" s="27" t="s">
        <v>340</v>
      </c>
      <c r="R1522" s="33">
        <v>35601</v>
      </c>
      <c r="S1522" s="34">
        <v>42145</v>
      </c>
      <c r="T1522" s="34">
        <v>42152</v>
      </c>
      <c r="U1522" s="29">
        <v>70.176000000000002</v>
      </c>
      <c r="V1522" s="26">
        <v>28</v>
      </c>
      <c r="W1522" s="29">
        <v>1395.41</v>
      </c>
      <c r="X1522" s="26">
        <v>86815</v>
      </c>
      <c r="Y1522" s="35">
        <v>55.96</v>
      </c>
      <c r="Z1522" s="1" t="s">
        <v>3011</v>
      </c>
      <c r="AA1522" s="36">
        <v>128.46959999999999</v>
      </c>
      <c r="AB1522" s="54">
        <v>376.76070000000004</v>
      </c>
      <c r="AC1522" s="54">
        <v>36.380332142857142</v>
      </c>
      <c r="AD1522" s="36">
        <v>1190.2644</v>
      </c>
    </row>
    <row r="1523" spans="1:30" s="37" customFormat="1" ht="15.75" customHeight="1" x14ac:dyDescent="0.2">
      <c r="A1523" s="26">
        <v>21</v>
      </c>
      <c r="B1523" s="27" t="s">
        <v>2520</v>
      </c>
      <c r="C1523" s="27" t="s">
        <v>3094</v>
      </c>
      <c r="D1523" s="28">
        <v>7.0000000000000007E-2</v>
      </c>
      <c r="E1523" s="29">
        <v>12.99</v>
      </c>
      <c r="F1523" s="29">
        <v>9.44</v>
      </c>
      <c r="G1523" s="30" t="s">
        <v>39</v>
      </c>
      <c r="H1523" s="27" t="s">
        <v>3095</v>
      </c>
      <c r="I1523" s="27" t="s">
        <v>41</v>
      </c>
      <c r="J1523" s="27" t="s">
        <v>57</v>
      </c>
      <c r="K1523" s="27" t="s">
        <v>144</v>
      </c>
      <c r="L1523" s="31" t="s">
        <v>2613</v>
      </c>
      <c r="M1523" s="32">
        <v>0.39</v>
      </c>
      <c r="N1523" s="27" t="s">
        <v>33</v>
      </c>
      <c r="O1523" s="27" t="s">
        <v>111</v>
      </c>
      <c r="P1523" s="27" t="s">
        <v>112</v>
      </c>
      <c r="Q1523" s="27" t="s">
        <v>113</v>
      </c>
      <c r="R1523" s="33">
        <v>10012</v>
      </c>
      <c r="S1523" s="34">
        <v>42145</v>
      </c>
      <c r="T1523" s="34">
        <v>42147</v>
      </c>
      <c r="U1523" s="29">
        <v>-114.6399</v>
      </c>
      <c r="V1523" s="26">
        <v>71</v>
      </c>
      <c r="W1523" s="29">
        <v>914.29</v>
      </c>
      <c r="X1523" s="26">
        <v>42949</v>
      </c>
      <c r="Y1523" s="35">
        <v>11.97</v>
      </c>
      <c r="Z1523" s="1" t="s">
        <v>3014</v>
      </c>
      <c r="AA1523" s="36">
        <v>64.560300000000012</v>
      </c>
      <c r="AB1523" s="54">
        <v>557.71690000000001</v>
      </c>
      <c r="AC1523" s="54">
        <v>5.0221563380281697</v>
      </c>
      <c r="AD1523" s="36">
        <v>954.92959999999994</v>
      </c>
    </row>
    <row r="1524" spans="1:30" s="37" customFormat="1" ht="15.75" customHeight="1" x14ac:dyDescent="0.2">
      <c r="A1524" s="26">
        <v>1106</v>
      </c>
      <c r="B1524" s="27" t="s">
        <v>2581</v>
      </c>
      <c r="C1524" s="27" t="s">
        <v>38</v>
      </c>
      <c r="D1524" s="28">
        <v>0.01</v>
      </c>
      <c r="E1524" s="29">
        <v>9.31</v>
      </c>
      <c r="F1524" s="29">
        <v>3.98</v>
      </c>
      <c r="G1524" s="30" t="s">
        <v>39</v>
      </c>
      <c r="H1524" s="27" t="s">
        <v>3095</v>
      </c>
      <c r="I1524" s="27" t="s">
        <v>49</v>
      </c>
      <c r="J1524" s="27" t="s">
        <v>568</v>
      </c>
      <c r="K1524" s="27" t="s">
        <v>43</v>
      </c>
      <c r="L1524" s="31" t="s">
        <v>2602</v>
      </c>
      <c r="M1524" s="32">
        <v>0.56000000000000005</v>
      </c>
      <c r="N1524" s="27" t="s">
        <v>33</v>
      </c>
      <c r="O1524" s="27" t="s">
        <v>53</v>
      </c>
      <c r="P1524" s="27" t="s">
        <v>187</v>
      </c>
      <c r="Q1524" s="27" t="s">
        <v>554</v>
      </c>
      <c r="R1524" s="33">
        <v>75220</v>
      </c>
      <c r="S1524" s="34">
        <v>42145</v>
      </c>
      <c r="T1524" s="34">
        <v>42146</v>
      </c>
      <c r="U1524" s="29">
        <v>-10.9</v>
      </c>
      <c r="V1524" s="26">
        <v>61</v>
      </c>
      <c r="W1524" s="29">
        <v>586.96</v>
      </c>
      <c r="X1524" s="26">
        <v>646</v>
      </c>
      <c r="Y1524" s="35">
        <v>4.95</v>
      </c>
      <c r="Z1524" s="1" t="s">
        <v>3012</v>
      </c>
      <c r="AA1524" s="36">
        <v>5.6791</v>
      </c>
      <c r="AB1524" s="54">
        <v>258.26239999999996</v>
      </c>
      <c r="AC1524" s="54">
        <v>5.3884852459016397</v>
      </c>
      <c r="AD1524" s="36">
        <v>588.20090000000005</v>
      </c>
    </row>
    <row r="1525" spans="1:30" s="37" customFormat="1" ht="15.75" customHeight="1" x14ac:dyDescent="0.2">
      <c r="A1525" s="26">
        <v>3319</v>
      </c>
      <c r="B1525" s="27" t="s">
        <v>2608</v>
      </c>
      <c r="C1525" s="27" t="s">
        <v>48</v>
      </c>
      <c r="D1525" s="28">
        <v>0.03</v>
      </c>
      <c r="E1525" s="29">
        <v>20.98</v>
      </c>
      <c r="F1525" s="29">
        <v>1.49</v>
      </c>
      <c r="G1525" s="30" t="s">
        <v>39</v>
      </c>
      <c r="H1525" s="27" t="s">
        <v>3095</v>
      </c>
      <c r="I1525" s="27" t="s">
        <v>49</v>
      </c>
      <c r="J1525" s="27" t="s">
        <v>72</v>
      </c>
      <c r="K1525" s="27" t="s">
        <v>73</v>
      </c>
      <c r="L1525" s="31" t="s">
        <v>2609</v>
      </c>
      <c r="M1525" s="32">
        <v>0.35</v>
      </c>
      <c r="N1525" s="27" t="s">
        <v>33</v>
      </c>
      <c r="O1525" s="27" t="s">
        <v>34</v>
      </c>
      <c r="P1525" s="27" t="s">
        <v>400</v>
      </c>
      <c r="Q1525" s="27" t="s">
        <v>503</v>
      </c>
      <c r="R1525" s="33">
        <v>37075</v>
      </c>
      <c r="S1525" s="34">
        <v>42145</v>
      </c>
      <c r="T1525" s="34">
        <v>42145</v>
      </c>
      <c r="U1525" s="29">
        <v>30.024000000000001</v>
      </c>
      <c r="V1525" s="26">
        <v>20</v>
      </c>
      <c r="W1525" s="29">
        <v>431.43</v>
      </c>
      <c r="X1525" s="26">
        <v>90104</v>
      </c>
      <c r="Y1525" s="35">
        <v>9.3000000000000007</v>
      </c>
      <c r="Z1525" s="1" t="s">
        <v>3011</v>
      </c>
      <c r="AA1525" s="36">
        <v>12.587999999999999</v>
      </c>
      <c r="AB1525" s="54">
        <v>280.42950000000002</v>
      </c>
      <c r="AC1525" s="54">
        <v>7.5500249999999998</v>
      </c>
      <c r="AD1525" s="36">
        <v>387.32800000000003</v>
      </c>
    </row>
    <row r="1526" spans="1:30" s="37" customFormat="1" ht="15.75" customHeight="1" x14ac:dyDescent="0.2">
      <c r="A1526" s="26">
        <v>282</v>
      </c>
      <c r="B1526" s="27" t="s">
        <v>2596</v>
      </c>
      <c r="C1526" s="27" t="s">
        <v>26</v>
      </c>
      <c r="D1526" s="28">
        <v>0.03</v>
      </c>
      <c r="E1526" s="29">
        <v>55.99</v>
      </c>
      <c r="F1526" s="29">
        <v>5</v>
      </c>
      <c r="G1526" s="30" t="s">
        <v>39</v>
      </c>
      <c r="H1526" s="27" t="s">
        <v>94</v>
      </c>
      <c r="I1526" s="27" t="s">
        <v>41</v>
      </c>
      <c r="J1526" s="27" t="s">
        <v>135</v>
      </c>
      <c r="K1526" s="27" t="s">
        <v>43</v>
      </c>
      <c r="L1526" s="31" t="s">
        <v>1938</v>
      </c>
      <c r="M1526" s="32">
        <v>0.83</v>
      </c>
      <c r="N1526" s="27" t="s">
        <v>33</v>
      </c>
      <c r="O1526" s="27" t="s">
        <v>111</v>
      </c>
      <c r="P1526" s="27" t="s">
        <v>397</v>
      </c>
      <c r="Q1526" s="27" t="s">
        <v>2597</v>
      </c>
      <c r="R1526" s="33">
        <v>7109</v>
      </c>
      <c r="S1526" s="34">
        <v>42145</v>
      </c>
      <c r="T1526" s="34">
        <v>42146</v>
      </c>
      <c r="U1526" s="29">
        <v>-221.25399999999999</v>
      </c>
      <c r="V1526" s="26">
        <v>9</v>
      </c>
      <c r="W1526" s="29">
        <v>416.95</v>
      </c>
      <c r="X1526" s="26">
        <v>89291</v>
      </c>
      <c r="Y1526" s="35">
        <v>9.3000000000000007</v>
      </c>
      <c r="Z1526" s="1" t="s">
        <v>3014</v>
      </c>
      <c r="AA1526" s="36">
        <v>15.1173</v>
      </c>
      <c r="AB1526" s="54">
        <v>70.881500000000017</v>
      </c>
      <c r="AC1526" s="54">
        <v>38.452055555555553</v>
      </c>
      <c r="AD1526" s="36">
        <v>618.08669999999995</v>
      </c>
    </row>
    <row r="1527" spans="1:30" s="37" customFormat="1" ht="15.75" customHeight="1" x14ac:dyDescent="0.2">
      <c r="A1527" s="26">
        <v>1129</v>
      </c>
      <c r="B1527" s="27" t="s">
        <v>786</v>
      </c>
      <c r="C1527" s="27" t="s">
        <v>116</v>
      </c>
      <c r="D1527" s="28">
        <v>0.02</v>
      </c>
      <c r="E1527" s="29">
        <v>7.64</v>
      </c>
      <c r="F1527" s="29">
        <v>1.39</v>
      </c>
      <c r="G1527" s="30" t="s">
        <v>39</v>
      </c>
      <c r="H1527" s="27" t="s">
        <v>71</v>
      </c>
      <c r="I1527" s="27" t="s">
        <v>49</v>
      </c>
      <c r="J1527" s="27" t="s">
        <v>345</v>
      </c>
      <c r="K1527" s="27" t="s">
        <v>73</v>
      </c>
      <c r="L1527" s="31" t="s">
        <v>1558</v>
      </c>
      <c r="M1527" s="32">
        <v>0.36</v>
      </c>
      <c r="N1527" s="27" t="s">
        <v>33</v>
      </c>
      <c r="O1527" s="27" t="s">
        <v>111</v>
      </c>
      <c r="P1527" s="27" t="s">
        <v>403</v>
      </c>
      <c r="Q1527" s="27" t="s">
        <v>788</v>
      </c>
      <c r="R1527" s="33">
        <v>2118</v>
      </c>
      <c r="S1527" s="34">
        <v>42145</v>
      </c>
      <c r="T1527" s="34">
        <v>42147</v>
      </c>
      <c r="U1527" s="29">
        <v>117.38</v>
      </c>
      <c r="V1527" s="26">
        <v>52</v>
      </c>
      <c r="W1527" s="29">
        <v>406.91</v>
      </c>
      <c r="X1527" s="26">
        <v>13735</v>
      </c>
      <c r="Y1527" s="35">
        <v>5.75</v>
      </c>
      <c r="Z1527" s="1" t="s">
        <v>3014</v>
      </c>
      <c r="AA1527" s="36">
        <v>7.9455999999999998</v>
      </c>
      <c r="AB1527" s="54">
        <v>260.42240000000004</v>
      </c>
      <c r="AC1527" s="54">
        <v>2.8170692307692309</v>
      </c>
      <c r="AD1527" s="36">
        <v>280.19440000000003</v>
      </c>
    </row>
    <row r="1528" spans="1:30" s="37" customFormat="1" ht="15.75" customHeight="1" x14ac:dyDescent="0.2">
      <c r="A1528" s="26">
        <v>21</v>
      </c>
      <c r="B1528" s="27" t="s">
        <v>2520</v>
      </c>
      <c r="C1528" s="27" t="s">
        <v>3094</v>
      </c>
      <c r="D1528" s="28">
        <v>0.08</v>
      </c>
      <c r="E1528" s="29">
        <v>5</v>
      </c>
      <c r="F1528" s="29">
        <v>3.39</v>
      </c>
      <c r="G1528" s="30" t="s">
        <v>39</v>
      </c>
      <c r="H1528" s="27" t="s">
        <v>3095</v>
      </c>
      <c r="I1528" s="27" t="s">
        <v>49</v>
      </c>
      <c r="J1528" s="27" t="s">
        <v>176</v>
      </c>
      <c r="K1528" s="27" t="s">
        <v>51</v>
      </c>
      <c r="L1528" s="31" t="s">
        <v>2615</v>
      </c>
      <c r="M1528" s="32">
        <v>0.37</v>
      </c>
      <c r="N1528" s="27" t="s">
        <v>33</v>
      </c>
      <c r="O1528" s="27" t="s">
        <v>111</v>
      </c>
      <c r="P1528" s="27" t="s">
        <v>112</v>
      </c>
      <c r="Q1528" s="27" t="s">
        <v>113</v>
      </c>
      <c r="R1528" s="33">
        <v>10012</v>
      </c>
      <c r="S1528" s="34">
        <v>42145</v>
      </c>
      <c r="T1528" s="34">
        <v>42146</v>
      </c>
      <c r="U1528" s="29">
        <v>-17.489999999999998</v>
      </c>
      <c r="V1528" s="26">
        <v>58</v>
      </c>
      <c r="W1528" s="29">
        <v>293.06</v>
      </c>
      <c r="X1528" s="26">
        <v>42949</v>
      </c>
      <c r="Y1528" s="35">
        <v>50.889999999999993</v>
      </c>
      <c r="Z1528" s="1" t="s">
        <v>3014</v>
      </c>
      <c r="AA1528" s="36">
        <v>23.200000000000003</v>
      </c>
      <c r="AB1528" s="54">
        <v>184.62780000000001</v>
      </c>
      <c r="AC1528" s="54">
        <v>1.8695206896551724</v>
      </c>
      <c r="AD1528" s="36">
        <v>283.95999999999998</v>
      </c>
    </row>
    <row r="1529" spans="1:30" s="37" customFormat="1" ht="15.75" customHeight="1" x14ac:dyDescent="0.2">
      <c r="A1529" s="26">
        <v>19</v>
      </c>
      <c r="B1529" s="27" t="s">
        <v>2612</v>
      </c>
      <c r="C1529" s="27" t="s">
        <v>3094</v>
      </c>
      <c r="D1529" s="28">
        <v>7.0000000000000007E-2</v>
      </c>
      <c r="E1529" s="29">
        <v>12.99</v>
      </c>
      <c r="F1529" s="29">
        <v>9.44</v>
      </c>
      <c r="G1529" s="30" t="s">
        <v>39</v>
      </c>
      <c r="H1529" s="27" t="s">
        <v>3095</v>
      </c>
      <c r="I1529" s="27" t="s">
        <v>41</v>
      </c>
      <c r="J1529" s="27" t="s">
        <v>57</v>
      </c>
      <c r="K1529" s="27" t="s">
        <v>144</v>
      </c>
      <c r="L1529" s="31" t="s">
        <v>2613</v>
      </c>
      <c r="M1529" s="32">
        <v>0.39</v>
      </c>
      <c r="N1529" s="27" t="s">
        <v>33</v>
      </c>
      <c r="O1529" s="27" t="s">
        <v>60</v>
      </c>
      <c r="P1529" s="27" t="s">
        <v>277</v>
      </c>
      <c r="Q1529" s="27" t="s">
        <v>2614</v>
      </c>
      <c r="R1529" s="33">
        <v>59801</v>
      </c>
      <c r="S1529" s="34">
        <v>42145</v>
      </c>
      <c r="T1529" s="34">
        <v>42147</v>
      </c>
      <c r="U1529" s="29">
        <v>-114.6399</v>
      </c>
      <c r="V1529" s="26">
        <v>18</v>
      </c>
      <c r="W1529" s="29">
        <v>231.79</v>
      </c>
      <c r="X1529" s="26">
        <v>90032</v>
      </c>
      <c r="Y1529" s="35">
        <v>20.95</v>
      </c>
      <c r="Z1529" s="1" t="s">
        <v>3013</v>
      </c>
      <c r="AA1529" s="36">
        <v>16.367400000000004</v>
      </c>
      <c r="AB1529" s="54">
        <v>141.39189999999999</v>
      </c>
      <c r="AC1529" s="54">
        <v>5.0221166666666672</v>
      </c>
      <c r="AD1529" s="36">
        <v>320.6225</v>
      </c>
    </row>
    <row r="1530" spans="1:30" s="37" customFormat="1" ht="15.75" customHeight="1" x14ac:dyDescent="0.2">
      <c r="A1530" s="26">
        <v>1107</v>
      </c>
      <c r="B1530" s="27" t="s">
        <v>2603</v>
      </c>
      <c r="C1530" s="27" t="s">
        <v>38</v>
      </c>
      <c r="D1530" s="28">
        <v>0.01</v>
      </c>
      <c r="E1530" s="29">
        <v>9.31</v>
      </c>
      <c r="F1530" s="29">
        <v>3.98</v>
      </c>
      <c r="G1530" s="30" t="s">
        <v>39</v>
      </c>
      <c r="H1530" s="27" t="s">
        <v>3095</v>
      </c>
      <c r="I1530" s="27" t="s">
        <v>49</v>
      </c>
      <c r="J1530" s="27" t="s">
        <v>568</v>
      </c>
      <c r="K1530" s="27" t="s">
        <v>43</v>
      </c>
      <c r="L1530" s="31" t="s">
        <v>2602</v>
      </c>
      <c r="M1530" s="32">
        <v>0.56000000000000005</v>
      </c>
      <c r="N1530" s="27" t="s">
        <v>33</v>
      </c>
      <c r="O1530" s="27" t="s">
        <v>53</v>
      </c>
      <c r="P1530" s="27" t="s">
        <v>187</v>
      </c>
      <c r="Q1530" s="27" t="s">
        <v>2604</v>
      </c>
      <c r="R1530" s="33">
        <v>77566</v>
      </c>
      <c r="S1530" s="34">
        <v>42145</v>
      </c>
      <c r="T1530" s="34">
        <v>42146</v>
      </c>
      <c r="U1530" s="29">
        <v>2.1800000000000002</v>
      </c>
      <c r="V1530" s="26">
        <v>15</v>
      </c>
      <c r="W1530" s="29">
        <v>144.33000000000001</v>
      </c>
      <c r="X1530" s="26">
        <v>86411</v>
      </c>
      <c r="Y1530" s="35">
        <v>7.62</v>
      </c>
      <c r="Z1530" s="1" t="s">
        <v>3012</v>
      </c>
      <c r="AA1530" s="36">
        <v>1.3965000000000001</v>
      </c>
      <c r="AB1530" s="54">
        <v>63.505199999999995</v>
      </c>
      <c r="AC1530" s="54">
        <v>5.3883200000000011</v>
      </c>
      <c r="AD1530" s="36">
        <v>136.77350000000001</v>
      </c>
    </row>
    <row r="1531" spans="1:30" s="37" customFormat="1" ht="15.75" customHeight="1" x14ac:dyDescent="0.2">
      <c r="A1531" s="26">
        <v>1131</v>
      </c>
      <c r="B1531" s="27" t="s">
        <v>2610</v>
      </c>
      <c r="C1531" s="27" t="s">
        <v>116</v>
      </c>
      <c r="D1531" s="28">
        <v>0.02</v>
      </c>
      <c r="E1531" s="29">
        <v>7.64</v>
      </c>
      <c r="F1531" s="29">
        <v>1.39</v>
      </c>
      <c r="G1531" s="30" t="s">
        <v>39</v>
      </c>
      <c r="H1531" s="27" t="s">
        <v>71</v>
      </c>
      <c r="I1531" s="27" t="s">
        <v>49</v>
      </c>
      <c r="J1531" s="27" t="s">
        <v>345</v>
      </c>
      <c r="K1531" s="27" t="s">
        <v>73</v>
      </c>
      <c r="L1531" s="31" t="s">
        <v>1558</v>
      </c>
      <c r="M1531" s="32">
        <v>0.36</v>
      </c>
      <c r="N1531" s="27" t="s">
        <v>33</v>
      </c>
      <c r="O1531" s="27" t="s">
        <v>53</v>
      </c>
      <c r="P1531" s="27" t="s">
        <v>187</v>
      </c>
      <c r="Q1531" s="27" t="s">
        <v>2611</v>
      </c>
      <c r="R1531" s="33">
        <v>79907</v>
      </c>
      <c r="S1531" s="34">
        <v>42145</v>
      </c>
      <c r="T1531" s="34">
        <v>42147</v>
      </c>
      <c r="U1531" s="29">
        <v>70.193700000000007</v>
      </c>
      <c r="V1531" s="26">
        <v>13</v>
      </c>
      <c r="W1531" s="29">
        <v>101.73</v>
      </c>
      <c r="X1531" s="26">
        <v>88103</v>
      </c>
      <c r="Y1531" s="35">
        <v>7.62</v>
      </c>
      <c r="Z1531" s="1" t="s">
        <v>3012</v>
      </c>
      <c r="AA1531" s="36">
        <v>1.9863999999999999</v>
      </c>
      <c r="AB1531" s="54">
        <v>65.107200000000006</v>
      </c>
      <c r="AC1531" s="54">
        <v>2.8171384615384616</v>
      </c>
      <c r="AD1531" s="36">
        <v>28.159899999999993</v>
      </c>
    </row>
    <row r="1532" spans="1:30" s="37" customFormat="1" ht="15.75" customHeight="1" x14ac:dyDescent="0.2">
      <c r="A1532" s="26">
        <v>406</v>
      </c>
      <c r="B1532" s="27" t="s">
        <v>2600</v>
      </c>
      <c r="C1532" s="27" t="s">
        <v>38</v>
      </c>
      <c r="D1532" s="28">
        <v>0.03</v>
      </c>
      <c r="E1532" s="29">
        <v>4.9800000000000004</v>
      </c>
      <c r="F1532" s="29">
        <v>0.8</v>
      </c>
      <c r="G1532" s="30" t="s">
        <v>39</v>
      </c>
      <c r="H1532" s="27" t="s">
        <v>3095</v>
      </c>
      <c r="I1532" s="27" t="s">
        <v>49</v>
      </c>
      <c r="J1532" s="27" t="s">
        <v>88</v>
      </c>
      <c r="K1532" s="27" t="s">
        <v>51</v>
      </c>
      <c r="L1532" s="31" t="s">
        <v>894</v>
      </c>
      <c r="M1532" s="32">
        <v>0.36</v>
      </c>
      <c r="N1532" s="27" t="s">
        <v>33</v>
      </c>
      <c r="O1532" s="27" t="s">
        <v>111</v>
      </c>
      <c r="P1532" s="27" t="s">
        <v>397</v>
      </c>
      <c r="Q1532" s="27" t="s">
        <v>2601</v>
      </c>
      <c r="R1532" s="33">
        <v>8360</v>
      </c>
      <c r="S1532" s="34">
        <v>42145</v>
      </c>
      <c r="T1532" s="34">
        <v>42146</v>
      </c>
      <c r="U1532" s="29">
        <v>50.2044</v>
      </c>
      <c r="V1532" s="26">
        <v>15</v>
      </c>
      <c r="W1532" s="29">
        <v>72.760000000000005</v>
      </c>
      <c r="X1532" s="26">
        <v>87804</v>
      </c>
      <c r="Y1532" s="35">
        <v>2.04</v>
      </c>
      <c r="Z1532" s="1" t="s">
        <v>3014</v>
      </c>
      <c r="AA1532" s="36">
        <v>2.2410000000000001</v>
      </c>
      <c r="AB1532" s="54">
        <v>46.566400000000002</v>
      </c>
      <c r="AC1532" s="54">
        <v>1.74624</v>
      </c>
      <c r="AD1532" s="36">
        <v>19.514600000000009</v>
      </c>
    </row>
    <row r="1533" spans="1:30" s="37" customFormat="1" ht="15.75" customHeight="1" x14ac:dyDescent="0.2">
      <c r="A1533" s="26">
        <v>825</v>
      </c>
      <c r="B1533" s="27" t="s">
        <v>2598</v>
      </c>
      <c r="C1533" s="27" t="s">
        <v>26</v>
      </c>
      <c r="D1533" s="28">
        <v>0</v>
      </c>
      <c r="E1533" s="29">
        <v>11.97</v>
      </c>
      <c r="F1533" s="29">
        <v>4.9800000000000004</v>
      </c>
      <c r="G1533" s="30" t="s">
        <v>39</v>
      </c>
      <c r="H1533" s="27" t="s">
        <v>71</v>
      </c>
      <c r="I1533" s="27" t="s">
        <v>49</v>
      </c>
      <c r="J1533" s="27" t="s">
        <v>95</v>
      </c>
      <c r="K1533" s="27" t="s">
        <v>73</v>
      </c>
      <c r="L1533" s="31" t="s">
        <v>816</v>
      </c>
      <c r="M1533" s="32">
        <v>0.57999999999999996</v>
      </c>
      <c r="N1533" s="27" t="s">
        <v>33</v>
      </c>
      <c r="O1533" s="27" t="s">
        <v>53</v>
      </c>
      <c r="P1533" s="27" t="s">
        <v>187</v>
      </c>
      <c r="Q1533" s="27" t="s">
        <v>2599</v>
      </c>
      <c r="R1533" s="33">
        <v>79605</v>
      </c>
      <c r="S1533" s="34">
        <v>42145</v>
      </c>
      <c r="T1533" s="34">
        <v>42148</v>
      </c>
      <c r="U1533" s="29">
        <v>3.3839999999999999</v>
      </c>
      <c r="V1533" s="26">
        <v>4</v>
      </c>
      <c r="W1533" s="29">
        <v>53.3</v>
      </c>
      <c r="X1533" s="26">
        <v>89258</v>
      </c>
      <c r="Y1533" s="35">
        <v>12.92</v>
      </c>
      <c r="Z1533" s="1" t="s">
        <v>3012</v>
      </c>
      <c r="AA1533" s="36">
        <v>0</v>
      </c>
      <c r="AB1533" s="54">
        <v>22.385999999999999</v>
      </c>
      <c r="AC1533" s="54">
        <v>7.7284999999999995</v>
      </c>
      <c r="AD1533" s="36">
        <v>44.935999999999993</v>
      </c>
    </row>
    <row r="1534" spans="1:30" s="37" customFormat="1" ht="15.75" customHeight="1" x14ac:dyDescent="0.2">
      <c r="A1534" s="26">
        <v>1254</v>
      </c>
      <c r="B1534" s="27" t="s">
        <v>1590</v>
      </c>
      <c r="C1534" s="27" t="s">
        <v>116</v>
      </c>
      <c r="D1534" s="28">
        <v>0.04</v>
      </c>
      <c r="E1534" s="29">
        <v>2.08</v>
      </c>
      <c r="F1534" s="29">
        <v>1.49</v>
      </c>
      <c r="G1534" s="30" t="s">
        <v>39</v>
      </c>
      <c r="H1534" s="27" t="s">
        <v>71</v>
      </c>
      <c r="I1534" s="27" t="s">
        <v>49</v>
      </c>
      <c r="J1534" s="27" t="s">
        <v>72</v>
      </c>
      <c r="K1534" s="27" t="s">
        <v>73</v>
      </c>
      <c r="L1534" s="31" t="s">
        <v>1410</v>
      </c>
      <c r="M1534" s="32">
        <v>0.36</v>
      </c>
      <c r="N1534" s="27" t="s">
        <v>33</v>
      </c>
      <c r="O1534" s="27" t="s">
        <v>53</v>
      </c>
      <c r="P1534" s="27" t="s">
        <v>187</v>
      </c>
      <c r="Q1534" s="27" t="s">
        <v>1591</v>
      </c>
      <c r="R1534" s="33">
        <v>77530</v>
      </c>
      <c r="S1534" s="34">
        <v>42145</v>
      </c>
      <c r="T1534" s="34">
        <v>42147</v>
      </c>
      <c r="U1534" s="29">
        <v>-11.281499999999999</v>
      </c>
      <c r="V1534" s="26">
        <v>16</v>
      </c>
      <c r="W1534" s="29">
        <v>33.770000000000003</v>
      </c>
      <c r="X1534" s="26">
        <v>89982</v>
      </c>
      <c r="Y1534" s="35">
        <v>4.92</v>
      </c>
      <c r="Z1534" s="1" t="s">
        <v>3012</v>
      </c>
      <c r="AA1534" s="36">
        <v>1.3312000000000002</v>
      </c>
      <c r="AB1534" s="54">
        <v>21.612800000000004</v>
      </c>
      <c r="AC1534" s="54">
        <v>0.75982500000000008</v>
      </c>
      <c r="AD1534" s="36">
        <v>42.2303</v>
      </c>
    </row>
    <row r="1535" spans="1:30" s="37" customFormat="1" ht="15.75" customHeight="1" x14ac:dyDescent="0.2">
      <c r="A1535" s="26">
        <v>276</v>
      </c>
      <c r="B1535" s="27" t="s">
        <v>2595</v>
      </c>
      <c r="C1535" s="27" t="s">
        <v>26</v>
      </c>
      <c r="D1535" s="28">
        <v>0.04</v>
      </c>
      <c r="E1535" s="29">
        <v>1.98</v>
      </c>
      <c r="F1535" s="29">
        <v>0.7</v>
      </c>
      <c r="G1535" s="30" t="s">
        <v>87</v>
      </c>
      <c r="H1535" s="27" t="s">
        <v>94</v>
      </c>
      <c r="I1535" s="27" t="s">
        <v>49</v>
      </c>
      <c r="J1535" s="27" t="s">
        <v>176</v>
      </c>
      <c r="K1535" s="27" t="s">
        <v>51</v>
      </c>
      <c r="L1535" s="31" t="s">
        <v>441</v>
      </c>
      <c r="M1535" s="32">
        <v>0.83</v>
      </c>
      <c r="N1535" s="27" t="s">
        <v>33</v>
      </c>
      <c r="O1535" s="27" t="s">
        <v>111</v>
      </c>
      <c r="P1535" s="27" t="s">
        <v>248</v>
      </c>
      <c r="Q1535" s="27" t="s">
        <v>1389</v>
      </c>
      <c r="R1535" s="33">
        <v>6111</v>
      </c>
      <c r="S1535" s="34">
        <v>42145</v>
      </c>
      <c r="T1535" s="34">
        <v>42146</v>
      </c>
      <c r="U1535" s="29">
        <v>-1</v>
      </c>
      <c r="V1535" s="26">
        <v>3</v>
      </c>
      <c r="W1535" s="29">
        <v>8.3000000000000007</v>
      </c>
      <c r="X1535" s="26">
        <v>89291</v>
      </c>
      <c r="Y1535" s="35">
        <v>12.92</v>
      </c>
      <c r="Z1535" s="1" t="s">
        <v>3014</v>
      </c>
      <c r="AA1535" s="36">
        <v>0.23760000000000003</v>
      </c>
      <c r="AB1535" s="54">
        <v>1.4110000000000005</v>
      </c>
      <c r="AC1535" s="54">
        <v>2.2963333333333336</v>
      </c>
      <c r="AD1535" s="36">
        <v>8.3624000000000009</v>
      </c>
    </row>
    <row r="1536" spans="1:30" s="37" customFormat="1" ht="15.75" customHeight="1" x14ac:dyDescent="0.2">
      <c r="A1536" s="26">
        <v>820</v>
      </c>
      <c r="B1536" s="27" t="s">
        <v>2605</v>
      </c>
      <c r="C1536" s="27" t="s">
        <v>48</v>
      </c>
      <c r="D1536" s="28">
        <v>0.09</v>
      </c>
      <c r="E1536" s="29">
        <v>5.84</v>
      </c>
      <c r="F1536" s="29">
        <v>0.83</v>
      </c>
      <c r="G1536" s="30" t="s">
        <v>39</v>
      </c>
      <c r="H1536" s="27" t="s">
        <v>3095</v>
      </c>
      <c r="I1536" s="27" t="s">
        <v>49</v>
      </c>
      <c r="J1536" s="27" t="s">
        <v>50</v>
      </c>
      <c r="K1536" s="27" t="s">
        <v>51</v>
      </c>
      <c r="L1536" s="31" t="s">
        <v>2606</v>
      </c>
      <c r="M1536" s="32">
        <v>0.49</v>
      </c>
      <c r="N1536" s="27" t="s">
        <v>33</v>
      </c>
      <c r="O1536" s="27" t="s">
        <v>60</v>
      </c>
      <c r="P1536" s="27" t="s">
        <v>67</v>
      </c>
      <c r="Q1536" s="27" t="s">
        <v>2607</v>
      </c>
      <c r="R1536" s="33">
        <v>99362</v>
      </c>
      <c r="S1536" s="34">
        <v>42145</v>
      </c>
      <c r="T1536" s="34">
        <v>42149</v>
      </c>
      <c r="U1536" s="29">
        <v>-2.87</v>
      </c>
      <c r="V1536" s="26">
        <v>1</v>
      </c>
      <c r="W1536" s="29">
        <v>5.9</v>
      </c>
      <c r="X1536" s="26">
        <v>90244</v>
      </c>
      <c r="Y1536" s="35">
        <v>218.02</v>
      </c>
      <c r="Z1536" s="1" t="s">
        <v>3013</v>
      </c>
      <c r="AA1536" s="36">
        <v>0.52559999999999996</v>
      </c>
      <c r="AB1536" s="54">
        <v>3.0090000000000003</v>
      </c>
      <c r="AC1536" s="54">
        <v>2.891</v>
      </c>
      <c r="AD1536" s="36">
        <v>7.4144000000000005</v>
      </c>
    </row>
    <row r="1537" spans="1:30" s="37" customFormat="1" ht="15.75" customHeight="1" x14ac:dyDescent="0.2">
      <c r="A1537" s="26">
        <v>1246</v>
      </c>
      <c r="B1537" s="27" t="s">
        <v>2011</v>
      </c>
      <c r="C1537" s="27" t="s">
        <v>48</v>
      </c>
      <c r="D1537" s="28">
        <v>0.03</v>
      </c>
      <c r="E1537" s="29">
        <v>256.99</v>
      </c>
      <c r="F1537" s="29">
        <v>11.25</v>
      </c>
      <c r="G1537" s="30" t="s">
        <v>39</v>
      </c>
      <c r="H1537" s="27" t="s">
        <v>71</v>
      </c>
      <c r="I1537" s="27" t="s">
        <v>41</v>
      </c>
      <c r="J1537" s="27" t="s">
        <v>42</v>
      </c>
      <c r="K1537" s="27" t="s">
        <v>73</v>
      </c>
      <c r="L1537" s="31" t="s">
        <v>2621</v>
      </c>
      <c r="M1537" s="32">
        <v>0.51</v>
      </c>
      <c r="N1537" s="27" t="s">
        <v>33</v>
      </c>
      <c r="O1537" s="27" t="s">
        <v>111</v>
      </c>
      <c r="P1537" s="27" t="s">
        <v>112</v>
      </c>
      <c r="Q1537" s="27" t="s">
        <v>113</v>
      </c>
      <c r="R1537" s="33">
        <v>10009</v>
      </c>
      <c r="S1537" s="34">
        <v>42146</v>
      </c>
      <c r="T1537" s="34">
        <v>42146</v>
      </c>
      <c r="U1537" s="29">
        <v>1489.8</v>
      </c>
      <c r="V1537" s="26">
        <v>32</v>
      </c>
      <c r="W1537" s="29">
        <v>8216.2800000000007</v>
      </c>
      <c r="X1537" s="26">
        <v>46853</v>
      </c>
      <c r="Y1537" s="35">
        <v>130.88</v>
      </c>
      <c r="Z1537" s="1" t="s">
        <v>3014</v>
      </c>
      <c r="AA1537" s="36">
        <v>246.71039999999999</v>
      </c>
      <c r="AB1537" s="54">
        <v>4025.9772000000003</v>
      </c>
      <c r="AC1537" s="54">
        <v>130.94696250000001</v>
      </c>
      <c r="AD1537" s="36">
        <v>6468.5196000000005</v>
      </c>
    </row>
    <row r="1538" spans="1:30" s="37" customFormat="1" ht="15.75" customHeight="1" x14ac:dyDescent="0.2">
      <c r="A1538" s="26">
        <v>2385</v>
      </c>
      <c r="B1538" s="27" t="s">
        <v>2617</v>
      </c>
      <c r="C1538" s="27" t="s">
        <v>26</v>
      </c>
      <c r="D1538" s="28">
        <v>0.1</v>
      </c>
      <c r="E1538" s="29">
        <v>130.97999999999999</v>
      </c>
      <c r="F1538" s="29">
        <v>30</v>
      </c>
      <c r="G1538" s="30" t="s">
        <v>27</v>
      </c>
      <c r="H1538" s="27" t="s">
        <v>3095</v>
      </c>
      <c r="I1538" s="27" t="s">
        <v>29</v>
      </c>
      <c r="J1538" s="27" t="s">
        <v>109</v>
      </c>
      <c r="K1538" s="27" t="s">
        <v>58</v>
      </c>
      <c r="L1538" s="31" t="s">
        <v>2199</v>
      </c>
      <c r="M1538" s="32">
        <v>0.78</v>
      </c>
      <c r="N1538" s="27" t="s">
        <v>33</v>
      </c>
      <c r="O1538" s="27" t="s">
        <v>60</v>
      </c>
      <c r="P1538" s="27" t="s">
        <v>640</v>
      </c>
      <c r="Q1538" s="27" t="s">
        <v>2618</v>
      </c>
      <c r="R1538" s="33">
        <v>88001</v>
      </c>
      <c r="S1538" s="34">
        <v>42146</v>
      </c>
      <c r="T1538" s="34">
        <v>42148</v>
      </c>
      <c r="U1538" s="29">
        <v>2000.11</v>
      </c>
      <c r="V1538" s="26">
        <v>18</v>
      </c>
      <c r="W1538" s="29">
        <v>2259.9899999999998</v>
      </c>
      <c r="X1538" s="26">
        <v>89184</v>
      </c>
      <c r="Y1538" s="35">
        <v>4.9200000000000008</v>
      </c>
      <c r="Z1538" s="1" t="s">
        <v>3013</v>
      </c>
      <c r="AA1538" s="36">
        <v>235.76399999999998</v>
      </c>
      <c r="AB1538" s="54">
        <v>497.19779999999992</v>
      </c>
      <c r="AC1538" s="54">
        <v>97.932900000000004</v>
      </c>
      <c r="AD1538" s="36">
        <v>-5.8840000000000146</v>
      </c>
    </row>
    <row r="1539" spans="1:30" s="37" customFormat="1" ht="15.75" customHeight="1" x14ac:dyDescent="0.2">
      <c r="A1539" s="26">
        <v>2976</v>
      </c>
      <c r="B1539" s="27" t="s">
        <v>2622</v>
      </c>
      <c r="C1539" s="27" t="s">
        <v>116</v>
      </c>
      <c r="D1539" s="28">
        <v>0.01</v>
      </c>
      <c r="E1539" s="29">
        <v>35.99</v>
      </c>
      <c r="F1539" s="29">
        <v>0.99</v>
      </c>
      <c r="G1539" s="30" t="s">
        <v>39</v>
      </c>
      <c r="H1539" s="27" t="s">
        <v>3095</v>
      </c>
      <c r="I1539" s="27" t="s">
        <v>41</v>
      </c>
      <c r="J1539" s="27" t="s">
        <v>135</v>
      </c>
      <c r="K1539" s="27" t="s">
        <v>43</v>
      </c>
      <c r="L1539" s="31" t="s">
        <v>1985</v>
      </c>
      <c r="M1539" s="32">
        <v>0.35</v>
      </c>
      <c r="N1539" s="27" t="s">
        <v>33</v>
      </c>
      <c r="O1539" s="27" t="s">
        <v>53</v>
      </c>
      <c r="P1539" s="27" t="s">
        <v>357</v>
      </c>
      <c r="Q1539" s="27" t="s">
        <v>2623</v>
      </c>
      <c r="R1539" s="33">
        <v>53154</v>
      </c>
      <c r="S1539" s="34">
        <v>42146</v>
      </c>
      <c r="T1539" s="34">
        <v>42147</v>
      </c>
      <c r="U1539" s="29">
        <v>882.48239999999998</v>
      </c>
      <c r="V1539" s="26">
        <v>41</v>
      </c>
      <c r="W1539" s="29">
        <v>1278.96</v>
      </c>
      <c r="X1539" s="26">
        <v>89047</v>
      </c>
      <c r="Y1539" s="35">
        <v>1.6099999999999999</v>
      </c>
      <c r="Z1539" s="1" t="s">
        <v>3012</v>
      </c>
      <c r="AA1539" s="36">
        <v>14.755900000000002</v>
      </c>
      <c r="AB1539" s="54">
        <v>831.32400000000007</v>
      </c>
      <c r="AC1539" s="54">
        <v>10.917951219512195</v>
      </c>
      <c r="AD1539" s="36">
        <v>380.73170000000005</v>
      </c>
    </row>
    <row r="1540" spans="1:30" s="37" customFormat="1" ht="15.75" customHeight="1" x14ac:dyDescent="0.2">
      <c r="A1540" s="26">
        <v>1257</v>
      </c>
      <c r="B1540" s="27" t="s">
        <v>2281</v>
      </c>
      <c r="C1540" s="27" t="s">
        <v>116</v>
      </c>
      <c r="D1540" s="28">
        <v>0.01</v>
      </c>
      <c r="E1540" s="29">
        <v>115.99</v>
      </c>
      <c r="F1540" s="29">
        <v>56.14</v>
      </c>
      <c r="G1540" s="30" t="s">
        <v>27</v>
      </c>
      <c r="H1540" s="27" t="s">
        <v>71</v>
      </c>
      <c r="I1540" s="27" t="s">
        <v>41</v>
      </c>
      <c r="J1540" s="27" t="s">
        <v>57</v>
      </c>
      <c r="K1540" s="27" t="s">
        <v>58</v>
      </c>
      <c r="L1540" s="31" t="s">
        <v>480</v>
      </c>
      <c r="M1540" s="32">
        <v>0.4</v>
      </c>
      <c r="N1540" s="27" t="s">
        <v>33</v>
      </c>
      <c r="O1540" s="27" t="s">
        <v>60</v>
      </c>
      <c r="P1540" s="27" t="s">
        <v>61</v>
      </c>
      <c r="Q1540" s="27" t="s">
        <v>1123</v>
      </c>
      <c r="R1540" s="33">
        <v>80013</v>
      </c>
      <c r="S1540" s="34">
        <v>42146</v>
      </c>
      <c r="T1540" s="34">
        <v>42147</v>
      </c>
      <c r="U1540" s="29">
        <v>-164.39519999999999</v>
      </c>
      <c r="V1540" s="26">
        <v>5</v>
      </c>
      <c r="W1540" s="29">
        <v>604.35</v>
      </c>
      <c r="X1540" s="26">
        <v>86535</v>
      </c>
      <c r="Y1540" s="35">
        <v>9.99</v>
      </c>
      <c r="Z1540" s="1" t="s">
        <v>3013</v>
      </c>
      <c r="AA1540" s="36">
        <v>5.7995000000000001</v>
      </c>
      <c r="AB1540" s="54">
        <v>362.61</v>
      </c>
      <c r="AC1540" s="54">
        <v>48.348000000000006</v>
      </c>
      <c r="AD1540" s="36">
        <v>706.8057</v>
      </c>
    </row>
    <row r="1541" spans="1:30" s="37" customFormat="1" ht="15.75" customHeight="1" x14ac:dyDescent="0.2">
      <c r="A1541" s="26">
        <v>2198</v>
      </c>
      <c r="B1541" s="27" t="s">
        <v>2624</v>
      </c>
      <c r="C1541" s="27" t="s">
        <v>3094</v>
      </c>
      <c r="D1541" s="28">
        <v>0.03</v>
      </c>
      <c r="E1541" s="29">
        <v>25.98</v>
      </c>
      <c r="F1541" s="29">
        <v>4.08</v>
      </c>
      <c r="G1541" s="30" t="s">
        <v>39</v>
      </c>
      <c r="H1541" s="27" t="s">
        <v>3095</v>
      </c>
      <c r="I1541" s="27" t="s">
        <v>49</v>
      </c>
      <c r="J1541" s="27" t="s">
        <v>50</v>
      </c>
      <c r="K1541" s="27" t="s">
        <v>43</v>
      </c>
      <c r="L1541" s="31" t="s">
        <v>2625</v>
      </c>
      <c r="M1541" s="32">
        <v>0.56999999999999995</v>
      </c>
      <c r="N1541" s="27" t="s">
        <v>33</v>
      </c>
      <c r="O1541" s="27" t="s">
        <v>111</v>
      </c>
      <c r="P1541" s="27" t="s">
        <v>112</v>
      </c>
      <c r="Q1541" s="27" t="s">
        <v>2626</v>
      </c>
      <c r="R1541" s="33">
        <v>11757</v>
      </c>
      <c r="S1541" s="34">
        <v>42146</v>
      </c>
      <c r="T1541" s="34">
        <v>42149</v>
      </c>
      <c r="U1541" s="29">
        <v>295.90649999999999</v>
      </c>
      <c r="V1541" s="26">
        <v>16</v>
      </c>
      <c r="W1541" s="29">
        <v>428.85</v>
      </c>
      <c r="X1541" s="26">
        <v>89174</v>
      </c>
      <c r="Y1541" s="35">
        <v>1.6099999999999999</v>
      </c>
      <c r="Z1541" s="1" t="s">
        <v>3014</v>
      </c>
      <c r="AA1541" s="36">
        <v>12.4704</v>
      </c>
      <c r="AB1541" s="54">
        <v>184.40550000000002</v>
      </c>
      <c r="AC1541" s="54">
        <v>15.27778125</v>
      </c>
      <c r="AD1541" s="36">
        <v>116.39310000000006</v>
      </c>
    </row>
    <row r="1542" spans="1:30" s="37" customFormat="1" ht="15.75" customHeight="1" x14ac:dyDescent="0.2">
      <c r="A1542" s="26">
        <v>2198</v>
      </c>
      <c r="B1542" s="27" t="s">
        <v>2624</v>
      </c>
      <c r="C1542" s="27" t="s">
        <v>3094</v>
      </c>
      <c r="D1542" s="28">
        <v>0.1</v>
      </c>
      <c r="E1542" s="29">
        <v>20.98</v>
      </c>
      <c r="F1542" s="29">
        <v>53.03</v>
      </c>
      <c r="G1542" s="30" t="s">
        <v>27</v>
      </c>
      <c r="H1542" s="27" t="s">
        <v>3095</v>
      </c>
      <c r="I1542" s="27" t="s">
        <v>49</v>
      </c>
      <c r="J1542" s="27" t="s">
        <v>78</v>
      </c>
      <c r="K1542" s="27" t="s">
        <v>58</v>
      </c>
      <c r="L1542" s="31" t="s">
        <v>1090</v>
      </c>
      <c r="M1542" s="32">
        <v>0.78</v>
      </c>
      <c r="N1542" s="27" t="s">
        <v>33</v>
      </c>
      <c r="O1542" s="27" t="s">
        <v>111</v>
      </c>
      <c r="P1542" s="27" t="s">
        <v>112</v>
      </c>
      <c r="Q1542" s="27" t="s">
        <v>2626</v>
      </c>
      <c r="R1542" s="33">
        <v>11757</v>
      </c>
      <c r="S1542" s="34">
        <v>42146</v>
      </c>
      <c r="T1542" s="34">
        <v>42146</v>
      </c>
      <c r="U1542" s="29">
        <v>-2111.36</v>
      </c>
      <c r="V1542" s="26">
        <v>16</v>
      </c>
      <c r="W1542" s="29">
        <v>342.54</v>
      </c>
      <c r="X1542" s="26">
        <v>89174</v>
      </c>
      <c r="Y1542" s="35">
        <v>256.96000000000004</v>
      </c>
      <c r="Z1542" s="1" t="s">
        <v>3014</v>
      </c>
      <c r="AA1542" s="36">
        <v>33.568000000000005</v>
      </c>
      <c r="AB1542" s="54">
        <v>75.358800000000002</v>
      </c>
      <c r="AC1542" s="54">
        <v>16.698825000000003</v>
      </c>
      <c r="AD1542" s="36">
        <v>2367.3020000000001</v>
      </c>
    </row>
    <row r="1543" spans="1:30" s="37" customFormat="1" ht="15.75" customHeight="1" x14ac:dyDescent="0.2">
      <c r="A1543" s="26">
        <v>188</v>
      </c>
      <c r="B1543" s="27" t="s">
        <v>2620</v>
      </c>
      <c r="C1543" s="27" t="s">
        <v>38</v>
      </c>
      <c r="D1543" s="28">
        <v>7.0000000000000007E-2</v>
      </c>
      <c r="E1543" s="29">
        <v>10.06</v>
      </c>
      <c r="F1543" s="29">
        <v>2.06</v>
      </c>
      <c r="G1543" s="30" t="s">
        <v>39</v>
      </c>
      <c r="H1543" s="27" t="s">
        <v>94</v>
      </c>
      <c r="I1543" s="27" t="s">
        <v>49</v>
      </c>
      <c r="J1543" s="27" t="s">
        <v>88</v>
      </c>
      <c r="K1543" s="27" t="s">
        <v>51</v>
      </c>
      <c r="L1543" s="31" t="s">
        <v>173</v>
      </c>
      <c r="M1543" s="32">
        <v>0.39</v>
      </c>
      <c r="N1543" s="27" t="s">
        <v>33</v>
      </c>
      <c r="O1543" s="27" t="s">
        <v>53</v>
      </c>
      <c r="P1543" s="27" t="s">
        <v>187</v>
      </c>
      <c r="Q1543" s="27" t="s">
        <v>1957</v>
      </c>
      <c r="R1543" s="33">
        <v>76240</v>
      </c>
      <c r="S1543" s="34">
        <v>42146</v>
      </c>
      <c r="T1543" s="34">
        <v>42146</v>
      </c>
      <c r="U1543" s="29">
        <v>152.65559999999999</v>
      </c>
      <c r="V1543" s="26">
        <v>23</v>
      </c>
      <c r="W1543" s="29">
        <v>221.24</v>
      </c>
      <c r="X1543" s="26">
        <v>88361</v>
      </c>
      <c r="Y1543" s="35">
        <v>115.97999999999999</v>
      </c>
      <c r="Z1543" s="1" t="s">
        <v>3012</v>
      </c>
      <c r="AA1543" s="36">
        <v>16.1966</v>
      </c>
      <c r="AB1543" s="54">
        <v>134.9564</v>
      </c>
      <c r="AC1543" s="54">
        <v>3.7514608695652174</v>
      </c>
      <c r="AD1543" s="36">
        <v>50.327800000000025</v>
      </c>
    </row>
    <row r="1544" spans="1:30" s="37" customFormat="1" ht="15.75" customHeight="1" x14ac:dyDescent="0.2">
      <c r="A1544" s="26">
        <v>181</v>
      </c>
      <c r="B1544" s="27" t="s">
        <v>1287</v>
      </c>
      <c r="C1544" s="27" t="s">
        <v>38</v>
      </c>
      <c r="D1544" s="28">
        <v>7.0000000000000007E-2</v>
      </c>
      <c r="E1544" s="29">
        <v>1.68</v>
      </c>
      <c r="F1544" s="29">
        <v>1.57</v>
      </c>
      <c r="G1544" s="30" t="s">
        <v>39</v>
      </c>
      <c r="H1544" s="27" t="s">
        <v>94</v>
      </c>
      <c r="I1544" s="27" t="s">
        <v>49</v>
      </c>
      <c r="J1544" s="27" t="s">
        <v>50</v>
      </c>
      <c r="K1544" s="27" t="s">
        <v>51</v>
      </c>
      <c r="L1544" s="31" t="s">
        <v>574</v>
      </c>
      <c r="M1544" s="32">
        <v>0.59</v>
      </c>
      <c r="N1544" s="27" t="s">
        <v>33</v>
      </c>
      <c r="O1544" s="27" t="s">
        <v>60</v>
      </c>
      <c r="P1544" s="27" t="s">
        <v>90</v>
      </c>
      <c r="Q1544" s="27" t="s">
        <v>941</v>
      </c>
      <c r="R1544" s="33">
        <v>94122</v>
      </c>
      <c r="S1544" s="34">
        <v>42146</v>
      </c>
      <c r="T1544" s="34">
        <v>42147</v>
      </c>
      <c r="U1544" s="29">
        <v>-35.75</v>
      </c>
      <c r="V1544" s="26">
        <v>116</v>
      </c>
      <c r="W1544" s="29">
        <v>186.59</v>
      </c>
      <c r="X1544" s="26">
        <v>3585</v>
      </c>
      <c r="Y1544" s="35">
        <v>35.980000000000004</v>
      </c>
      <c r="Z1544" s="1" t="s">
        <v>3013</v>
      </c>
      <c r="AA1544" s="36">
        <v>13.6416</v>
      </c>
      <c r="AB1544" s="54">
        <v>76.501900000000006</v>
      </c>
      <c r="AC1544" s="54">
        <v>0.94903534482758622</v>
      </c>
      <c r="AD1544" s="36">
        <v>207.1284</v>
      </c>
    </row>
    <row r="1545" spans="1:30" s="37" customFormat="1" ht="15.75" customHeight="1" x14ac:dyDescent="0.2">
      <c r="A1545" s="26">
        <v>2699</v>
      </c>
      <c r="B1545" s="27" t="s">
        <v>2089</v>
      </c>
      <c r="C1545" s="27" t="s">
        <v>26</v>
      </c>
      <c r="D1545" s="28">
        <v>0.06</v>
      </c>
      <c r="E1545" s="29">
        <v>4.9800000000000004</v>
      </c>
      <c r="F1545" s="29">
        <v>4.95</v>
      </c>
      <c r="G1545" s="30" t="s">
        <v>39</v>
      </c>
      <c r="H1545" s="27" t="s">
        <v>94</v>
      </c>
      <c r="I1545" s="27" t="s">
        <v>49</v>
      </c>
      <c r="J1545" s="27" t="s">
        <v>72</v>
      </c>
      <c r="K1545" s="27" t="s">
        <v>73</v>
      </c>
      <c r="L1545" s="31" t="s">
        <v>2619</v>
      </c>
      <c r="M1545" s="32">
        <v>0.37</v>
      </c>
      <c r="N1545" s="27" t="s">
        <v>33</v>
      </c>
      <c r="O1545" s="27" t="s">
        <v>60</v>
      </c>
      <c r="P1545" s="27" t="s">
        <v>588</v>
      </c>
      <c r="Q1545" s="27" t="s">
        <v>2091</v>
      </c>
      <c r="R1545" s="33">
        <v>86442</v>
      </c>
      <c r="S1545" s="34">
        <v>42146</v>
      </c>
      <c r="T1545" s="34">
        <v>42148</v>
      </c>
      <c r="U1545" s="29">
        <v>-103.224</v>
      </c>
      <c r="V1545" s="26">
        <v>16</v>
      </c>
      <c r="W1545" s="29">
        <v>78.989999999999995</v>
      </c>
      <c r="X1545" s="26">
        <v>87677</v>
      </c>
      <c r="Y1545" s="35">
        <v>25.95</v>
      </c>
      <c r="Z1545" s="1" t="s">
        <v>3013</v>
      </c>
      <c r="AA1545" s="36">
        <v>4.7808000000000002</v>
      </c>
      <c r="AB1545" s="54">
        <v>49.7637</v>
      </c>
      <c r="AC1545" s="54">
        <v>1.8266437499999999</v>
      </c>
      <c r="AD1545" s="36">
        <v>172.48320000000001</v>
      </c>
    </row>
    <row r="1546" spans="1:30" s="37" customFormat="1" ht="15.75" customHeight="1" x14ac:dyDescent="0.2">
      <c r="A1546" s="26">
        <v>188</v>
      </c>
      <c r="B1546" s="27" t="s">
        <v>2620</v>
      </c>
      <c r="C1546" s="27" t="s">
        <v>38</v>
      </c>
      <c r="D1546" s="28">
        <v>7.0000000000000007E-2</v>
      </c>
      <c r="E1546" s="29">
        <v>1.68</v>
      </c>
      <c r="F1546" s="29">
        <v>1.57</v>
      </c>
      <c r="G1546" s="30" t="s">
        <v>39</v>
      </c>
      <c r="H1546" s="27" t="s">
        <v>94</v>
      </c>
      <c r="I1546" s="27" t="s">
        <v>49</v>
      </c>
      <c r="J1546" s="27" t="s">
        <v>50</v>
      </c>
      <c r="K1546" s="27" t="s">
        <v>51</v>
      </c>
      <c r="L1546" s="31" t="s">
        <v>574</v>
      </c>
      <c r="M1546" s="32">
        <v>0.59</v>
      </c>
      <c r="N1546" s="27" t="s">
        <v>33</v>
      </c>
      <c r="O1546" s="27" t="s">
        <v>53</v>
      </c>
      <c r="P1546" s="27" t="s">
        <v>187</v>
      </c>
      <c r="Q1546" s="27" t="s">
        <v>1957</v>
      </c>
      <c r="R1546" s="33">
        <v>76240</v>
      </c>
      <c r="S1546" s="34">
        <v>42146</v>
      </c>
      <c r="T1546" s="34">
        <v>42147</v>
      </c>
      <c r="U1546" s="29">
        <v>7.15</v>
      </c>
      <c r="V1546" s="26">
        <v>29</v>
      </c>
      <c r="W1546" s="29">
        <v>46.65</v>
      </c>
      <c r="X1546" s="26">
        <v>88361</v>
      </c>
      <c r="Y1546" s="35">
        <v>20.88</v>
      </c>
      <c r="Z1546" s="1" t="s">
        <v>3012</v>
      </c>
      <c r="AA1546" s="36">
        <v>3.4104000000000001</v>
      </c>
      <c r="AB1546" s="54">
        <v>19.1265</v>
      </c>
      <c r="AC1546" s="54">
        <v>0.94908620689655165</v>
      </c>
      <c r="AD1546" s="36">
        <v>34.519599999999997</v>
      </c>
    </row>
    <row r="1547" spans="1:30" s="37" customFormat="1" ht="15.75" customHeight="1" x14ac:dyDescent="0.2">
      <c r="A1547" s="26">
        <v>540</v>
      </c>
      <c r="B1547" s="27" t="s">
        <v>2508</v>
      </c>
      <c r="C1547" s="27" t="s">
        <v>116</v>
      </c>
      <c r="D1547" s="28">
        <v>0.05</v>
      </c>
      <c r="E1547" s="29">
        <v>204.1</v>
      </c>
      <c r="F1547" s="29">
        <v>13.99</v>
      </c>
      <c r="G1547" s="30" t="s">
        <v>39</v>
      </c>
      <c r="H1547" s="27" t="s">
        <v>3095</v>
      </c>
      <c r="I1547" s="27" t="s">
        <v>41</v>
      </c>
      <c r="J1547" s="27" t="s">
        <v>57</v>
      </c>
      <c r="K1547" s="27" t="s">
        <v>144</v>
      </c>
      <c r="L1547" s="31" t="s">
        <v>2640</v>
      </c>
      <c r="M1547" s="32">
        <v>0.37</v>
      </c>
      <c r="N1547" s="27" t="s">
        <v>33</v>
      </c>
      <c r="O1547" s="27" t="s">
        <v>53</v>
      </c>
      <c r="P1547" s="27" t="s">
        <v>103</v>
      </c>
      <c r="Q1547" s="27" t="s">
        <v>2510</v>
      </c>
      <c r="R1547" s="33">
        <v>60061</v>
      </c>
      <c r="S1547" s="34">
        <v>42147</v>
      </c>
      <c r="T1547" s="34">
        <v>42149</v>
      </c>
      <c r="U1547" s="29">
        <v>5924.1122999999998</v>
      </c>
      <c r="V1547" s="26">
        <v>41</v>
      </c>
      <c r="W1547" s="29">
        <v>8585.67</v>
      </c>
      <c r="X1547" s="26">
        <v>91175</v>
      </c>
      <c r="Y1547" s="35">
        <v>2.1500000000000004</v>
      </c>
      <c r="Z1547" s="1" t="s">
        <v>3012</v>
      </c>
      <c r="AA1547" s="36">
        <v>418.40500000000003</v>
      </c>
      <c r="AB1547" s="54">
        <v>5408.9721</v>
      </c>
      <c r="AC1547" s="54">
        <v>77.480436585365851</v>
      </c>
      <c r="AD1547" s="36">
        <v>2229.1627000000008</v>
      </c>
    </row>
    <row r="1548" spans="1:30" s="37" customFormat="1" ht="15.75" customHeight="1" x14ac:dyDescent="0.2">
      <c r="A1548" s="26">
        <v>2858</v>
      </c>
      <c r="B1548" s="27" t="s">
        <v>2551</v>
      </c>
      <c r="C1548" s="27" t="s">
        <v>48</v>
      </c>
      <c r="D1548" s="28">
        <v>0.1</v>
      </c>
      <c r="E1548" s="29">
        <v>130.97999999999999</v>
      </c>
      <c r="F1548" s="29">
        <v>54.74</v>
      </c>
      <c r="G1548" s="30" t="s">
        <v>27</v>
      </c>
      <c r="H1548" s="27" t="s">
        <v>94</v>
      </c>
      <c r="I1548" s="27" t="s">
        <v>29</v>
      </c>
      <c r="J1548" s="27" t="s">
        <v>117</v>
      </c>
      <c r="K1548" s="27" t="s">
        <v>31</v>
      </c>
      <c r="L1548" s="31" t="s">
        <v>1403</v>
      </c>
      <c r="M1548" s="32">
        <v>0.69</v>
      </c>
      <c r="N1548" s="27" t="s">
        <v>33</v>
      </c>
      <c r="O1548" s="27" t="s">
        <v>34</v>
      </c>
      <c r="P1548" s="27" t="s">
        <v>123</v>
      </c>
      <c r="Q1548" s="27" t="s">
        <v>1363</v>
      </c>
      <c r="R1548" s="33">
        <v>32259</v>
      </c>
      <c r="S1548" s="34">
        <v>42147</v>
      </c>
      <c r="T1548" s="34">
        <v>42147</v>
      </c>
      <c r="U1548" s="29">
        <v>669.61199999999997</v>
      </c>
      <c r="V1548" s="26">
        <v>42</v>
      </c>
      <c r="W1548" s="29">
        <v>5295.03</v>
      </c>
      <c r="X1548" s="26">
        <v>88282</v>
      </c>
      <c r="Y1548" s="35">
        <v>21.31</v>
      </c>
      <c r="Z1548" s="1" t="s">
        <v>3011</v>
      </c>
      <c r="AA1548" s="36">
        <v>550.11599999999999</v>
      </c>
      <c r="AB1548" s="54">
        <v>1641.4593000000002</v>
      </c>
      <c r="AC1548" s="54">
        <v>86.989778571428559</v>
      </c>
      <c r="AD1548" s="36">
        <v>4020.5619999999999</v>
      </c>
    </row>
    <row r="1549" spans="1:30" s="37" customFormat="1" ht="15.75" customHeight="1" x14ac:dyDescent="0.2">
      <c r="A1549" s="26">
        <v>2858</v>
      </c>
      <c r="B1549" s="27" t="s">
        <v>2551</v>
      </c>
      <c r="C1549" s="27" t="s">
        <v>48</v>
      </c>
      <c r="D1549" s="28">
        <v>0.04</v>
      </c>
      <c r="E1549" s="29">
        <v>67.28</v>
      </c>
      <c r="F1549" s="29">
        <v>19.989999999999998</v>
      </c>
      <c r="G1549" s="30" t="s">
        <v>39</v>
      </c>
      <c r="H1549" s="27" t="s">
        <v>94</v>
      </c>
      <c r="I1549" s="27" t="s">
        <v>49</v>
      </c>
      <c r="J1549" s="27" t="s">
        <v>72</v>
      </c>
      <c r="K1549" s="27" t="s">
        <v>73</v>
      </c>
      <c r="L1549" s="31" t="s">
        <v>1951</v>
      </c>
      <c r="M1549" s="32">
        <v>0.4</v>
      </c>
      <c r="N1549" s="27" t="s">
        <v>33</v>
      </c>
      <c r="O1549" s="27" t="s">
        <v>34</v>
      </c>
      <c r="P1549" s="27" t="s">
        <v>123</v>
      </c>
      <c r="Q1549" s="27" t="s">
        <v>1363</v>
      </c>
      <c r="R1549" s="33">
        <v>32259</v>
      </c>
      <c r="S1549" s="34">
        <v>42147</v>
      </c>
      <c r="T1549" s="34">
        <v>42152</v>
      </c>
      <c r="U1549" s="29">
        <v>14.754</v>
      </c>
      <c r="V1549" s="26">
        <v>30</v>
      </c>
      <c r="W1549" s="29">
        <v>2051.6799999999998</v>
      </c>
      <c r="X1549" s="26">
        <v>88282</v>
      </c>
      <c r="Y1549" s="35">
        <v>2.54</v>
      </c>
      <c r="Z1549" s="1" t="s">
        <v>3011</v>
      </c>
      <c r="AA1549" s="36">
        <v>80.736000000000004</v>
      </c>
      <c r="AB1549" s="54">
        <v>1231.0079999999998</v>
      </c>
      <c r="AC1549" s="54">
        <v>27.355733333333333</v>
      </c>
      <c r="AD1549" s="36">
        <v>1936.1999999999998</v>
      </c>
    </row>
    <row r="1550" spans="1:30" s="37" customFormat="1" ht="15.75" customHeight="1" x14ac:dyDescent="0.2">
      <c r="A1550" s="26">
        <v>398</v>
      </c>
      <c r="B1550" s="27" t="s">
        <v>2638</v>
      </c>
      <c r="C1550" s="27" t="s">
        <v>116</v>
      </c>
      <c r="D1550" s="28">
        <v>0.05</v>
      </c>
      <c r="E1550" s="29">
        <v>63.94</v>
      </c>
      <c r="F1550" s="29">
        <v>14.48</v>
      </c>
      <c r="G1550" s="30" t="s">
        <v>39</v>
      </c>
      <c r="H1550" s="27" t="s">
        <v>94</v>
      </c>
      <c r="I1550" s="27" t="s">
        <v>29</v>
      </c>
      <c r="J1550" s="27" t="s">
        <v>126</v>
      </c>
      <c r="K1550" s="27" t="s">
        <v>73</v>
      </c>
      <c r="L1550" s="31" t="s">
        <v>1994</v>
      </c>
      <c r="M1550" s="32">
        <v>0.46</v>
      </c>
      <c r="N1550" s="27" t="s">
        <v>33</v>
      </c>
      <c r="O1550" s="27" t="s">
        <v>111</v>
      </c>
      <c r="P1550" s="27" t="s">
        <v>317</v>
      </c>
      <c r="Q1550" s="27" t="s">
        <v>2639</v>
      </c>
      <c r="R1550" s="33">
        <v>45406</v>
      </c>
      <c r="S1550" s="34">
        <v>42147</v>
      </c>
      <c r="T1550" s="34">
        <v>42149</v>
      </c>
      <c r="U1550" s="29">
        <v>1372.6307999999999</v>
      </c>
      <c r="V1550" s="26">
        <v>31</v>
      </c>
      <c r="W1550" s="29">
        <v>1989.32</v>
      </c>
      <c r="X1550" s="26">
        <v>89320</v>
      </c>
      <c r="Y1550" s="35">
        <v>42.769999999999996</v>
      </c>
      <c r="Z1550" s="1" t="s">
        <v>3014</v>
      </c>
      <c r="AA1550" s="36">
        <v>99.106999999999999</v>
      </c>
      <c r="AB1550" s="54">
        <v>1074.2328</v>
      </c>
      <c r="AC1550" s="54">
        <v>29.518941935483873</v>
      </c>
      <c r="AD1550" s="36">
        <v>503.10220000000004</v>
      </c>
    </row>
    <row r="1551" spans="1:30" s="37" customFormat="1" ht="15.75" customHeight="1" x14ac:dyDescent="0.2">
      <c r="A1551" s="26">
        <v>1814</v>
      </c>
      <c r="B1551" s="27" t="s">
        <v>2641</v>
      </c>
      <c r="C1551" s="27" t="s">
        <v>3094</v>
      </c>
      <c r="D1551" s="28">
        <v>0.09</v>
      </c>
      <c r="E1551" s="29">
        <v>77.510000000000005</v>
      </c>
      <c r="F1551" s="29">
        <v>4</v>
      </c>
      <c r="G1551" s="30" t="s">
        <v>87</v>
      </c>
      <c r="H1551" s="27" t="s">
        <v>71</v>
      </c>
      <c r="I1551" s="27" t="s">
        <v>41</v>
      </c>
      <c r="J1551" s="27" t="s">
        <v>42</v>
      </c>
      <c r="K1551" s="27" t="s">
        <v>73</v>
      </c>
      <c r="L1551" s="31" t="s">
        <v>2049</v>
      </c>
      <c r="M1551" s="32">
        <v>0.76</v>
      </c>
      <c r="N1551" s="27" t="s">
        <v>33</v>
      </c>
      <c r="O1551" s="27" t="s">
        <v>34</v>
      </c>
      <c r="P1551" s="27" t="s">
        <v>35</v>
      </c>
      <c r="Q1551" s="27" t="s">
        <v>2642</v>
      </c>
      <c r="R1551" s="33">
        <v>38654</v>
      </c>
      <c r="S1551" s="34">
        <v>42147</v>
      </c>
      <c r="T1551" s="34">
        <v>42149</v>
      </c>
      <c r="U1551" s="29">
        <v>-986.524</v>
      </c>
      <c r="V1551" s="26">
        <v>17</v>
      </c>
      <c r="W1551" s="29">
        <v>1300.54</v>
      </c>
      <c r="X1551" s="26">
        <v>90524</v>
      </c>
      <c r="Y1551" s="35">
        <v>16.84</v>
      </c>
      <c r="Z1551" s="1" t="s">
        <v>3011</v>
      </c>
      <c r="AA1551" s="36">
        <v>118.5903</v>
      </c>
      <c r="AB1551" s="54">
        <v>312.12959999999998</v>
      </c>
      <c r="AC1551" s="54">
        <v>58.141788235294115</v>
      </c>
      <c r="AD1551" s="36">
        <v>2164.4737</v>
      </c>
    </row>
    <row r="1552" spans="1:30" s="37" customFormat="1" ht="15.75" customHeight="1" x14ac:dyDescent="0.2">
      <c r="A1552" s="26">
        <v>3249</v>
      </c>
      <c r="B1552" s="27" t="s">
        <v>2632</v>
      </c>
      <c r="C1552" s="27" t="s">
        <v>38</v>
      </c>
      <c r="D1552" s="28">
        <v>0.03</v>
      </c>
      <c r="E1552" s="29">
        <v>42.8</v>
      </c>
      <c r="F1552" s="29">
        <v>2.99</v>
      </c>
      <c r="G1552" s="30" t="s">
        <v>39</v>
      </c>
      <c r="H1552" s="27" t="s">
        <v>94</v>
      </c>
      <c r="I1552" s="27" t="s">
        <v>49</v>
      </c>
      <c r="J1552" s="27" t="s">
        <v>72</v>
      </c>
      <c r="K1552" s="27" t="s">
        <v>73</v>
      </c>
      <c r="L1552" s="31" t="s">
        <v>2633</v>
      </c>
      <c r="M1552" s="32">
        <v>0.36</v>
      </c>
      <c r="N1552" s="27" t="s">
        <v>33</v>
      </c>
      <c r="O1552" s="27" t="s">
        <v>111</v>
      </c>
      <c r="P1552" s="27" t="s">
        <v>418</v>
      </c>
      <c r="Q1552" s="27" t="s">
        <v>2634</v>
      </c>
      <c r="R1552" s="33">
        <v>21403</v>
      </c>
      <c r="S1552" s="34">
        <v>42147</v>
      </c>
      <c r="T1552" s="34">
        <v>42148</v>
      </c>
      <c r="U1552" s="29">
        <v>462.92099999999999</v>
      </c>
      <c r="V1552" s="26">
        <v>16</v>
      </c>
      <c r="W1552" s="29">
        <v>670.9</v>
      </c>
      <c r="X1552" s="26">
        <v>87298</v>
      </c>
      <c r="Y1552" s="35">
        <v>67.239999999999995</v>
      </c>
      <c r="Z1552" s="1" t="s">
        <v>3014</v>
      </c>
      <c r="AA1552" s="36">
        <v>20.543999999999997</v>
      </c>
      <c r="AB1552" s="54">
        <v>429.37599999999998</v>
      </c>
      <c r="AC1552" s="54">
        <v>15.095249999999998</v>
      </c>
      <c r="AD1552" s="36">
        <v>184.44499999999999</v>
      </c>
    </row>
    <row r="1553" spans="1:30" s="37" customFormat="1" ht="15.75" customHeight="1" x14ac:dyDescent="0.2">
      <c r="A1553" s="26">
        <v>460</v>
      </c>
      <c r="B1553" s="27" t="s">
        <v>2635</v>
      </c>
      <c r="C1553" s="27" t="s">
        <v>48</v>
      </c>
      <c r="D1553" s="28">
        <v>7.0000000000000007E-2</v>
      </c>
      <c r="E1553" s="29">
        <v>16.91</v>
      </c>
      <c r="F1553" s="29">
        <v>6.25</v>
      </c>
      <c r="G1553" s="30" t="s">
        <v>39</v>
      </c>
      <c r="H1553" s="27" t="s">
        <v>71</v>
      </c>
      <c r="I1553" s="27" t="s">
        <v>49</v>
      </c>
      <c r="J1553" s="27" t="s">
        <v>78</v>
      </c>
      <c r="K1553" s="27" t="s">
        <v>73</v>
      </c>
      <c r="L1553" s="31" t="s">
        <v>2636</v>
      </c>
      <c r="M1553" s="32">
        <v>0.57999999999999996</v>
      </c>
      <c r="N1553" s="27" t="s">
        <v>33</v>
      </c>
      <c r="O1553" s="27" t="s">
        <v>111</v>
      </c>
      <c r="P1553" s="27" t="s">
        <v>397</v>
      </c>
      <c r="Q1553" s="27" t="s">
        <v>2637</v>
      </c>
      <c r="R1553" s="33">
        <v>8332</v>
      </c>
      <c r="S1553" s="34">
        <v>42147</v>
      </c>
      <c r="T1553" s="34">
        <v>42154</v>
      </c>
      <c r="U1553" s="29">
        <v>7.9</v>
      </c>
      <c r="V1553" s="26">
        <v>31</v>
      </c>
      <c r="W1553" s="29">
        <v>492.9</v>
      </c>
      <c r="X1553" s="26">
        <v>86014</v>
      </c>
      <c r="Y1553" s="35">
        <v>130.88</v>
      </c>
      <c r="Z1553" s="1" t="s">
        <v>3014</v>
      </c>
      <c r="AA1553" s="36">
        <v>36.694700000000005</v>
      </c>
      <c r="AB1553" s="54">
        <v>207.018</v>
      </c>
      <c r="AC1553" s="54">
        <v>9.2219999999999978</v>
      </c>
      <c r="AD1553" s="36">
        <v>442.05529999999999</v>
      </c>
    </row>
    <row r="1554" spans="1:30" s="37" customFormat="1" ht="15.75" customHeight="1" x14ac:dyDescent="0.2">
      <c r="A1554" s="26">
        <v>2858</v>
      </c>
      <c r="B1554" s="27" t="s">
        <v>2551</v>
      </c>
      <c r="C1554" s="27" t="s">
        <v>48</v>
      </c>
      <c r="D1554" s="28">
        <v>0.04</v>
      </c>
      <c r="E1554" s="29">
        <v>2.78</v>
      </c>
      <c r="F1554" s="29">
        <v>1.25</v>
      </c>
      <c r="G1554" s="30" t="s">
        <v>39</v>
      </c>
      <c r="H1554" s="27" t="s">
        <v>94</v>
      </c>
      <c r="I1554" s="27" t="s">
        <v>49</v>
      </c>
      <c r="J1554" s="27" t="s">
        <v>50</v>
      </c>
      <c r="K1554" s="27" t="s">
        <v>51</v>
      </c>
      <c r="L1554" s="31" t="s">
        <v>382</v>
      </c>
      <c r="M1554" s="32">
        <v>0.59</v>
      </c>
      <c r="N1554" s="27" t="s">
        <v>33</v>
      </c>
      <c r="O1554" s="27" t="s">
        <v>34</v>
      </c>
      <c r="P1554" s="27" t="s">
        <v>123</v>
      </c>
      <c r="Q1554" s="27" t="s">
        <v>1363</v>
      </c>
      <c r="R1554" s="33">
        <v>32259</v>
      </c>
      <c r="S1554" s="34">
        <v>42147</v>
      </c>
      <c r="T1554" s="34">
        <v>42147</v>
      </c>
      <c r="U1554" s="29">
        <v>213</v>
      </c>
      <c r="V1554" s="26">
        <v>28</v>
      </c>
      <c r="W1554" s="29">
        <v>80.27</v>
      </c>
      <c r="X1554" s="26">
        <v>88282</v>
      </c>
      <c r="Y1554" s="35">
        <v>2.7399999999999998</v>
      </c>
      <c r="Z1554" s="1" t="s">
        <v>3011</v>
      </c>
      <c r="AA1554" s="36">
        <v>3.1135999999999999</v>
      </c>
      <c r="AB1554" s="54">
        <v>32.910699999999999</v>
      </c>
      <c r="AC1554" s="54">
        <v>1.6914035714285713</v>
      </c>
      <c r="AD1554" s="36">
        <v>-137.09359999999998</v>
      </c>
    </row>
    <row r="1555" spans="1:30" s="37" customFormat="1" ht="15.75" customHeight="1" x14ac:dyDescent="0.2">
      <c r="A1555" s="26">
        <v>2527</v>
      </c>
      <c r="B1555" s="27" t="s">
        <v>2628</v>
      </c>
      <c r="C1555" s="27" t="s">
        <v>26</v>
      </c>
      <c r="D1555" s="28">
        <v>7.0000000000000007E-2</v>
      </c>
      <c r="E1555" s="29">
        <v>21.38</v>
      </c>
      <c r="F1555" s="29">
        <v>8.99</v>
      </c>
      <c r="G1555" s="30" t="s">
        <v>39</v>
      </c>
      <c r="H1555" s="27" t="s">
        <v>94</v>
      </c>
      <c r="I1555" s="27" t="s">
        <v>49</v>
      </c>
      <c r="J1555" s="27" t="s">
        <v>50</v>
      </c>
      <c r="K1555" s="27" t="s">
        <v>43</v>
      </c>
      <c r="L1555" s="31" t="s">
        <v>1677</v>
      </c>
      <c r="M1555" s="32">
        <v>0.59</v>
      </c>
      <c r="N1555" s="27" t="s">
        <v>33</v>
      </c>
      <c r="O1555" s="27" t="s">
        <v>34</v>
      </c>
      <c r="P1555" s="27" t="s">
        <v>168</v>
      </c>
      <c r="Q1555" s="27" t="s">
        <v>2629</v>
      </c>
      <c r="R1555" s="33">
        <v>70601</v>
      </c>
      <c r="S1555" s="34">
        <v>42147</v>
      </c>
      <c r="T1555" s="34">
        <v>42149</v>
      </c>
      <c r="U1555" s="29">
        <v>-39.396000000000001</v>
      </c>
      <c r="V1555" s="26">
        <v>3</v>
      </c>
      <c r="W1555" s="29">
        <v>68.64</v>
      </c>
      <c r="X1555" s="26">
        <v>87208</v>
      </c>
      <c r="Y1555" s="35">
        <v>63.89</v>
      </c>
      <c r="Z1555" s="1" t="s">
        <v>3011</v>
      </c>
      <c r="AA1555" s="36">
        <v>4.4898000000000007</v>
      </c>
      <c r="AB1555" s="54">
        <v>28.142400000000002</v>
      </c>
      <c r="AC1555" s="54">
        <v>13.499199999999998</v>
      </c>
      <c r="AD1555" s="36">
        <v>94.55619999999999</v>
      </c>
    </row>
    <row r="1556" spans="1:30" s="37" customFormat="1" ht="15.75" customHeight="1" x14ac:dyDescent="0.2">
      <c r="A1556" s="26">
        <v>2526</v>
      </c>
      <c r="B1556" s="27" t="s">
        <v>2627</v>
      </c>
      <c r="C1556" s="27" t="s">
        <v>26</v>
      </c>
      <c r="D1556" s="28">
        <v>0.01</v>
      </c>
      <c r="E1556" s="29">
        <v>2.16</v>
      </c>
      <c r="F1556" s="29">
        <v>6.05</v>
      </c>
      <c r="G1556" s="30" t="s">
        <v>39</v>
      </c>
      <c r="H1556" s="27" t="s">
        <v>94</v>
      </c>
      <c r="I1556" s="27" t="s">
        <v>49</v>
      </c>
      <c r="J1556" s="27" t="s">
        <v>72</v>
      </c>
      <c r="K1556" s="27" t="s">
        <v>73</v>
      </c>
      <c r="L1556" s="31" t="s">
        <v>896</v>
      </c>
      <c r="M1556" s="32">
        <v>0.37</v>
      </c>
      <c r="N1556" s="27" t="s">
        <v>33</v>
      </c>
      <c r="O1556" s="27" t="s">
        <v>34</v>
      </c>
      <c r="P1556" s="27" t="s">
        <v>168</v>
      </c>
      <c r="Q1556" s="27" t="s">
        <v>2029</v>
      </c>
      <c r="R1556" s="33">
        <v>70506</v>
      </c>
      <c r="S1556" s="34">
        <v>42147</v>
      </c>
      <c r="T1556" s="34">
        <v>42149</v>
      </c>
      <c r="U1556" s="29">
        <v>395.76</v>
      </c>
      <c r="V1556" s="26">
        <v>24</v>
      </c>
      <c r="W1556" s="29">
        <v>58.05</v>
      </c>
      <c r="X1556" s="26">
        <v>87208</v>
      </c>
      <c r="Y1556" s="35">
        <v>204.04999999999998</v>
      </c>
      <c r="Z1556" s="1" t="s">
        <v>3011</v>
      </c>
      <c r="AA1556" s="36">
        <v>0.51839999999999997</v>
      </c>
      <c r="AB1556" s="54">
        <v>36.5715</v>
      </c>
      <c r="AC1556" s="54">
        <v>0.89493749999999994</v>
      </c>
      <c r="AD1556" s="36">
        <v>-344.27839999999998</v>
      </c>
    </row>
    <row r="1557" spans="1:30" s="37" customFormat="1" ht="15.75" customHeight="1" x14ac:dyDescent="0.2">
      <c r="A1557" s="26">
        <v>2458</v>
      </c>
      <c r="B1557" s="27" t="s">
        <v>157</v>
      </c>
      <c r="C1557" s="27" t="s">
        <v>116</v>
      </c>
      <c r="D1557" s="28">
        <v>0.05</v>
      </c>
      <c r="E1557" s="29">
        <v>12.88</v>
      </c>
      <c r="F1557" s="29">
        <v>4.59</v>
      </c>
      <c r="G1557" s="30" t="s">
        <v>39</v>
      </c>
      <c r="H1557" s="27" t="s">
        <v>71</v>
      </c>
      <c r="I1557" s="27" t="s">
        <v>49</v>
      </c>
      <c r="J1557" s="27" t="s">
        <v>568</v>
      </c>
      <c r="K1557" s="27" t="s">
        <v>51</v>
      </c>
      <c r="L1557" s="31" t="s">
        <v>2031</v>
      </c>
      <c r="M1557" s="32">
        <v>0.82</v>
      </c>
      <c r="N1557" s="27" t="s">
        <v>33</v>
      </c>
      <c r="O1557" s="27" t="s">
        <v>53</v>
      </c>
      <c r="P1557" s="27" t="s">
        <v>84</v>
      </c>
      <c r="Q1557" s="27" t="s">
        <v>159</v>
      </c>
      <c r="R1557" s="33">
        <v>55410</v>
      </c>
      <c r="S1557" s="34">
        <v>42147</v>
      </c>
      <c r="T1557" s="34">
        <v>42149</v>
      </c>
      <c r="U1557" s="29">
        <v>5.98</v>
      </c>
      <c r="V1557" s="26">
        <v>3</v>
      </c>
      <c r="W1557" s="29">
        <v>42.35</v>
      </c>
      <c r="X1557" s="26">
        <v>91286</v>
      </c>
      <c r="Y1557" s="35">
        <v>12.83</v>
      </c>
      <c r="Z1557" s="1" t="s">
        <v>3012</v>
      </c>
      <c r="AA1557" s="36">
        <v>1.9320000000000004</v>
      </c>
      <c r="AB1557" s="54">
        <v>7.623000000000002</v>
      </c>
      <c r="AC1557" s="54">
        <v>11.575666666666667</v>
      </c>
      <c r="AD1557" s="36">
        <v>29.847999999999999</v>
      </c>
    </row>
    <row r="1558" spans="1:30" s="37" customFormat="1" ht="15.75" customHeight="1" x14ac:dyDescent="0.2">
      <c r="A1558" s="26">
        <v>1182</v>
      </c>
      <c r="B1558" s="27" t="s">
        <v>2630</v>
      </c>
      <c r="C1558" s="27" t="s">
        <v>38</v>
      </c>
      <c r="D1558" s="28">
        <v>7.0000000000000007E-2</v>
      </c>
      <c r="E1558" s="29">
        <v>2.61</v>
      </c>
      <c r="F1558" s="29">
        <v>0.5</v>
      </c>
      <c r="G1558" s="30" t="s">
        <v>39</v>
      </c>
      <c r="H1558" s="27" t="s">
        <v>71</v>
      </c>
      <c r="I1558" s="27" t="s">
        <v>49</v>
      </c>
      <c r="J1558" s="27" t="s">
        <v>152</v>
      </c>
      <c r="K1558" s="27" t="s">
        <v>73</v>
      </c>
      <c r="L1558" s="31" t="s">
        <v>1367</v>
      </c>
      <c r="M1558" s="32">
        <v>0.39</v>
      </c>
      <c r="N1558" s="27" t="s">
        <v>33</v>
      </c>
      <c r="O1558" s="27" t="s">
        <v>60</v>
      </c>
      <c r="P1558" s="27" t="s">
        <v>146</v>
      </c>
      <c r="Q1558" s="27" t="s">
        <v>2631</v>
      </c>
      <c r="R1558" s="33">
        <v>84660</v>
      </c>
      <c r="S1558" s="34">
        <v>42147</v>
      </c>
      <c r="T1558" s="34">
        <v>42147</v>
      </c>
      <c r="U1558" s="29">
        <v>27.013500000000001</v>
      </c>
      <c r="V1558" s="26">
        <v>15</v>
      </c>
      <c r="W1558" s="29">
        <v>39.15</v>
      </c>
      <c r="X1558" s="26">
        <v>86913</v>
      </c>
      <c r="Y1558" s="35">
        <v>77.42</v>
      </c>
      <c r="Z1558" s="1" t="s">
        <v>3013</v>
      </c>
      <c r="AA1558" s="36">
        <v>2.7404999999999999</v>
      </c>
      <c r="AB1558" s="54">
        <v>23.881499999999999</v>
      </c>
      <c r="AC1558" s="54">
        <v>1.0179</v>
      </c>
      <c r="AD1558" s="36">
        <v>8.8959999999999972</v>
      </c>
    </row>
    <row r="1559" spans="1:30" s="37" customFormat="1" ht="15.75" customHeight="1" x14ac:dyDescent="0.2">
      <c r="A1559" s="26">
        <v>1814</v>
      </c>
      <c r="B1559" s="27" t="s">
        <v>2641</v>
      </c>
      <c r="C1559" s="27" t="s">
        <v>3094</v>
      </c>
      <c r="D1559" s="28">
        <v>0</v>
      </c>
      <c r="E1559" s="29">
        <v>2.88</v>
      </c>
      <c r="F1559" s="29">
        <v>0.7</v>
      </c>
      <c r="G1559" s="30" t="s">
        <v>39</v>
      </c>
      <c r="H1559" s="27" t="s">
        <v>71</v>
      </c>
      <c r="I1559" s="27" t="s">
        <v>49</v>
      </c>
      <c r="J1559" s="27" t="s">
        <v>50</v>
      </c>
      <c r="K1559" s="27" t="s">
        <v>51</v>
      </c>
      <c r="L1559" s="31" t="s">
        <v>639</v>
      </c>
      <c r="M1559" s="32">
        <v>0.56000000000000005</v>
      </c>
      <c r="N1559" s="27" t="s">
        <v>33</v>
      </c>
      <c r="O1559" s="27" t="s">
        <v>34</v>
      </c>
      <c r="P1559" s="27" t="s">
        <v>35</v>
      </c>
      <c r="Q1559" s="27" t="s">
        <v>2642</v>
      </c>
      <c r="R1559" s="33">
        <v>38654</v>
      </c>
      <c r="S1559" s="34">
        <v>42147</v>
      </c>
      <c r="T1559" s="34">
        <v>42149</v>
      </c>
      <c r="U1559" s="29">
        <v>-141.666</v>
      </c>
      <c r="V1559" s="26">
        <v>13</v>
      </c>
      <c r="W1559" s="29">
        <v>38.06</v>
      </c>
      <c r="X1559" s="26">
        <v>90524</v>
      </c>
      <c r="Y1559" s="35">
        <v>2.88</v>
      </c>
      <c r="Z1559" s="1" t="s">
        <v>3011</v>
      </c>
      <c r="AA1559" s="36">
        <v>0</v>
      </c>
      <c r="AB1559" s="54">
        <v>16.746399999999998</v>
      </c>
      <c r="AC1559" s="54">
        <v>1.6395076923076926</v>
      </c>
      <c r="AD1559" s="36">
        <v>179.02600000000001</v>
      </c>
    </row>
    <row r="1560" spans="1:30" s="37" customFormat="1" ht="15.75" customHeight="1" x14ac:dyDescent="0.2">
      <c r="A1560" s="26">
        <v>2450</v>
      </c>
      <c r="B1560" s="27" t="s">
        <v>2643</v>
      </c>
      <c r="C1560" s="27" t="s">
        <v>3094</v>
      </c>
      <c r="D1560" s="28">
        <v>0.08</v>
      </c>
      <c r="E1560" s="29">
        <v>4.13</v>
      </c>
      <c r="F1560" s="29">
        <v>1.17</v>
      </c>
      <c r="G1560" s="30" t="s">
        <v>39</v>
      </c>
      <c r="H1560" s="27" t="s">
        <v>71</v>
      </c>
      <c r="I1560" s="27" t="s">
        <v>49</v>
      </c>
      <c r="J1560" s="27" t="s">
        <v>50</v>
      </c>
      <c r="K1560" s="27" t="s">
        <v>51</v>
      </c>
      <c r="L1560" s="31" t="s">
        <v>2644</v>
      </c>
      <c r="M1560" s="32">
        <v>0.56999999999999995</v>
      </c>
      <c r="N1560" s="27" t="s">
        <v>33</v>
      </c>
      <c r="O1560" s="27" t="s">
        <v>53</v>
      </c>
      <c r="P1560" s="27" t="s">
        <v>357</v>
      </c>
      <c r="Q1560" s="27" t="s">
        <v>2645</v>
      </c>
      <c r="R1560" s="33">
        <v>53545</v>
      </c>
      <c r="S1560" s="34">
        <v>42147</v>
      </c>
      <c r="T1560" s="34">
        <v>42149</v>
      </c>
      <c r="U1560" s="29">
        <v>-5.54</v>
      </c>
      <c r="V1560" s="26">
        <v>1</v>
      </c>
      <c r="W1560" s="29">
        <v>4.21</v>
      </c>
      <c r="X1560" s="26">
        <v>90322</v>
      </c>
      <c r="Y1560" s="35">
        <v>4.05</v>
      </c>
      <c r="Z1560" s="1" t="s">
        <v>3012</v>
      </c>
      <c r="AA1560" s="36">
        <v>0.33039999999999997</v>
      </c>
      <c r="AB1560" s="54">
        <v>1.8103000000000002</v>
      </c>
      <c r="AC1560" s="54">
        <v>2.3996999999999997</v>
      </c>
      <c r="AD1560" s="36">
        <v>8.2496000000000009</v>
      </c>
    </row>
    <row r="1561" spans="1:30" s="37" customFormat="1" ht="15.75" customHeight="1" x14ac:dyDescent="0.2">
      <c r="A1561" s="26">
        <v>3096</v>
      </c>
      <c r="B1561" s="27" t="s">
        <v>2653</v>
      </c>
      <c r="C1561" s="27" t="s">
        <v>38</v>
      </c>
      <c r="D1561" s="28">
        <v>0.02</v>
      </c>
      <c r="E1561" s="29">
        <v>262.11</v>
      </c>
      <c r="F1561" s="29">
        <v>62.74</v>
      </c>
      <c r="G1561" s="30" t="s">
        <v>27</v>
      </c>
      <c r="H1561" s="27" t="s">
        <v>40</v>
      </c>
      <c r="I1561" s="27" t="s">
        <v>29</v>
      </c>
      <c r="J1561" s="27" t="s">
        <v>30</v>
      </c>
      <c r="K1561" s="27" t="s">
        <v>31</v>
      </c>
      <c r="L1561" s="31" t="s">
        <v>2655</v>
      </c>
      <c r="M1561" s="32">
        <v>0.75</v>
      </c>
      <c r="N1561" s="27" t="s">
        <v>33</v>
      </c>
      <c r="O1561" s="27" t="s">
        <v>111</v>
      </c>
      <c r="P1561" s="27" t="s">
        <v>317</v>
      </c>
      <c r="Q1561" s="27" t="s">
        <v>2440</v>
      </c>
      <c r="R1561" s="33">
        <v>43026</v>
      </c>
      <c r="S1561" s="34">
        <v>42148</v>
      </c>
      <c r="T1561" s="34">
        <v>42149</v>
      </c>
      <c r="U1561" s="29">
        <v>-633.441237</v>
      </c>
      <c r="V1561" s="26">
        <v>9</v>
      </c>
      <c r="W1561" s="29">
        <v>2495.35</v>
      </c>
      <c r="X1561" s="26">
        <v>86221</v>
      </c>
      <c r="Y1561" s="35">
        <v>124.42</v>
      </c>
      <c r="Z1561" s="1" t="s">
        <v>3014</v>
      </c>
      <c r="AA1561" s="36">
        <v>47.1798</v>
      </c>
      <c r="AB1561" s="54">
        <v>623.83749999999998</v>
      </c>
      <c r="AC1561" s="54">
        <v>207.94583333333333</v>
      </c>
      <c r="AD1561" s="36">
        <v>3018.8714369999998</v>
      </c>
    </row>
    <row r="1562" spans="1:30" s="37" customFormat="1" ht="15.75" customHeight="1" x14ac:dyDescent="0.2">
      <c r="A1562" s="26">
        <v>1450</v>
      </c>
      <c r="B1562" s="27" t="s">
        <v>2657</v>
      </c>
      <c r="C1562" s="27" t="s">
        <v>116</v>
      </c>
      <c r="D1562" s="28">
        <v>0.1</v>
      </c>
      <c r="E1562" s="29">
        <v>218.08</v>
      </c>
      <c r="F1562" s="29">
        <v>18.059999999999999</v>
      </c>
      <c r="G1562" s="30" t="s">
        <v>87</v>
      </c>
      <c r="H1562" s="27" t="s">
        <v>40</v>
      </c>
      <c r="I1562" s="27" t="s">
        <v>29</v>
      </c>
      <c r="J1562" s="27" t="s">
        <v>109</v>
      </c>
      <c r="K1562" s="27" t="s">
        <v>65</v>
      </c>
      <c r="L1562" s="31" t="s">
        <v>2616</v>
      </c>
      <c r="M1562" s="32">
        <v>0.56999999999999995</v>
      </c>
      <c r="N1562" s="27" t="s">
        <v>33</v>
      </c>
      <c r="O1562" s="27" t="s">
        <v>60</v>
      </c>
      <c r="P1562" s="27" t="s">
        <v>90</v>
      </c>
      <c r="Q1562" s="27" t="s">
        <v>2658</v>
      </c>
      <c r="R1562" s="33">
        <v>96150</v>
      </c>
      <c r="S1562" s="34">
        <v>42148</v>
      </c>
      <c r="T1562" s="34">
        <v>42149</v>
      </c>
      <c r="U1562" s="29">
        <v>1318.83</v>
      </c>
      <c r="V1562" s="26">
        <v>12</v>
      </c>
      <c r="W1562" s="29">
        <v>2366.5100000000002</v>
      </c>
      <c r="X1562" s="26">
        <v>86735</v>
      </c>
      <c r="Y1562" s="35">
        <v>25.92</v>
      </c>
      <c r="Z1562" s="1" t="s">
        <v>3013</v>
      </c>
      <c r="AA1562" s="36">
        <v>261.69600000000003</v>
      </c>
      <c r="AB1562" s="54">
        <v>1017.5993000000002</v>
      </c>
      <c r="AC1562" s="54">
        <v>112.40922499999999</v>
      </c>
      <c r="AD1562" s="36">
        <v>767.92400000000043</v>
      </c>
    </row>
    <row r="1563" spans="1:30" s="37" customFormat="1" ht="15.75" customHeight="1" x14ac:dyDescent="0.2">
      <c r="A1563" s="26">
        <v>2422</v>
      </c>
      <c r="B1563" s="27" t="s">
        <v>725</v>
      </c>
      <c r="C1563" s="27" t="s">
        <v>3094</v>
      </c>
      <c r="D1563" s="28">
        <v>0.05</v>
      </c>
      <c r="E1563" s="29">
        <v>150.97999999999999</v>
      </c>
      <c r="F1563" s="29">
        <v>43.71</v>
      </c>
      <c r="G1563" s="30" t="s">
        <v>27</v>
      </c>
      <c r="H1563" s="27" t="s">
        <v>71</v>
      </c>
      <c r="I1563" s="27" t="s">
        <v>29</v>
      </c>
      <c r="J1563" s="27" t="s">
        <v>109</v>
      </c>
      <c r="K1563" s="27" t="s">
        <v>58</v>
      </c>
      <c r="L1563" s="31" t="s">
        <v>2659</v>
      </c>
      <c r="M1563" s="32">
        <v>0.55000000000000004</v>
      </c>
      <c r="N1563" s="27" t="s">
        <v>33</v>
      </c>
      <c r="O1563" s="27" t="s">
        <v>53</v>
      </c>
      <c r="P1563" s="27" t="s">
        <v>187</v>
      </c>
      <c r="Q1563" s="27" t="s">
        <v>727</v>
      </c>
      <c r="R1563" s="33">
        <v>77340</v>
      </c>
      <c r="S1563" s="34">
        <v>42148</v>
      </c>
      <c r="T1563" s="34">
        <v>42149</v>
      </c>
      <c r="U1563" s="29">
        <v>650.29999999999995</v>
      </c>
      <c r="V1563" s="26">
        <v>12</v>
      </c>
      <c r="W1563" s="29">
        <v>1857.08</v>
      </c>
      <c r="X1563" s="26">
        <v>89053</v>
      </c>
      <c r="Y1563" s="35">
        <v>14.95</v>
      </c>
      <c r="Z1563" s="1" t="s">
        <v>3012</v>
      </c>
      <c r="AA1563" s="36">
        <v>90.587999999999994</v>
      </c>
      <c r="AB1563" s="54">
        <v>835.68599999999992</v>
      </c>
      <c r="AC1563" s="54">
        <v>85.116166666666672</v>
      </c>
      <c r="AD1563" s="36">
        <v>1072.482</v>
      </c>
    </row>
    <row r="1564" spans="1:30" s="37" customFormat="1" ht="15.75" customHeight="1" x14ac:dyDescent="0.2">
      <c r="A1564" s="26">
        <v>357</v>
      </c>
      <c r="B1564" s="27" t="s">
        <v>2646</v>
      </c>
      <c r="C1564" s="27" t="s">
        <v>26</v>
      </c>
      <c r="D1564" s="28">
        <v>7.0000000000000007E-2</v>
      </c>
      <c r="E1564" s="29">
        <v>124.49</v>
      </c>
      <c r="F1564" s="29">
        <v>51.94</v>
      </c>
      <c r="G1564" s="30" t="s">
        <v>27</v>
      </c>
      <c r="H1564" s="27" t="s">
        <v>94</v>
      </c>
      <c r="I1564" s="27" t="s">
        <v>29</v>
      </c>
      <c r="J1564" s="27" t="s">
        <v>30</v>
      </c>
      <c r="K1564" s="27" t="s">
        <v>31</v>
      </c>
      <c r="L1564" s="31" t="s">
        <v>1149</v>
      </c>
      <c r="M1564" s="32">
        <v>0.63</v>
      </c>
      <c r="N1564" s="27" t="s">
        <v>33</v>
      </c>
      <c r="O1564" s="27" t="s">
        <v>60</v>
      </c>
      <c r="P1564" s="27" t="s">
        <v>588</v>
      </c>
      <c r="Q1564" s="27" t="s">
        <v>2647</v>
      </c>
      <c r="R1564" s="33">
        <v>86401</v>
      </c>
      <c r="S1564" s="34">
        <v>42148</v>
      </c>
      <c r="T1564" s="34">
        <v>42149</v>
      </c>
      <c r="U1564" s="29">
        <v>1074.44</v>
      </c>
      <c r="V1564" s="26">
        <v>14</v>
      </c>
      <c r="W1564" s="29">
        <v>1714.93</v>
      </c>
      <c r="X1564" s="26">
        <v>91131</v>
      </c>
      <c r="Y1564" s="35">
        <v>40.389999999999993</v>
      </c>
      <c r="Z1564" s="1" t="s">
        <v>3013</v>
      </c>
      <c r="AA1564" s="36">
        <v>122.00019999999999</v>
      </c>
      <c r="AB1564" s="54">
        <v>634.52409999999998</v>
      </c>
      <c r="AC1564" s="54">
        <v>77.171850000000006</v>
      </c>
      <c r="AD1564" s="36">
        <v>466.5498</v>
      </c>
    </row>
    <row r="1565" spans="1:30" s="37" customFormat="1" ht="15.75" customHeight="1" x14ac:dyDescent="0.2">
      <c r="A1565" s="26">
        <v>885</v>
      </c>
      <c r="B1565" s="27" t="s">
        <v>2648</v>
      </c>
      <c r="C1565" s="27" t="s">
        <v>26</v>
      </c>
      <c r="D1565" s="28">
        <v>0.06</v>
      </c>
      <c r="E1565" s="29">
        <v>25.98</v>
      </c>
      <c r="F1565" s="29">
        <v>14.36</v>
      </c>
      <c r="G1565" s="30" t="s">
        <v>27</v>
      </c>
      <c r="H1565" s="27" t="s">
        <v>94</v>
      </c>
      <c r="I1565" s="27" t="s">
        <v>29</v>
      </c>
      <c r="J1565" s="27" t="s">
        <v>109</v>
      </c>
      <c r="K1565" s="27" t="s">
        <v>58</v>
      </c>
      <c r="L1565" s="31" t="s">
        <v>784</v>
      </c>
      <c r="M1565" s="32">
        <v>0.6</v>
      </c>
      <c r="N1565" s="27" t="s">
        <v>33</v>
      </c>
      <c r="O1565" s="27" t="s">
        <v>53</v>
      </c>
      <c r="P1565" s="27" t="s">
        <v>187</v>
      </c>
      <c r="Q1565" s="27" t="s">
        <v>2649</v>
      </c>
      <c r="R1565" s="33">
        <v>79109</v>
      </c>
      <c r="S1565" s="34">
        <v>42148</v>
      </c>
      <c r="T1565" s="34">
        <v>42149</v>
      </c>
      <c r="U1565" s="29">
        <v>55.887999999999998</v>
      </c>
      <c r="V1565" s="26">
        <v>41</v>
      </c>
      <c r="W1565" s="29">
        <v>1033.56</v>
      </c>
      <c r="X1565" s="26">
        <v>89537</v>
      </c>
      <c r="Y1565" s="35">
        <v>12.229999999999999</v>
      </c>
      <c r="Z1565" s="1" t="s">
        <v>3012</v>
      </c>
      <c r="AA1565" s="36">
        <v>63.910800000000002</v>
      </c>
      <c r="AB1565" s="54">
        <v>413.42399999999998</v>
      </c>
      <c r="AC1565" s="54">
        <v>15.125268292682925</v>
      </c>
      <c r="AD1565" s="36">
        <v>899.40120000000002</v>
      </c>
    </row>
    <row r="1566" spans="1:30" s="37" customFormat="1" ht="15.75" customHeight="1" x14ac:dyDescent="0.2">
      <c r="A1566" s="26">
        <v>3366</v>
      </c>
      <c r="B1566" s="27" t="s">
        <v>2656</v>
      </c>
      <c r="C1566" s="27" t="s">
        <v>48</v>
      </c>
      <c r="D1566" s="28">
        <v>0.1</v>
      </c>
      <c r="E1566" s="29">
        <v>80.97</v>
      </c>
      <c r="F1566" s="29">
        <v>33.6</v>
      </c>
      <c r="G1566" s="30" t="s">
        <v>27</v>
      </c>
      <c r="H1566" s="27" t="s">
        <v>71</v>
      </c>
      <c r="I1566" s="27" t="s">
        <v>41</v>
      </c>
      <c r="J1566" s="27" t="s">
        <v>57</v>
      </c>
      <c r="K1566" s="27" t="s">
        <v>58</v>
      </c>
      <c r="L1566" s="31" t="s">
        <v>909</v>
      </c>
      <c r="M1566" s="32">
        <v>0.37</v>
      </c>
      <c r="N1566" s="27" t="s">
        <v>33</v>
      </c>
      <c r="O1566" s="27" t="s">
        <v>111</v>
      </c>
      <c r="P1566" s="27" t="s">
        <v>317</v>
      </c>
      <c r="Q1566" s="27" t="s">
        <v>581</v>
      </c>
      <c r="R1566" s="33">
        <v>45373</v>
      </c>
      <c r="S1566" s="34">
        <v>42148</v>
      </c>
      <c r="T1566" s="34">
        <v>42153</v>
      </c>
      <c r="U1566" s="29">
        <v>66.22</v>
      </c>
      <c r="V1566" s="26">
        <v>11</v>
      </c>
      <c r="W1566" s="29">
        <v>837.57</v>
      </c>
      <c r="X1566" s="26">
        <v>90501</v>
      </c>
      <c r="Y1566" s="35">
        <v>40.9</v>
      </c>
      <c r="Z1566" s="1" t="s">
        <v>3014</v>
      </c>
      <c r="AA1566" s="36">
        <v>89.066999999999993</v>
      </c>
      <c r="AB1566" s="54">
        <v>527.66910000000007</v>
      </c>
      <c r="AC1566" s="54">
        <v>28.172809090909091</v>
      </c>
      <c r="AD1566" s="36">
        <v>648.68299999999999</v>
      </c>
    </row>
    <row r="1567" spans="1:30" s="37" customFormat="1" ht="15.75" customHeight="1" x14ac:dyDescent="0.2">
      <c r="A1567" s="26">
        <v>1623</v>
      </c>
      <c r="B1567" s="27" t="s">
        <v>2650</v>
      </c>
      <c r="C1567" s="27" t="s">
        <v>38</v>
      </c>
      <c r="D1567" s="28">
        <v>0.09</v>
      </c>
      <c r="E1567" s="29">
        <v>40.479999999999997</v>
      </c>
      <c r="F1567" s="29">
        <v>19.989999999999998</v>
      </c>
      <c r="G1567" s="30" t="s">
        <v>39</v>
      </c>
      <c r="H1567" s="27" t="s">
        <v>3095</v>
      </c>
      <c r="I1567" s="27" t="s">
        <v>41</v>
      </c>
      <c r="J1567" s="27" t="s">
        <v>42</v>
      </c>
      <c r="K1567" s="27" t="s">
        <v>73</v>
      </c>
      <c r="L1567" s="31" t="s">
        <v>2054</v>
      </c>
      <c r="M1567" s="32">
        <v>0.77</v>
      </c>
      <c r="N1567" s="27" t="s">
        <v>33</v>
      </c>
      <c r="O1567" s="27" t="s">
        <v>53</v>
      </c>
      <c r="P1567" s="27" t="s">
        <v>54</v>
      </c>
      <c r="Q1567" s="27" t="s">
        <v>2652</v>
      </c>
      <c r="R1567" s="33">
        <v>46375</v>
      </c>
      <c r="S1567" s="34">
        <v>42148</v>
      </c>
      <c r="T1567" s="34">
        <v>42150</v>
      </c>
      <c r="U1567" s="29">
        <v>65.394000000000005</v>
      </c>
      <c r="V1567" s="26">
        <v>12</v>
      </c>
      <c r="W1567" s="29">
        <v>472.44</v>
      </c>
      <c r="X1567" s="26">
        <v>87611</v>
      </c>
      <c r="Y1567" s="35">
        <v>8.0399999999999991</v>
      </c>
      <c r="Z1567" s="1" t="s">
        <v>3012</v>
      </c>
      <c r="AA1567" s="36">
        <v>43.718399999999995</v>
      </c>
      <c r="AB1567" s="54">
        <v>108.66119999999999</v>
      </c>
      <c r="AC1567" s="54">
        <v>30.314899999999998</v>
      </c>
      <c r="AD1567" s="36">
        <v>343.33760000000001</v>
      </c>
    </row>
    <row r="1568" spans="1:30" s="37" customFormat="1" ht="15.75" customHeight="1" x14ac:dyDescent="0.2">
      <c r="A1568" s="26">
        <v>1623</v>
      </c>
      <c r="B1568" s="27" t="s">
        <v>2650</v>
      </c>
      <c r="C1568" s="27" t="s">
        <v>38</v>
      </c>
      <c r="D1568" s="28">
        <v>0.06</v>
      </c>
      <c r="E1568" s="29">
        <v>15.01</v>
      </c>
      <c r="F1568" s="29">
        <v>8.4</v>
      </c>
      <c r="G1568" s="30" t="s">
        <v>39</v>
      </c>
      <c r="H1568" s="27" t="s">
        <v>3095</v>
      </c>
      <c r="I1568" s="27" t="s">
        <v>49</v>
      </c>
      <c r="J1568" s="27" t="s">
        <v>72</v>
      </c>
      <c r="K1568" s="27" t="s">
        <v>73</v>
      </c>
      <c r="L1568" s="31" t="s">
        <v>2651</v>
      </c>
      <c r="M1568" s="32">
        <v>0.39</v>
      </c>
      <c r="N1568" s="27" t="s">
        <v>33</v>
      </c>
      <c r="O1568" s="27" t="s">
        <v>53</v>
      </c>
      <c r="P1568" s="27" t="s">
        <v>54</v>
      </c>
      <c r="Q1568" s="27" t="s">
        <v>2652</v>
      </c>
      <c r="R1568" s="33">
        <v>46375</v>
      </c>
      <c r="S1568" s="34">
        <v>42148</v>
      </c>
      <c r="T1568" s="34">
        <v>42150</v>
      </c>
      <c r="U1568" s="29">
        <v>1.6169</v>
      </c>
      <c r="V1568" s="26">
        <v>22</v>
      </c>
      <c r="W1568" s="29">
        <v>333.04</v>
      </c>
      <c r="X1568" s="26">
        <v>87611</v>
      </c>
      <c r="Y1568" s="35">
        <v>262.09000000000003</v>
      </c>
      <c r="Z1568" s="1" t="s">
        <v>3012</v>
      </c>
      <c r="AA1568" s="36">
        <v>19.813199999999998</v>
      </c>
      <c r="AB1568" s="54">
        <v>203.15440000000001</v>
      </c>
      <c r="AC1568" s="54">
        <v>5.9038909090909097</v>
      </c>
      <c r="AD1568" s="36">
        <v>303.2099</v>
      </c>
    </row>
    <row r="1569" spans="1:30" s="37" customFormat="1" ht="15.75" customHeight="1" x14ac:dyDescent="0.2">
      <c r="A1569" s="26">
        <v>3063</v>
      </c>
      <c r="B1569" s="27" t="s">
        <v>1391</v>
      </c>
      <c r="C1569" s="27" t="s">
        <v>3094</v>
      </c>
      <c r="D1569" s="28">
        <v>0.03</v>
      </c>
      <c r="E1569" s="29">
        <v>20.99</v>
      </c>
      <c r="F1569" s="29">
        <v>0.99</v>
      </c>
      <c r="G1569" s="30" t="s">
        <v>39</v>
      </c>
      <c r="H1569" s="27" t="s">
        <v>40</v>
      </c>
      <c r="I1569" s="27" t="s">
        <v>41</v>
      </c>
      <c r="J1569" s="27" t="s">
        <v>135</v>
      </c>
      <c r="K1569" s="27" t="s">
        <v>51</v>
      </c>
      <c r="L1569" s="31" t="s">
        <v>2331</v>
      </c>
      <c r="M1569" s="32">
        <v>0.56999999999999995</v>
      </c>
      <c r="N1569" s="27" t="s">
        <v>33</v>
      </c>
      <c r="O1569" s="27" t="s">
        <v>60</v>
      </c>
      <c r="P1569" s="27" t="s">
        <v>67</v>
      </c>
      <c r="Q1569" s="27" t="s">
        <v>1392</v>
      </c>
      <c r="R1569" s="33">
        <v>98034</v>
      </c>
      <c r="S1569" s="34">
        <v>42148</v>
      </c>
      <c r="T1569" s="34">
        <v>42150</v>
      </c>
      <c r="U1569" s="29">
        <v>4.1821999999999999</v>
      </c>
      <c r="V1569" s="26">
        <v>9</v>
      </c>
      <c r="W1569" s="29">
        <v>158.87</v>
      </c>
      <c r="X1569" s="26">
        <v>88449</v>
      </c>
      <c r="Y1569" s="35">
        <v>80.87</v>
      </c>
      <c r="Z1569" s="1" t="s">
        <v>3013</v>
      </c>
      <c r="AA1569" s="36">
        <v>5.6672999999999991</v>
      </c>
      <c r="AB1569" s="54">
        <v>68.31410000000001</v>
      </c>
      <c r="AC1569" s="54">
        <v>10.061766666666665</v>
      </c>
      <c r="AD1569" s="36">
        <v>148.03050000000002</v>
      </c>
    </row>
    <row r="1570" spans="1:30" s="37" customFormat="1" ht="15.75" customHeight="1" x14ac:dyDescent="0.2">
      <c r="A1570" s="26">
        <v>3096</v>
      </c>
      <c r="B1570" s="27" t="s">
        <v>2653</v>
      </c>
      <c r="C1570" s="27" t="s">
        <v>38</v>
      </c>
      <c r="D1570" s="28">
        <v>0.08</v>
      </c>
      <c r="E1570" s="29">
        <v>40.98</v>
      </c>
      <c r="F1570" s="29">
        <v>7.2</v>
      </c>
      <c r="G1570" s="30" t="s">
        <v>87</v>
      </c>
      <c r="H1570" s="27" t="s">
        <v>40</v>
      </c>
      <c r="I1570" s="27" t="s">
        <v>49</v>
      </c>
      <c r="J1570" s="27" t="s">
        <v>95</v>
      </c>
      <c r="K1570" s="27" t="s">
        <v>73</v>
      </c>
      <c r="L1570" s="31" t="s">
        <v>2654</v>
      </c>
      <c r="M1570" s="32">
        <v>0.6</v>
      </c>
      <c r="N1570" s="27" t="s">
        <v>33</v>
      </c>
      <c r="O1570" s="27" t="s">
        <v>111</v>
      </c>
      <c r="P1570" s="27" t="s">
        <v>317</v>
      </c>
      <c r="Q1570" s="27" t="s">
        <v>2440</v>
      </c>
      <c r="R1570" s="33">
        <v>43026</v>
      </c>
      <c r="S1570" s="34">
        <v>42148</v>
      </c>
      <c r="T1570" s="34">
        <v>42149</v>
      </c>
      <c r="U1570" s="29">
        <v>-16.64</v>
      </c>
      <c r="V1570" s="26">
        <v>3</v>
      </c>
      <c r="W1570" s="29">
        <v>119.86</v>
      </c>
      <c r="X1570" s="26">
        <v>86221</v>
      </c>
      <c r="Y1570" s="35">
        <v>6.4600000000000009</v>
      </c>
      <c r="Z1570" s="1" t="s">
        <v>3014</v>
      </c>
      <c r="AA1570" s="36">
        <v>9.8352000000000004</v>
      </c>
      <c r="AB1570" s="54">
        <v>47.944000000000003</v>
      </c>
      <c r="AC1570" s="54">
        <v>23.971999999999998</v>
      </c>
      <c r="AD1570" s="36">
        <v>119.4648</v>
      </c>
    </row>
    <row r="1571" spans="1:30" s="37" customFormat="1" ht="15.75" customHeight="1" x14ac:dyDescent="0.2">
      <c r="A1571" s="26">
        <v>3096</v>
      </c>
      <c r="B1571" s="27" t="s">
        <v>2653</v>
      </c>
      <c r="C1571" s="27" t="s">
        <v>38</v>
      </c>
      <c r="D1571" s="28">
        <v>0.08</v>
      </c>
      <c r="E1571" s="29">
        <v>8.1199999999999992</v>
      </c>
      <c r="F1571" s="29">
        <v>2.83</v>
      </c>
      <c r="G1571" s="30" t="s">
        <v>87</v>
      </c>
      <c r="H1571" s="27" t="s">
        <v>40</v>
      </c>
      <c r="I1571" s="27" t="s">
        <v>41</v>
      </c>
      <c r="J1571" s="27" t="s">
        <v>42</v>
      </c>
      <c r="K1571" s="27" t="s">
        <v>43</v>
      </c>
      <c r="L1571" s="31" t="s">
        <v>1698</v>
      </c>
      <c r="M1571" s="32">
        <v>0.77</v>
      </c>
      <c r="N1571" s="27" t="s">
        <v>33</v>
      </c>
      <c r="O1571" s="27" t="s">
        <v>111</v>
      </c>
      <c r="P1571" s="27" t="s">
        <v>317</v>
      </c>
      <c r="Q1571" s="27" t="s">
        <v>2440</v>
      </c>
      <c r="R1571" s="33">
        <v>43026</v>
      </c>
      <c r="S1571" s="34">
        <v>42148</v>
      </c>
      <c r="T1571" s="34">
        <v>42149</v>
      </c>
      <c r="U1571" s="29">
        <v>-59.73</v>
      </c>
      <c r="V1571" s="26">
        <v>12</v>
      </c>
      <c r="W1571" s="29">
        <v>98.77</v>
      </c>
      <c r="X1571" s="26">
        <v>86221</v>
      </c>
      <c r="Y1571" s="35">
        <v>217.98000000000002</v>
      </c>
      <c r="Z1571" s="1" t="s">
        <v>3014</v>
      </c>
      <c r="AA1571" s="36">
        <v>7.7951999999999995</v>
      </c>
      <c r="AB1571" s="54">
        <v>22.717099999999999</v>
      </c>
      <c r="AC1571" s="54">
        <v>6.3377416666666662</v>
      </c>
      <c r="AD1571" s="36">
        <v>147.87479999999999</v>
      </c>
    </row>
    <row r="1572" spans="1:30" s="37" customFormat="1" ht="15.75" customHeight="1" x14ac:dyDescent="0.2">
      <c r="A1572" s="26">
        <v>3366</v>
      </c>
      <c r="B1572" s="27" t="s">
        <v>2656</v>
      </c>
      <c r="C1572" s="27" t="s">
        <v>48</v>
      </c>
      <c r="D1572" s="28">
        <v>0.02</v>
      </c>
      <c r="E1572" s="29">
        <v>6.48</v>
      </c>
      <c r="F1572" s="29">
        <v>5.1100000000000003</v>
      </c>
      <c r="G1572" s="30" t="s">
        <v>39</v>
      </c>
      <c r="H1572" s="27" t="s">
        <v>71</v>
      </c>
      <c r="I1572" s="27" t="s">
        <v>49</v>
      </c>
      <c r="J1572" s="27" t="s">
        <v>88</v>
      </c>
      <c r="K1572" s="27" t="s">
        <v>73</v>
      </c>
      <c r="L1572" s="31" t="s">
        <v>2592</v>
      </c>
      <c r="M1572" s="32">
        <v>0.37</v>
      </c>
      <c r="N1572" s="27" t="s">
        <v>33</v>
      </c>
      <c r="O1572" s="27" t="s">
        <v>111</v>
      </c>
      <c r="P1572" s="27" t="s">
        <v>317</v>
      </c>
      <c r="Q1572" s="27" t="s">
        <v>581</v>
      </c>
      <c r="R1572" s="33">
        <v>45373</v>
      </c>
      <c r="S1572" s="34">
        <v>42148</v>
      </c>
      <c r="T1572" s="34">
        <v>42152</v>
      </c>
      <c r="U1572" s="29">
        <v>-23.53</v>
      </c>
      <c r="V1572" s="26">
        <v>8</v>
      </c>
      <c r="W1572" s="29">
        <v>56.22</v>
      </c>
      <c r="X1572" s="26">
        <v>90501</v>
      </c>
      <c r="Y1572" s="35">
        <v>150.92999999999998</v>
      </c>
      <c r="Z1572" s="1" t="s">
        <v>3014</v>
      </c>
      <c r="AA1572" s="36">
        <v>1.0368000000000002</v>
      </c>
      <c r="AB1572" s="54">
        <v>35.418599999999998</v>
      </c>
      <c r="AC1572" s="54">
        <v>2.6001750000000001</v>
      </c>
      <c r="AD1572" s="36">
        <v>73.603200000000001</v>
      </c>
    </row>
    <row r="1573" spans="1:30" s="37" customFormat="1" ht="15.75" customHeight="1" x14ac:dyDescent="0.2">
      <c r="A1573" s="26">
        <v>1623</v>
      </c>
      <c r="B1573" s="27" t="s">
        <v>2650</v>
      </c>
      <c r="C1573" s="27" t="s">
        <v>38</v>
      </c>
      <c r="D1573" s="28">
        <v>0.05</v>
      </c>
      <c r="E1573" s="29">
        <v>12.28</v>
      </c>
      <c r="F1573" s="29">
        <v>6.13</v>
      </c>
      <c r="G1573" s="30" t="s">
        <v>39</v>
      </c>
      <c r="H1573" s="27" t="s">
        <v>3095</v>
      </c>
      <c r="I1573" s="27" t="s">
        <v>49</v>
      </c>
      <c r="J1573" s="27" t="s">
        <v>78</v>
      </c>
      <c r="K1573" s="27" t="s">
        <v>73</v>
      </c>
      <c r="L1573" s="31" t="s">
        <v>2386</v>
      </c>
      <c r="M1573" s="32">
        <v>0.56999999999999995</v>
      </c>
      <c r="N1573" s="27" t="s">
        <v>33</v>
      </c>
      <c r="O1573" s="27" t="s">
        <v>53</v>
      </c>
      <c r="P1573" s="27" t="s">
        <v>54</v>
      </c>
      <c r="Q1573" s="27" t="s">
        <v>2652</v>
      </c>
      <c r="R1573" s="33">
        <v>46375</v>
      </c>
      <c r="S1573" s="34">
        <v>42148</v>
      </c>
      <c r="T1573" s="34">
        <v>42149</v>
      </c>
      <c r="U1573" s="29">
        <v>1.3360000000000001</v>
      </c>
      <c r="V1573" s="26">
        <v>1</v>
      </c>
      <c r="W1573" s="29">
        <v>18.73</v>
      </c>
      <c r="X1573" s="26">
        <v>87611</v>
      </c>
      <c r="Y1573" s="35">
        <v>20.959999999999997</v>
      </c>
      <c r="Z1573" s="1" t="s">
        <v>3012</v>
      </c>
      <c r="AA1573" s="36">
        <v>0.61399999999999999</v>
      </c>
      <c r="AB1573" s="54">
        <v>8.0539000000000005</v>
      </c>
      <c r="AC1573" s="54">
        <v>10.6761</v>
      </c>
      <c r="AD1573" s="36">
        <v>10.65</v>
      </c>
    </row>
    <row r="1574" spans="1:30" s="37" customFormat="1" ht="15.75" customHeight="1" x14ac:dyDescent="0.2">
      <c r="A1574" s="26">
        <v>1237</v>
      </c>
      <c r="B1574" s="27" t="s">
        <v>1916</v>
      </c>
      <c r="C1574" s="27" t="s">
        <v>116</v>
      </c>
      <c r="D1574" s="28">
        <v>0.05</v>
      </c>
      <c r="E1574" s="29">
        <v>300.98</v>
      </c>
      <c r="F1574" s="29">
        <v>13.99</v>
      </c>
      <c r="G1574" s="30" t="s">
        <v>39</v>
      </c>
      <c r="H1574" s="27" t="s">
        <v>94</v>
      </c>
      <c r="I1574" s="27" t="s">
        <v>41</v>
      </c>
      <c r="J1574" s="27" t="s">
        <v>57</v>
      </c>
      <c r="K1574" s="27" t="s">
        <v>144</v>
      </c>
      <c r="L1574" s="31" t="s">
        <v>2667</v>
      </c>
      <c r="M1574" s="32">
        <v>0.39</v>
      </c>
      <c r="N1574" s="27" t="s">
        <v>33</v>
      </c>
      <c r="O1574" s="27" t="s">
        <v>53</v>
      </c>
      <c r="P1574" s="27" t="s">
        <v>187</v>
      </c>
      <c r="Q1574" s="27" t="s">
        <v>1918</v>
      </c>
      <c r="R1574" s="33">
        <v>75007</v>
      </c>
      <c r="S1574" s="34">
        <v>42149</v>
      </c>
      <c r="T1574" s="34">
        <v>42150</v>
      </c>
      <c r="U1574" s="29">
        <v>3985.3089</v>
      </c>
      <c r="V1574" s="26">
        <v>20</v>
      </c>
      <c r="W1574" s="29">
        <v>5775.81</v>
      </c>
      <c r="X1574" s="26">
        <v>86077</v>
      </c>
      <c r="Y1574" s="35">
        <v>7.59</v>
      </c>
      <c r="Z1574" s="1" t="s">
        <v>3012</v>
      </c>
      <c r="AA1574" s="36">
        <v>300.98</v>
      </c>
      <c r="AB1574" s="54">
        <v>3523.2441000000003</v>
      </c>
      <c r="AC1574" s="54">
        <v>112.62829500000001</v>
      </c>
      <c r="AD1574" s="36">
        <v>1475.5311000000011</v>
      </c>
    </row>
    <row r="1575" spans="1:30" s="37" customFormat="1" ht="15.75" customHeight="1" x14ac:dyDescent="0.2">
      <c r="A1575" s="26">
        <v>744</v>
      </c>
      <c r="B1575" s="27" t="s">
        <v>586</v>
      </c>
      <c r="C1575" s="27" t="s">
        <v>48</v>
      </c>
      <c r="D1575" s="28">
        <v>0.09</v>
      </c>
      <c r="E1575" s="29">
        <v>125.99</v>
      </c>
      <c r="F1575" s="29">
        <v>8.99</v>
      </c>
      <c r="G1575" s="30" t="s">
        <v>39</v>
      </c>
      <c r="H1575" s="27" t="s">
        <v>40</v>
      </c>
      <c r="I1575" s="27" t="s">
        <v>41</v>
      </c>
      <c r="J1575" s="27" t="s">
        <v>135</v>
      </c>
      <c r="K1575" s="27" t="s">
        <v>73</v>
      </c>
      <c r="L1575" s="31" t="s">
        <v>1654</v>
      </c>
      <c r="M1575" s="32">
        <v>0.55000000000000004</v>
      </c>
      <c r="N1575" s="27" t="s">
        <v>33</v>
      </c>
      <c r="O1575" s="27" t="s">
        <v>60</v>
      </c>
      <c r="P1575" s="27" t="s">
        <v>588</v>
      </c>
      <c r="Q1575" s="27" t="s">
        <v>589</v>
      </c>
      <c r="R1575" s="33">
        <v>85737</v>
      </c>
      <c r="S1575" s="34">
        <v>42149</v>
      </c>
      <c r="T1575" s="34">
        <v>42157</v>
      </c>
      <c r="U1575" s="29">
        <v>916.68060000000003</v>
      </c>
      <c r="V1575" s="26">
        <v>20</v>
      </c>
      <c r="W1575" s="29">
        <v>2104.9899999999998</v>
      </c>
      <c r="X1575" s="26">
        <v>87727</v>
      </c>
      <c r="Y1575" s="35">
        <v>17.89</v>
      </c>
      <c r="Z1575" s="1" t="s">
        <v>3013</v>
      </c>
      <c r="AA1575" s="36">
        <v>226.78199999999998</v>
      </c>
      <c r="AB1575" s="54">
        <v>947.24549999999977</v>
      </c>
      <c r="AC1575" s="54">
        <v>57.887224999999994</v>
      </c>
      <c r="AD1575" s="36">
        <v>952.53739999999971</v>
      </c>
    </row>
    <row r="1576" spans="1:30" s="37" customFormat="1" ht="15.75" customHeight="1" x14ac:dyDescent="0.2">
      <c r="A1576" s="26">
        <v>1237</v>
      </c>
      <c r="B1576" s="27" t="s">
        <v>1916</v>
      </c>
      <c r="C1576" s="27" t="s">
        <v>116</v>
      </c>
      <c r="D1576" s="28">
        <v>0.04</v>
      </c>
      <c r="E1576" s="29">
        <v>205.99</v>
      </c>
      <c r="F1576" s="29">
        <v>5</v>
      </c>
      <c r="G1576" s="30" t="s">
        <v>87</v>
      </c>
      <c r="H1576" s="27" t="s">
        <v>94</v>
      </c>
      <c r="I1576" s="27" t="s">
        <v>41</v>
      </c>
      <c r="J1576" s="27" t="s">
        <v>135</v>
      </c>
      <c r="K1576" s="27" t="s">
        <v>73</v>
      </c>
      <c r="L1576" s="31" t="s">
        <v>2668</v>
      </c>
      <c r="M1576" s="32">
        <v>0.59</v>
      </c>
      <c r="N1576" s="27" t="s">
        <v>33</v>
      </c>
      <c r="O1576" s="27" t="s">
        <v>53</v>
      </c>
      <c r="P1576" s="27" t="s">
        <v>187</v>
      </c>
      <c r="Q1576" s="27" t="s">
        <v>1918</v>
      </c>
      <c r="R1576" s="33">
        <v>75007</v>
      </c>
      <c r="S1576" s="34">
        <v>42149</v>
      </c>
      <c r="T1576" s="34">
        <v>42150</v>
      </c>
      <c r="U1576" s="29">
        <v>13.956799999999999</v>
      </c>
      <c r="V1576" s="26">
        <v>11</v>
      </c>
      <c r="W1576" s="29">
        <v>1878.24</v>
      </c>
      <c r="X1576" s="26">
        <v>86077</v>
      </c>
      <c r="Y1576" s="35">
        <v>3.14</v>
      </c>
      <c r="Z1576" s="1" t="s">
        <v>3012</v>
      </c>
      <c r="AA1576" s="36">
        <v>90.635600000000011</v>
      </c>
      <c r="AB1576" s="54">
        <v>770.0784000000001</v>
      </c>
      <c r="AC1576" s="54">
        <v>100.74196363636364</v>
      </c>
      <c r="AD1576" s="36">
        <v>1768.6476</v>
      </c>
    </row>
    <row r="1577" spans="1:30" s="37" customFormat="1" ht="15.75" customHeight="1" x14ac:dyDescent="0.2">
      <c r="A1577" s="26">
        <v>1472</v>
      </c>
      <c r="B1577" s="27" t="s">
        <v>2669</v>
      </c>
      <c r="C1577" s="27" t="s">
        <v>116</v>
      </c>
      <c r="D1577" s="28">
        <v>0.05</v>
      </c>
      <c r="E1577" s="29">
        <v>20.27</v>
      </c>
      <c r="F1577" s="29">
        <v>3.99</v>
      </c>
      <c r="G1577" s="30" t="s">
        <v>39</v>
      </c>
      <c r="H1577" s="27" t="s">
        <v>71</v>
      </c>
      <c r="I1577" s="27" t="s">
        <v>49</v>
      </c>
      <c r="J1577" s="27" t="s">
        <v>95</v>
      </c>
      <c r="K1577" s="27" t="s">
        <v>73</v>
      </c>
      <c r="L1577" s="31" t="s">
        <v>1800</v>
      </c>
      <c r="M1577" s="32">
        <v>0.56999999999999995</v>
      </c>
      <c r="N1577" s="27" t="s">
        <v>33</v>
      </c>
      <c r="O1577" s="27" t="s">
        <v>111</v>
      </c>
      <c r="P1577" s="27" t="s">
        <v>317</v>
      </c>
      <c r="Q1577" s="27" t="s">
        <v>2670</v>
      </c>
      <c r="R1577" s="33">
        <v>44145</v>
      </c>
      <c r="S1577" s="34">
        <v>42149</v>
      </c>
      <c r="T1577" s="34">
        <v>42150</v>
      </c>
      <c r="U1577" s="29">
        <v>309.25400000000002</v>
      </c>
      <c r="V1577" s="26">
        <v>30</v>
      </c>
      <c r="W1577" s="29">
        <v>621.55999999999995</v>
      </c>
      <c r="X1577" s="26">
        <v>87079</v>
      </c>
      <c r="Y1577" s="35">
        <v>125.89999999999999</v>
      </c>
      <c r="Z1577" s="1" t="s">
        <v>3014</v>
      </c>
      <c r="AA1577" s="36">
        <v>30.405000000000001</v>
      </c>
      <c r="AB1577" s="54">
        <v>267.27080000000001</v>
      </c>
      <c r="AC1577" s="54">
        <v>11.809639999999998</v>
      </c>
      <c r="AD1577" s="36">
        <v>277.91099999999994</v>
      </c>
    </row>
    <row r="1578" spans="1:30" s="37" customFormat="1" ht="15.75" customHeight="1" x14ac:dyDescent="0.2">
      <c r="A1578" s="26">
        <v>3287</v>
      </c>
      <c r="B1578" s="27" t="s">
        <v>2664</v>
      </c>
      <c r="C1578" s="27" t="s">
        <v>48</v>
      </c>
      <c r="D1578" s="28">
        <v>0.08</v>
      </c>
      <c r="E1578" s="29">
        <v>30.56</v>
      </c>
      <c r="F1578" s="29">
        <v>2.99</v>
      </c>
      <c r="G1578" s="30" t="s">
        <v>39</v>
      </c>
      <c r="H1578" s="27" t="s">
        <v>3095</v>
      </c>
      <c r="I1578" s="27" t="s">
        <v>49</v>
      </c>
      <c r="J1578" s="27" t="s">
        <v>72</v>
      </c>
      <c r="K1578" s="27" t="s">
        <v>73</v>
      </c>
      <c r="L1578" s="31" t="s">
        <v>1053</v>
      </c>
      <c r="M1578" s="32">
        <v>0.35</v>
      </c>
      <c r="N1578" s="27" t="s">
        <v>33</v>
      </c>
      <c r="O1578" s="27" t="s">
        <v>60</v>
      </c>
      <c r="P1578" s="27" t="s">
        <v>90</v>
      </c>
      <c r="Q1578" s="27" t="s">
        <v>2665</v>
      </c>
      <c r="R1578" s="33">
        <v>95746</v>
      </c>
      <c r="S1578" s="34">
        <v>42149</v>
      </c>
      <c r="T1578" s="34">
        <v>42151</v>
      </c>
      <c r="U1578" s="29">
        <v>352.87979999999999</v>
      </c>
      <c r="V1578" s="26">
        <v>17</v>
      </c>
      <c r="W1578" s="29">
        <v>511.42</v>
      </c>
      <c r="X1578" s="26">
        <v>89897</v>
      </c>
      <c r="Y1578" s="35">
        <v>30.48</v>
      </c>
      <c r="Z1578" s="1" t="s">
        <v>3013</v>
      </c>
      <c r="AA1578" s="36">
        <v>41.561599999999999</v>
      </c>
      <c r="AB1578" s="54">
        <v>332.423</v>
      </c>
      <c r="AC1578" s="54">
        <v>10.529235294117647</v>
      </c>
      <c r="AD1578" s="36">
        <v>113.98860000000002</v>
      </c>
    </row>
    <row r="1579" spans="1:30" s="37" customFormat="1" ht="15.75" customHeight="1" x14ac:dyDescent="0.2">
      <c r="A1579" s="26">
        <v>444</v>
      </c>
      <c r="B1579" s="27" t="s">
        <v>2660</v>
      </c>
      <c r="C1579" s="27" t="s">
        <v>26</v>
      </c>
      <c r="D1579" s="28">
        <v>0</v>
      </c>
      <c r="E1579" s="29">
        <v>7.59</v>
      </c>
      <c r="F1579" s="29">
        <v>4</v>
      </c>
      <c r="G1579" s="30" t="s">
        <v>39</v>
      </c>
      <c r="H1579" s="27" t="s">
        <v>3095</v>
      </c>
      <c r="I1579" s="27" t="s">
        <v>29</v>
      </c>
      <c r="J1579" s="27" t="s">
        <v>126</v>
      </c>
      <c r="K1579" s="27" t="s">
        <v>51</v>
      </c>
      <c r="L1579" s="31" t="s">
        <v>1687</v>
      </c>
      <c r="M1579" s="32">
        <v>0.42</v>
      </c>
      <c r="N1579" s="27" t="s">
        <v>33</v>
      </c>
      <c r="O1579" s="27" t="s">
        <v>53</v>
      </c>
      <c r="P1579" s="27" t="s">
        <v>103</v>
      </c>
      <c r="Q1579" s="27" t="s">
        <v>2507</v>
      </c>
      <c r="R1579" s="33">
        <v>61801</v>
      </c>
      <c r="S1579" s="34">
        <v>42149</v>
      </c>
      <c r="T1579" s="34">
        <v>42152</v>
      </c>
      <c r="U1579" s="29">
        <v>86.438000000000002</v>
      </c>
      <c r="V1579" s="26">
        <v>43</v>
      </c>
      <c r="W1579" s="29">
        <v>355.92</v>
      </c>
      <c r="X1579" s="26">
        <v>88085</v>
      </c>
      <c r="Y1579" s="35">
        <v>6.9700000000000006</v>
      </c>
      <c r="Z1579" s="1" t="s">
        <v>3012</v>
      </c>
      <c r="AA1579" s="36">
        <v>0</v>
      </c>
      <c r="AB1579" s="54">
        <v>206.43360000000004</v>
      </c>
      <c r="AC1579" s="54">
        <v>3.4764279069767445</v>
      </c>
      <c r="AD1579" s="36">
        <v>265.48200000000003</v>
      </c>
    </row>
    <row r="1580" spans="1:30" s="37" customFormat="1" ht="15.75" customHeight="1" x14ac:dyDescent="0.2">
      <c r="A1580" s="26">
        <v>2391</v>
      </c>
      <c r="B1580" s="27" t="s">
        <v>2678</v>
      </c>
      <c r="C1580" s="27" t="s">
        <v>3094</v>
      </c>
      <c r="D1580" s="28">
        <v>0.1</v>
      </c>
      <c r="E1580" s="29">
        <v>27.18</v>
      </c>
      <c r="F1580" s="29">
        <v>8.23</v>
      </c>
      <c r="G1580" s="30" t="s">
        <v>39</v>
      </c>
      <c r="H1580" s="27" t="s">
        <v>94</v>
      </c>
      <c r="I1580" s="27" t="s">
        <v>49</v>
      </c>
      <c r="J1580" s="27" t="s">
        <v>345</v>
      </c>
      <c r="K1580" s="27" t="s">
        <v>73</v>
      </c>
      <c r="L1580" s="31" t="s">
        <v>2681</v>
      </c>
      <c r="M1580" s="32">
        <v>0.38</v>
      </c>
      <c r="N1580" s="27" t="s">
        <v>33</v>
      </c>
      <c r="O1580" s="27" t="s">
        <v>111</v>
      </c>
      <c r="P1580" s="27" t="s">
        <v>112</v>
      </c>
      <c r="Q1580" s="27" t="s">
        <v>2680</v>
      </c>
      <c r="R1580" s="33">
        <v>11572</v>
      </c>
      <c r="S1580" s="34">
        <v>42149</v>
      </c>
      <c r="T1580" s="34">
        <v>42151</v>
      </c>
      <c r="U1580" s="29">
        <v>204.49</v>
      </c>
      <c r="V1580" s="26">
        <v>12</v>
      </c>
      <c r="W1580" s="29">
        <v>314.06</v>
      </c>
      <c r="X1580" s="26">
        <v>91122</v>
      </c>
      <c r="Y1580" s="35">
        <v>300.93</v>
      </c>
      <c r="Z1580" s="1" t="s">
        <v>3014</v>
      </c>
      <c r="AA1580" s="36">
        <v>32.616</v>
      </c>
      <c r="AB1580" s="54">
        <v>194.71719999999999</v>
      </c>
      <c r="AC1580" s="54">
        <v>9.9452333333333343</v>
      </c>
      <c r="AD1580" s="36">
        <v>68.72399999999999</v>
      </c>
    </row>
    <row r="1581" spans="1:30" s="37" customFormat="1" ht="15.75" customHeight="1" x14ac:dyDescent="0.2">
      <c r="A1581" s="26">
        <v>129</v>
      </c>
      <c r="B1581" s="27" t="s">
        <v>831</v>
      </c>
      <c r="C1581" s="27" t="s">
        <v>3094</v>
      </c>
      <c r="D1581" s="28">
        <v>7.0000000000000007E-2</v>
      </c>
      <c r="E1581" s="29">
        <v>15.74</v>
      </c>
      <c r="F1581" s="29">
        <v>1.39</v>
      </c>
      <c r="G1581" s="30" t="s">
        <v>39</v>
      </c>
      <c r="H1581" s="27" t="s">
        <v>3095</v>
      </c>
      <c r="I1581" s="27" t="s">
        <v>49</v>
      </c>
      <c r="J1581" s="27" t="s">
        <v>345</v>
      </c>
      <c r="K1581" s="27" t="s">
        <v>73</v>
      </c>
      <c r="L1581" s="31" t="s">
        <v>2674</v>
      </c>
      <c r="M1581" s="32">
        <v>0.4</v>
      </c>
      <c r="N1581" s="27" t="s">
        <v>33</v>
      </c>
      <c r="O1581" s="27" t="s">
        <v>53</v>
      </c>
      <c r="P1581" s="27" t="s">
        <v>103</v>
      </c>
      <c r="Q1581" s="27" t="s">
        <v>832</v>
      </c>
      <c r="R1581" s="33">
        <v>62002</v>
      </c>
      <c r="S1581" s="34">
        <v>42149</v>
      </c>
      <c r="T1581" s="34">
        <v>42150</v>
      </c>
      <c r="U1581" s="29">
        <v>149.8887</v>
      </c>
      <c r="V1581" s="26">
        <v>14</v>
      </c>
      <c r="W1581" s="29">
        <v>217.23</v>
      </c>
      <c r="X1581" s="26">
        <v>86694</v>
      </c>
      <c r="Y1581" s="35">
        <v>205.95000000000002</v>
      </c>
      <c r="Z1581" s="1" t="s">
        <v>3012</v>
      </c>
      <c r="AA1581" s="36">
        <v>15.425200000000002</v>
      </c>
      <c r="AB1581" s="54">
        <v>130.33799999999999</v>
      </c>
      <c r="AC1581" s="54">
        <v>6.2065714285714293</v>
      </c>
      <c r="AD1581" s="36">
        <v>50.526100000000014</v>
      </c>
    </row>
    <row r="1582" spans="1:30" s="37" customFormat="1" ht="15.75" customHeight="1" x14ac:dyDescent="0.2">
      <c r="A1582" s="26">
        <v>526</v>
      </c>
      <c r="B1582" s="27" t="s">
        <v>612</v>
      </c>
      <c r="C1582" s="27" t="s">
        <v>38</v>
      </c>
      <c r="D1582" s="28">
        <v>0.09</v>
      </c>
      <c r="E1582" s="29">
        <v>17.98</v>
      </c>
      <c r="F1582" s="29">
        <v>8.51</v>
      </c>
      <c r="G1582" s="30" t="s">
        <v>39</v>
      </c>
      <c r="H1582" s="27" t="s">
        <v>71</v>
      </c>
      <c r="I1582" s="27" t="s">
        <v>41</v>
      </c>
      <c r="J1582" s="27" t="s">
        <v>57</v>
      </c>
      <c r="K1582" s="27" t="s">
        <v>144</v>
      </c>
      <c r="L1582" s="31" t="s">
        <v>1880</v>
      </c>
      <c r="M1582" s="32">
        <v>0.4</v>
      </c>
      <c r="N1582" s="27" t="s">
        <v>33</v>
      </c>
      <c r="O1582" s="27" t="s">
        <v>60</v>
      </c>
      <c r="P1582" s="27" t="s">
        <v>588</v>
      </c>
      <c r="Q1582" s="27" t="s">
        <v>614</v>
      </c>
      <c r="R1582" s="33">
        <v>85204</v>
      </c>
      <c r="S1582" s="34">
        <v>42149</v>
      </c>
      <c r="T1582" s="34">
        <v>42151</v>
      </c>
      <c r="U1582" s="29">
        <v>-6.6120000000000001</v>
      </c>
      <c r="V1582" s="26">
        <v>12</v>
      </c>
      <c r="W1582" s="29">
        <v>211.13</v>
      </c>
      <c r="X1582" s="26">
        <v>90026</v>
      </c>
      <c r="Y1582" s="35">
        <v>20.22</v>
      </c>
      <c r="Z1582" s="1" t="s">
        <v>3013</v>
      </c>
      <c r="AA1582" s="36">
        <v>19.418400000000002</v>
      </c>
      <c r="AB1582" s="54">
        <v>126.678</v>
      </c>
      <c r="AC1582" s="54">
        <v>7.0376666666666665</v>
      </c>
      <c r="AD1582" s="36">
        <v>189.81360000000001</v>
      </c>
    </row>
    <row r="1583" spans="1:30" s="37" customFormat="1" ht="15.75" customHeight="1" x14ac:dyDescent="0.2">
      <c r="A1583" s="26">
        <v>1054</v>
      </c>
      <c r="B1583" s="27" t="s">
        <v>2675</v>
      </c>
      <c r="C1583" s="27" t="s">
        <v>3094</v>
      </c>
      <c r="D1583" s="28">
        <v>0.08</v>
      </c>
      <c r="E1583" s="29">
        <v>26.38</v>
      </c>
      <c r="F1583" s="29">
        <v>5.58</v>
      </c>
      <c r="G1583" s="30" t="s">
        <v>39</v>
      </c>
      <c r="H1583" s="27" t="s">
        <v>94</v>
      </c>
      <c r="I1583" s="27" t="s">
        <v>49</v>
      </c>
      <c r="J1583" s="27" t="s">
        <v>88</v>
      </c>
      <c r="K1583" s="27" t="s">
        <v>73</v>
      </c>
      <c r="L1583" s="31" t="s">
        <v>2677</v>
      </c>
      <c r="M1583" s="32">
        <v>0.39</v>
      </c>
      <c r="N1583" s="27" t="s">
        <v>33</v>
      </c>
      <c r="O1583" s="27" t="s">
        <v>60</v>
      </c>
      <c r="P1583" s="27" t="s">
        <v>588</v>
      </c>
      <c r="Q1583" s="27" t="s">
        <v>2676</v>
      </c>
      <c r="R1583" s="33">
        <v>85374</v>
      </c>
      <c r="S1583" s="34">
        <v>42149</v>
      </c>
      <c r="T1583" s="34">
        <v>42150</v>
      </c>
      <c r="U1583" s="29">
        <v>144.7482</v>
      </c>
      <c r="V1583" s="26">
        <v>8</v>
      </c>
      <c r="W1583" s="29">
        <v>209.78</v>
      </c>
      <c r="X1583" s="26">
        <v>90069</v>
      </c>
      <c r="Y1583" s="35">
        <v>11.53</v>
      </c>
      <c r="Z1583" s="1" t="s">
        <v>3013</v>
      </c>
      <c r="AA1583" s="36">
        <v>16.883199999999999</v>
      </c>
      <c r="AB1583" s="54">
        <v>127.9658</v>
      </c>
      <c r="AC1583" s="54">
        <v>10.226775</v>
      </c>
      <c r="AD1583" s="36">
        <v>42.568600000000004</v>
      </c>
    </row>
    <row r="1584" spans="1:30" s="37" customFormat="1" ht="15.75" customHeight="1" x14ac:dyDescent="0.2">
      <c r="A1584" s="26">
        <v>2652</v>
      </c>
      <c r="B1584" s="27" t="s">
        <v>2673</v>
      </c>
      <c r="C1584" s="27" t="s">
        <v>116</v>
      </c>
      <c r="D1584" s="28">
        <v>0.06</v>
      </c>
      <c r="E1584" s="29">
        <v>47.9</v>
      </c>
      <c r="F1584" s="29">
        <v>5.86</v>
      </c>
      <c r="G1584" s="30" t="s">
        <v>39</v>
      </c>
      <c r="H1584" s="27" t="s">
        <v>40</v>
      </c>
      <c r="I1584" s="27" t="s">
        <v>49</v>
      </c>
      <c r="J1584" s="27" t="s">
        <v>88</v>
      </c>
      <c r="K1584" s="27" t="s">
        <v>73</v>
      </c>
      <c r="L1584" s="31" t="s">
        <v>1309</v>
      </c>
      <c r="M1584" s="32">
        <v>0.37</v>
      </c>
      <c r="N1584" s="27" t="s">
        <v>33</v>
      </c>
      <c r="O1584" s="27" t="s">
        <v>60</v>
      </c>
      <c r="P1584" s="27" t="s">
        <v>90</v>
      </c>
      <c r="Q1584" s="27" t="s">
        <v>1694</v>
      </c>
      <c r="R1584" s="33">
        <v>93309</v>
      </c>
      <c r="S1584" s="34">
        <v>42149</v>
      </c>
      <c r="T1584" s="34">
        <v>42151</v>
      </c>
      <c r="U1584" s="29">
        <v>21.78</v>
      </c>
      <c r="V1584" s="26">
        <v>2</v>
      </c>
      <c r="W1584" s="29">
        <v>94.2</v>
      </c>
      <c r="X1584" s="26">
        <v>89361</v>
      </c>
      <c r="Y1584" s="35">
        <v>47.839999999999996</v>
      </c>
      <c r="Z1584" s="1" t="s">
        <v>3013</v>
      </c>
      <c r="AA1584" s="36">
        <v>5.7479999999999993</v>
      </c>
      <c r="AB1584" s="54">
        <v>59.346000000000004</v>
      </c>
      <c r="AC1584" s="54">
        <v>17.427</v>
      </c>
      <c r="AD1584" s="36">
        <v>60.812000000000005</v>
      </c>
    </row>
    <row r="1585" spans="1:30" s="37" customFormat="1" ht="15.75" customHeight="1" x14ac:dyDescent="0.2">
      <c r="A1585" s="26">
        <v>2339</v>
      </c>
      <c r="B1585" s="27" t="s">
        <v>2671</v>
      </c>
      <c r="C1585" s="27" t="s">
        <v>116</v>
      </c>
      <c r="D1585" s="28">
        <v>0.05</v>
      </c>
      <c r="E1585" s="29">
        <v>11.58</v>
      </c>
      <c r="F1585" s="29">
        <v>6.97</v>
      </c>
      <c r="G1585" s="30" t="s">
        <v>39</v>
      </c>
      <c r="H1585" s="27" t="s">
        <v>71</v>
      </c>
      <c r="I1585" s="27" t="s">
        <v>49</v>
      </c>
      <c r="J1585" s="27" t="s">
        <v>345</v>
      </c>
      <c r="K1585" s="27" t="s">
        <v>73</v>
      </c>
      <c r="L1585" s="31" t="s">
        <v>624</v>
      </c>
      <c r="M1585" s="32">
        <v>0.35</v>
      </c>
      <c r="N1585" s="27" t="s">
        <v>33</v>
      </c>
      <c r="O1585" s="27" t="s">
        <v>53</v>
      </c>
      <c r="P1585" s="27" t="s">
        <v>187</v>
      </c>
      <c r="Q1585" s="27" t="s">
        <v>2672</v>
      </c>
      <c r="R1585" s="33">
        <v>77015</v>
      </c>
      <c r="S1585" s="34">
        <v>42149</v>
      </c>
      <c r="T1585" s="34">
        <v>42152</v>
      </c>
      <c r="U1585" s="29">
        <v>2.806</v>
      </c>
      <c r="V1585" s="26">
        <v>6</v>
      </c>
      <c r="W1585" s="29">
        <v>73.959999999999994</v>
      </c>
      <c r="X1585" s="26">
        <v>91482</v>
      </c>
      <c r="Y1585" s="35">
        <v>15.67</v>
      </c>
      <c r="Z1585" s="1" t="s">
        <v>3012</v>
      </c>
      <c r="AA1585" s="36">
        <v>3.4740000000000002</v>
      </c>
      <c r="AB1585" s="54">
        <v>48.073999999999998</v>
      </c>
      <c r="AC1585" s="54">
        <v>4.3143333333333329</v>
      </c>
      <c r="AD1585" s="36">
        <v>60.709999999999994</v>
      </c>
    </row>
    <row r="1586" spans="1:30" s="37" customFormat="1" ht="15.75" customHeight="1" x14ac:dyDescent="0.2">
      <c r="A1586" s="26">
        <v>2868</v>
      </c>
      <c r="B1586" s="27" t="s">
        <v>322</v>
      </c>
      <c r="C1586" s="27" t="s">
        <v>3094</v>
      </c>
      <c r="D1586" s="28">
        <v>0.08</v>
      </c>
      <c r="E1586" s="29">
        <v>15.99</v>
      </c>
      <c r="F1586" s="29">
        <v>13.18</v>
      </c>
      <c r="G1586" s="30" t="s">
        <v>87</v>
      </c>
      <c r="H1586" s="27" t="s">
        <v>94</v>
      </c>
      <c r="I1586" s="27" t="s">
        <v>49</v>
      </c>
      <c r="J1586" s="27" t="s">
        <v>72</v>
      </c>
      <c r="K1586" s="27" t="s">
        <v>73</v>
      </c>
      <c r="L1586" s="31" t="s">
        <v>295</v>
      </c>
      <c r="M1586" s="32">
        <v>0.37</v>
      </c>
      <c r="N1586" s="27" t="s">
        <v>33</v>
      </c>
      <c r="O1586" s="27" t="s">
        <v>60</v>
      </c>
      <c r="P1586" s="27" t="s">
        <v>67</v>
      </c>
      <c r="Q1586" s="27" t="s">
        <v>324</v>
      </c>
      <c r="R1586" s="33">
        <v>98026</v>
      </c>
      <c r="S1586" s="34">
        <v>42149</v>
      </c>
      <c r="T1586" s="34">
        <v>42151</v>
      </c>
      <c r="U1586" s="29">
        <v>-66.584999999999994</v>
      </c>
      <c r="V1586" s="26">
        <v>4</v>
      </c>
      <c r="W1586" s="29">
        <v>66.02</v>
      </c>
      <c r="X1586" s="26">
        <v>85828</v>
      </c>
      <c r="Y1586" s="35">
        <v>5.41</v>
      </c>
      <c r="Z1586" s="1" t="s">
        <v>3013</v>
      </c>
      <c r="AA1586" s="36">
        <v>5.1168000000000005</v>
      </c>
      <c r="AB1586" s="54">
        <v>41.592599999999997</v>
      </c>
      <c r="AC1586" s="54">
        <v>6.1068499999999997</v>
      </c>
      <c r="AD1586" s="36">
        <v>114.3082</v>
      </c>
    </row>
    <row r="1587" spans="1:30" s="37" customFormat="1" ht="15.75" customHeight="1" x14ac:dyDescent="0.2">
      <c r="A1587" s="26">
        <v>2391</v>
      </c>
      <c r="B1587" s="27" t="s">
        <v>2678</v>
      </c>
      <c r="C1587" s="27" t="s">
        <v>3094</v>
      </c>
      <c r="D1587" s="28">
        <v>0.06</v>
      </c>
      <c r="E1587" s="29">
        <v>4.7699999999999996</v>
      </c>
      <c r="F1587" s="29">
        <v>2.39</v>
      </c>
      <c r="G1587" s="30" t="s">
        <v>39</v>
      </c>
      <c r="H1587" s="27" t="s">
        <v>94</v>
      </c>
      <c r="I1587" s="27" t="s">
        <v>41</v>
      </c>
      <c r="J1587" s="27" t="s">
        <v>42</v>
      </c>
      <c r="K1587" s="27" t="s">
        <v>43</v>
      </c>
      <c r="L1587" s="31" t="s">
        <v>2679</v>
      </c>
      <c r="M1587" s="32">
        <v>0.72</v>
      </c>
      <c r="N1587" s="27" t="s">
        <v>33</v>
      </c>
      <c r="O1587" s="27" t="s">
        <v>111</v>
      </c>
      <c r="P1587" s="27" t="s">
        <v>112</v>
      </c>
      <c r="Q1587" s="27" t="s">
        <v>2680</v>
      </c>
      <c r="R1587" s="33">
        <v>11572</v>
      </c>
      <c r="S1587" s="34">
        <v>42149</v>
      </c>
      <c r="T1587" s="34">
        <v>42150</v>
      </c>
      <c r="U1587" s="29">
        <v>-45.64</v>
      </c>
      <c r="V1587" s="26">
        <v>9</v>
      </c>
      <c r="W1587" s="29">
        <v>42.46</v>
      </c>
      <c r="X1587" s="26">
        <v>91122</v>
      </c>
      <c r="Y1587" s="35">
        <v>26.3</v>
      </c>
      <c r="Z1587" s="1" t="s">
        <v>3014</v>
      </c>
      <c r="AA1587" s="36">
        <v>2.5757999999999996</v>
      </c>
      <c r="AB1587" s="54">
        <v>11.888800000000002</v>
      </c>
      <c r="AC1587" s="54">
        <v>3.3968000000000003</v>
      </c>
      <c r="AD1587" s="36">
        <v>83.134199999999993</v>
      </c>
    </row>
    <row r="1588" spans="1:30" s="37" customFormat="1" ht="15.75" customHeight="1" x14ac:dyDescent="0.2">
      <c r="A1588" s="26">
        <v>1054</v>
      </c>
      <c r="B1588" s="27" t="s">
        <v>2675</v>
      </c>
      <c r="C1588" s="27" t="s">
        <v>3094</v>
      </c>
      <c r="D1588" s="28">
        <v>0.03</v>
      </c>
      <c r="E1588" s="29">
        <v>5.44</v>
      </c>
      <c r="F1588" s="29">
        <v>7.46</v>
      </c>
      <c r="G1588" s="30" t="s">
        <v>87</v>
      </c>
      <c r="H1588" s="27" t="s">
        <v>94</v>
      </c>
      <c r="I1588" s="27" t="s">
        <v>49</v>
      </c>
      <c r="J1588" s="27" t="s">
        <v>72</v>
      </c>
      <c r="K1588" s="27" t="s">
        <v>73</v>
      </c>
      <c r="L1588" s="31" t="s">
        <v>1242</v>
      </c>
      <c r="M1588" s="32">
        <v>0.36</v>
      </c>
      <c r="N1588" s="27" t="s">
        <v>33</v>
      </c>
      <c r="O1588" s="27" t="s">
        <v>60</v>
      </c>
      <c r="P1588" s="27" t="s">
        <v>588</v>
      </c>
      <c r="Q1588" s="27" t="s">
        <v>2676</v>
      </c>
      <c r="R1588" s="33">
        <v>85374</v>
      </c>
      <c r="S1588" s="34">
        <v>42149</v>
      </c>
      <c r="T1588" s="34">
        <v>42151</v>
      </c>
      <c r="U1588" s="29">
        <v>-51.704000000000001</v>
      </c>
      <c r="V1588" s="26">
        <v>4</v>
      </c>
      <c r="W1588" s="29">
        <v>26.31</v>
      </c>
      <c r="X1588" s="26">
        <v>90069</v>
      </c>
      <c r="Y1588" s="35">
        <v>20.93</v>
      </c>
      <c r="Z1588" s="1" t="s">
        <v>3013</v>
      </c>
      <c r="AA1588" s="36">
        <v>0.65280000000000005</v>
      </c>
      <c r="AB1588" s="54">
        <v>16.8384</v>
      </c>
      <c r="AC1588" s="54">
        <v>2.3678999999999997</v>
      </c>
      <c r="AD1588" s="36">
        <v>69.901200000000003</v>
      </c>
    </row>
    <row r="1589" spans="1:30" s="37" customFormat="1" ht="15.75" customHeight="1" x14ac:dyDescent="0.2">
      <c r="A1589" s="26">
        <v>1008</v>
      </c>
      <c r="B1589" s="27" t="s">
        <v>2661</v>
      </c>
      <c r="C1589" s="27" t="s">
        <v>38</v>
      </c>
      <c r="D1589" s="28">
        <v>0.01</v>
      </c>
      <c r="E1589" s="29">
        <v>3.15</v>
      </c>
      <c r="F1589" s="29">
        <v>0.49</v>
      </c>
      <c r="G1589" s="30" t="s">
        <v>39</v>
      </c>
      <c r="H1589" s="27" t="s">
        <v>71</v>
      </c>
      <c r="I1589" s="27" t="s">
        <v>49</v>
      </c>
      <c r="J1589" s="27" t="s">
        <v>152</v>
      </c>
      <c r="K1589" s="27" t="s">
        <v>73</v>
      </c>
      <c r="L1589" s="31" t="s">
        <v>2662</v>
      </c>
      <c r="M1589" s="32">
        <v>0.37</v>
      </c>
      <c r="N1589" s="27" t="s">
        <v>33</v>
      </c>
      <c r="O1589" s="27" t="s">
        <v>111</v>
      </c>
      <c r="P1589" s="27" t="s">
        <v>331</v>
      </c>
      <c r="Q1589" s="27" t="s">
        <v>2663</v>
      </c>
      <c r="R1589" s="33">
        <v>4038</v>
      </c>
      <c r="S1589" s="34">
        <v>42149</v>
      </c>
      <c r="T1589" s="34">
        <v>42151</v>
      </c>
      <c r="U1589" s="29">
        <v>17.505299999999998</v>
      </c>
      <c r="V1589" s="26">
        <v>8</v>
      </c>
      <c r="W1589" s="29">
        <v>25.37</v>
      </c>
      <c r="X1589" s="26">
        <v>88371</v>
      </c>
      <c r="Y1589" s="35">
        <v>4.71</v>
      </c>
      <c r="Z1589" s="1" t="s">
        <v>3014</v>
      </c>
      <c r="AA1589" s="36">
        <v>0.252</v>
      </c>
      <c r="AB1589" s="54">
        <v>15.9831</v>
      </c>
      <c r="AC1589" s="54">
        <v>1.1733625000000001</v>
      </c>
      <c r="AD1589" s="36">
        <v>7.1227000000000054</v>
      </c>
    </row>
    <row r="1590" spans="1:30" s="37" customFormat="1" ht="15.75" customHeight="1" x14ac:dyDescent="0.2">
      <c r="A1590" s="26">
        <v>827</v>
      </c>
      <c r="B1590" s="27" t="s">
        <v>2666</v>
      </c>
      <c r="C1590" s="27" t="s">
        <v>116</v>
      </c>
      <c r="D1590" s="28">
        <v>0.01</v>
      </c>
      <c r="E1590" s="29">
        <v>6.98</v>
      </c>
      <c r="F1590" s="29">
        <v>1.6</v>
      </c>
      <c r="G1590" s="30" t="s">
        <v>39</v>
      </c>
      <c r="H1590" s="27" t="s">
        <v>71</v>
      </c>
      <c r="I1590" s="27" t="s">
        <v>49</v>
      </c>
      <c r="J1590" s="27" t="s">
        <v>88</v>
      </c>
      <c r="K1590" s="27" t="s">
        <v>51</v>
      </c>
      <c r="L1590" s="31" t="s">
        <v>722</v>
      </c>
      <c r="M1590" s="32">
        <v>0.38</v>
      </c>
      <c r="N1590" s="27" t="s">
        <v>33</v>
      </c>
      <c r="O1590" s="27" t="s">
        <v>53</v>
      </c>
      <c r="P1590" s="27" t="s">
        <v>187</v>
      </c>
      <c r="Q1590" s="27" t="s">
        <v>2649</v>
      </c>
      <c r="R1590" s="33">
        <v>79109</v>
      </c>
      <c r="S1590" s="34">
        <v>42149</v>
      </c>
      <c r="T1590" s="34">
        <v>42150</v>
      </c>
      <c r="U1590" s="29">
        <v>0.34599999999999997</v>
      </c>
      <c r="V1590" s="26">
        <v>3</v>
      </c>
      <c r="W1590" s="29">
        <v>21.93</v>
      </c>
      <c r="X1590" s="26">
        <v>89259</v>
      </c>
      <c r="Y1590" s="35">
        <v>27.08</v>
      </c>
      <c r="Z1590" s="1" t="s">
        <v>3012</v>
      </c>
      <c r="AA1590" s="36">
        <v>0.2094</v>
      </c>
      <c r="AB1590" s="54">
        <v>13.5966</v>
      </c>
      <c r="AC1590" s="54">
        <v>2.7778</v>
      </c>
      <c r="AD1590" s="36">
        <v>19.7746</v>
      </c>
    </row>
    <row r="1591" spans="1:30" s="37" customFormat="1" ht="15.75" customHeight="1" x14ac:dyDescent="0.2">
      <c r="A1591" s="26">
        <v>1054</v>
      </c>
      <c r="B1591" s="27" t="s">
        <v>2675</v>
      </c>
      <c r="C1591" s="27" t="s">
        <v>3094</v>
      </c>
      <c r="D1591" s="28">
        <v>0.06</v>
      </c>
      <c r="E1591" s="29">
        <v>20.99</v>
      </c>
      <c r="F1591" s="29">
        <v>2.5</v>
      </c>
      <c r="G1591" s="30" t="s">
        <v>39</v>
      </c>
      <c r="H1591" s="27" t="s">
        <v>94</v>
      </c>
      <c r="I1591" s="27" t="s">
        <v>41</v>
      </c>
      <c r="J1591" s="27" t="s">
        <v>135</v>
      </c>
      <c r="K1591" s="27" t="s">
        <v>51</v>
      </c>
      <c r="L1591" s="31" t="s">
        <v>1201</v>
      </c>
      <c r="M1591" s="32">
        <v>0.81</v>
      </c>
      <c r="N1591" s="27" t="s">
        <v>33</v>
      </c>
      <c r="O1591" s="27" t="s">
        <v>60</v>
      </c>
      <c r="P1591" s="27" t="s">
        <v>588</v>
      </c>
      <c r="Q1591" s="27" t="s">
        <v>2676</v>
      </c>
      <c r="R1591" s="33">
        <v>85374</v>
      </c>
      <c r="S1591" s="34">
        <v>42149</v>
      </c>
      <c r="T1591" s="34">
        <v>42151</v>
      </c>
      <c r="U1591" s="29">
        <v>-112.18899999999999</v>
      </c>
      <c r="V1591" s="26">
        <v>1</v>
      </c>
      <c r="W1591" s="29">
        <v>17.829999999999998</v>
      </c>
      <c r="X1591" s="26">
        <v>90069</v>
      </c>
      <c r="Y1591" s="35">
        <v>15.91</v>
      </c>
      <c r="Z1591" s="1" t="s">
        <v>3013</v>
      </c>
      <c r="AA1591" s="36">
        <v>1.2593999999999999</v>
      </c>
      <c r="AB1591" s="54">
        <v>3.3876999999999988</v>
      </c>
      <c r="AC1591" s="54">
        <v>14.442299999999999</v>
      </c>
      <c r="AD1591" s="36">
        <v>126.25959999999999</v>
      </c>
    </row>
    <row r="1592" spans="1:30" s="37" customFormat="1" ht="15.75" customHeight="1" x14ac:dyDescent="0.2">
      <c r="A1592" s="26">
        <v>2928</v>
      </c>
      <c r="B1592" s="27" t="s">
        <v>2684</v>
      </c>
      <c r="C1592" s="27" t="s">
        <v>26</v>
      </c>
      <c r="D1592" s="28">
        <v>0.02</v>
      </c>
      <c r="E1592" s="29">
        <v>54.1</v>
      </c>
      <c r="F1592" s="29">
        <v>19.989999999999998</v>
      </c>
      <c r="G1592" s="30" t="s">
        <v>39</v>
      </c>
      <c r="H1592" s="27" t="s">
        <v>40</v>
      </c>
      <c r="I1592" s="27" t="s">
        <v>49</v>
      </c>
      <c r="J1592" s="27" t="s">
        <v>78</v>
      </c>
      <c r="K1592" s="27" t="s">
        <v>73</v>
      </c>
      <c r="L1592" s="31" t="s">
        <v>1264</v>
      </c>
      <c r="M1592" s="32">
        <v>0.59</v>
      </c>
      <c r="N1592" s="27" t="s">
        <v>33</v>
      </c>
      <c r="O1592" s="27" t="s">
        <v>34</v>
      </c>
      <c r="P1592" s="27" t="s">
        <v>271</v>
      </c>
      <c r="Q1592" s="27" t="s">
        <v>2686</v>
      </c>
      <c r="R1592" s="33">
        <v>29418</v>
      </c>
      <c r="S1592" s="34">
        <v>42150</v>
      </c>
      <c r="T1592" s="34">
        <v>42151</v>
      </c>
      <c r="U1592" s="29">
        <v>-33.585999999999999</v>
      </c>
      <c r="V1592" s="26">
        <v>36</v>
      </c>
      <c r="W1592" s="29">
        <v>1944.87</v>
      </c>
      <c r="X1592" s="26">
        <v>90218</v>
      </c>
      <c r="Y1592" s="35">
        <v>11.31</v>
      </c>
      <c r="Z1592" s="1" t="s">
        <v>3011</v>
      </c>
      <c r="AA1592" s="36">
        <v>38.952000000000005</v>
      </c>
      <c r="AB1592" s="54">
        <v>797.39670000000001</v>
      </c>
      <c r="AC1592" s="54">
        <v>31.87425833333333</v>
      </c>
      <c r="AD1592" s="36">
        <v>1919.5139999999999</v>
      </c>
    </row>
    <row r="1593" spans="1:30" s="37" customFormat="1" ht="15.75" customHeight="1" x14ac:dyDescent="0.2">
      <c r="A1593" s="26">
        <v>241</v>
      </c>
      <c r="B1593" s="27" t="s">
        <v>2240</v>
      </c>
      <c r="C1593" s="27" t="s">
        <v>48</v>
      </c>
      <c r="D1593" s="28">
        <v>0.02</v>
      </c>
      <c r="E1593" s="29">
        <v>125.99</v>
      </c>
      <c r="F1593" s="29">
        <v>3</v>
      </c>
      <c r="G1593" s="30" t="s">
        <v>39</v>
      </c>
      <c r="H1593" s="27" t="s">
        <v>3095</v>
      </c>
      <c r="I1593" s="27" t="s">
        <v>41</v>
      </c>
      <c r="J1593" s="27" t="s">
        <v>135</v>
      </c>
      <c r="K1593" s="27" t="s">
        <v>73</v>
      </c>
      <c r="L1593" s="31" t="s">
        <v>2688</v>
      </c>
      <c r="M1593" s="32">
        <v>0.59</v>
      </c>
      <c r="N1593" s="27" t="s">
        <v>33</v>
      </c>
      <c r="O1593" s="27" t="s">
        <v>60</v>
      </c>
      <c r="P1593" s="27" t="s">
        <v>61</v>
      </c>
      <c r="Q1593" s="27" t="s">
        <v>2241</v>
      </c>
      <c r="R1593" s="33">
        <v>81503</v>
      </c>
      <c r="S1593" s="34">
        <v>42150</v>
      </c>
      <c r="T1593" s="34">
        <v>42150</v>
      </c>
      <c r="U1593" s="29">
        <v>398.358</v>
      </c>
      <c r="V1593" s="26">
        <v>8</v>
      </c>
      <c r="W1593" s="29">
        <v>873.18</v>
      </c>
      <c r="X1593" s="26">
        <v>90480</v>
      </c>
      <c r="Y1593" s="35">
        <v>15.66</v>
      </c>
      <c r="Z1593" s="1" t="s">
        <v>3013</v>
      </c>
      <c r="AA1593" s="36">
        <v>20.1584</v>
      </c>
      <c r="AB1593" s="54">
        <v>358.00380000000001</v>
      </c>
      <c r="AC1593" s="54">
        <v>64.397024999999999</v>
      </c>
      <c r="AD1593" s="36">
        <v>451.66359999999997</v>
      </c>
    </row>
    <row r="1594" spans="1:30" s="37" customFormat="1" ht="15.75" customHeight="1" x14ac:dyDescent="0.2">
      <c r="A1594" s="26">
        <v>2266</v>
      </c>
      <c r="B1594" s="27" t="s">
        <v>2682</v>
      </c>
      <c r="C1594" s="27" t="s">
        <v>26</v>
      </c>
      <c r="D1594" s="28">
        <v>0.01</v>
      </c>
      <c r="E1594" s="29">
        <v>15.67</v>
      </c>
      <c r="F1594" s="29">
        <v>1.39</v>
      </c>
      <c r="G1594" s="30" t="s">
        <v>39</v>
      </c>
      <c r="H1594" s="27" t="s">
        <v>94</v>
      </c>
      <c r="I1594" s="27" t="s">
        <v>49</v>
      </c>
      <c r="J1594" s="27" t="s">
        <v>345</v>
      </c>
      <c r="K1594" s="27" t="s">
        <v>73</v>
      </c>
      <c r="L1594" s="31" t="s">
        <v>2484</v>
      </c>
      <c r="M1594" s="32">
        <v>0.38</v>
      </c>
      <c r="N1594" s="27" t="s">
        <v>33</v>
      </c>
      <c r="O1594" s="27" t="s">
        <v>53</v>
      </c>
      <c r="P1594" s="27" t="s">
        <v>80</v>
      </c>
      <c r="Q1594" s="27" t="s">
        <v>2683</v>
      </c>
      <c r="R1594" s="33">
        <v>63122</v>
      </c>
      <c r="S1594" s="34">
        <v>42150</v>
      </c>
      <c r="T1594" s="34">
        <v>42151</v>
      </c>
      <c r="U1594" s="29">
        <v>171.26490000000001</v>
      </c>
      <c r="V1594" s="26">
        <v>16</v>
      </c>
      <c r="W1594" s="29">
        <v>248.21</v>
      </c>
      <c r="X1594" s="26">
        <v>86610</v>
      </c>
      <c r="Y1594" s="35">
        <v>5.5600000000000005</v>
      </c>
      <c r="Z1594" s="1" t="s">
        <v>3012</v>
      </c>
      <c r="AA1594" s="36">
        <v>2.5072000000000001</v>
      </c>
      <c r="AB1594" s="54">
        <v>153.89019999999999</v>
      </c>
      <c r="AC1594" s="54">
        <v>5.8949875</v>
      </c>
      <c r="AD1594" s="36">
        <v>73.047899999999998</v>
      </c>
    </row>
    <row r="1595" spans="1:30" s="37" customFormat="1" ht="15.75" customHeight="1" x14ac:dyDescent="0.2">
      <c r="A1595" s="26">
        <v>2928</v>
      </c>
      <c r="B1595" s="27" t="s">
        <v>2684</v>
      </c>
      <c r="C1595" s="27" t="s">
        <v>26</v>
      </c>
      <c r="D1595" s="28">
        <v>0.02</v>
      </c>
      <c r="E1595" s="29">
        <v>5.58</v>
      </c>
      <c r="F1595" s="29">
        <v>2.99</v>
      </c>
      <c r="G1595" s="30" t="s">
        <v>39</v>
      </c>
      <c r="H1595" s="27" t="s">
        <v>40</v>
      </c>
      <c r="I1595" s="27" t="s">
        <v>49</v>
      </c>
      <c r="J1595" s="27" t="s">
        <v>72</v>
      </c>
      <c r="K1595" s="27" t="s">
        <v>73</v>
      </c>
      <c r="L1595" s="31" t="s">
        <v>2685</v>
      </c>
      <c r="M1595" s="32">
        <v>0.37</v>
      </c>
      <c r="N1595" s="27" t="s">
        <v>33</v>
      </c>
      <c r="O1595" s="27" t="s">
        <v>34</v>
      </c>
      <c r="P1595" s="27" t="s">
        <v>271</v>
      </c>
      <c r="Q1595" s="27" t="s">
        <v>2686</v>
      </c>
      <c r="R1595" s="33">
        <v>29418</v>
      </c>
      <c r="S1595" s="34">
        <v>42150</v>
      </c>
      <c r="T1595" s="34">
        <v>42152</v>
      </c>
      <c r="U1595" s="29">
        <v>689.32799999999997</v>
      </c>
      <c r="V1595" s="26">
        <v>42</v>
      </c>
      <c r="W1595" s="29">
        <v>236.83</v>
      </c>
      <c r="X1595" s="26">
        <v>90218</v>
      </c>
      <c r="Y1595" s="35">
        <v>54.08</v>
      </c>
      <c r="Z1595" s="1" t="s">
        <v>3011</v>
      </c>
      <c r="AA1595" s="36">
        <v>4.6871999999999998</v>
      </c>
      <c r="AB1595" s="54">
        <v>149.2029</v>
      </c>
      <c r="AC1595" s="54">
        <v>2.0863595238095241</v>
      </c>
      <c r="AD1595" s="36">
        <v>-460.1751999999999</v>
      </c>
    </row>
    <row r="1596" spans="1:30" s="37" customFormat="1" ht="15.75" customHeight="1" x14ac:dyDescent="0.2">
      <c r="A1596" s="26">
        <v>241</v>
      </c>
      <c r="B1596" s="27" t="s">
        <v>2240</v>
      </c>
      <c r="C1596" s="27" t="s">
        <v>48</v>
      </c>
      <c r="D1596" s="28">
        <v>0.01</v>
      </c>
      <c r="E1596" s="29">
        <v>5.94</v>
      </c>
      <c r="F1596" s="29">
        <v>9.92</v>
      </c>
      <c r="G1596" s="30" t="s">
        <v>39</v>
      </c>
      <c r="H1596" s="27" t="s">
        <v>3095</v>
      </c>
      <c r="I1596" s="27" t="s">
        <v>49</v>
      </c>
      <c r="J1596" s="27" t="s">
        <v>72</v>
      </c>
      <c r="K1596" s="27" t="s">
        <v>73</v>
      </c>
      <c r="L1596" s="31" t="s">
        <v>2591</v>
      </c>
      <c r="M1596" s="32">
        <v>0.38</v>
      </c>
      <c r="N1596" s="27" t="s">
        <v>33</v>
      </c>
      <c r="O1596" s="27" t="s">
        <v>60</v>
      </c>
      <c r="P1596" s="27" t="s">
        <v>61</v>
      </c>
      <c r="Q1596" s="27" t="s">
        <v>2241</v>
      </c>
      <c r="R1596" s="33">
        <v>81503</v>
      </c>
      <c r="S1596" s="34">
        <v>42150</v>
      </c>
      <c r="T1596" s="34">
        <v>42157</v>
      </c>
      <c r="U1596" s="29">
        <v>-256.51900000000001</v>
      </c>
      <c r="V1596" s="26">
        <v>13</v>
      </c>
      <c r="W1596" s="29">
        <v>79.930000000000007</v>
      </c>
      <c r="X1596" s="26">
        <v>90480</v>
      </c>
      <c r="Y1596" s="35">
        <v>2.5700000000000003</v>
      </c>
      <c r="Z1596" s="1" t="s">
        <v>3013</v>
      </c>
      <c r="AA1596" s="36">
        <v>0.77220000000000011</v>
      </c>
      <c r="AB1596" s="54">
        <v>49.556600000000003</v>
      </c>
      <c r="AC1596" s="54">
        <v>2.3364153846153846</v>
      </c>
      <c r="AD1596" s="36">
        <v>325.7568</v>
      </c>
    </row>
    <row r="1597" spans="1:30" s="37" customFormat="1" ht="15.75" customHeight="1" x14ac:dyDescent="0.2">
      <c r="A1597" s="26">
        <v>2266</v>
      </c>
      <c r="B1597" s="27" t="s">
        <v>2682</v>
      </c>
      <c r="C1597" s="27" t="s">
        <v>26</v>
      </c>
      <c r="D1597" s="28">
        <v>0.02</v>
      </c>
      <c r="E1597" s="29">
        <v>11.33</v>
      </c>
      <c r="F1597" s="29">
        <v>6.12</v>
      </c>
      <c r="G1597" s="30" t="s">
        <v>39</v>
      </c>
      <c r="H1597" s="27" t="s">
        <v>94</v>
      </c>
      <c r="I1597" s="27" t="s">
        <v>49</v>
      </c>
      <c r="J1597" s="27" t="s">
        <v>95</v>
      </c>
      <c r="K1597" s="27" t="s">
        <v>144</v>
      </c>
      <c r="L1597" s="31" t="s">
        <v>1953</v>
      </c>
      <c r="M1597" s="32">
        <v>0.42</v>
      </c>
      <c r="N1597" s="27" t="s">
        <v>33</v>
      </c>
      <c r="O1597" s="27" t="s">
        <v>53</v>
      </c>
      <c r="P1597" s="27" t="s">
        <v>80</v>
      </c>
      <c r="Q1597" s="27" t="s">
        <v>2683</v>
      </c>
      <c r="R1597" s="33">
        <v>63122</v>
      </c>
      <c r="S1597" s="34">
        <v>42150</v>
      </c>
      <c r="T1597" s="34">
        <v>42152</v>
      </c>
      <c r="U1597" s="29">
        <v>-14.52</v>
      </c>
      <c r="V1597" s="26">
        <v>3</v>
      </c>
      <c r="W1597" s="29">
        <v>35.35</v>
      </c>
      <c r="X1597" s="26">
        <v>86610</v>
      </c>
      <c r="Y1597" s="35">
        <v>5.9300000000000006</v>
      </c>
      <c r="Z1597" s="1" t="s">
        <v>3012</v>
      </c>
      <c r="AA1597" s="36">
        <v>0.67979999999999996</v>
      </c>
      <c r="AB1597" s="54">
        <v>20.503000000000004</v>
      </c>
      <c r="AC1597" s="54">
        <v>4.9489999999999998</v>
      </c>
      <c r="AD1597" s="36">
        <v>43.0702</v>
      </c>
    </row>
    <row r="1598" spans="1:30" s="37" customFormat="1" ht="15.75" customHeight="1" x14ac:dyDescent="0.2">
      <c r="A1598" s="26">
        <v>2941</v>
      </c>
      <c r="B1598" s="27" t="s">
        <v>2687</v>
      </c>
      <c r="C1598" s="27" t="s">
        <v>26</v>
      </c>
      <c r="D1598" s="28">
        <v>0.05</v>
      </c>
      <c r="E1598" s="29">
        <v>2.62</v>
      </c>
      <c r="F1598" s="29">
        <v>0.8</v>
      </c>
      <c r="G1598" s="30" t="s">
        <v>39</v>
      </c>
      <c r="H1598" s="27" t="s">
        <v>3095</v>
      </c>
      <c r="I1598" s="27" t="s">
        <v>49</v>
      </c>
      <c r="J1598" s="27" t="s">
        <v>176</v>
      </c>
      <c r="K1598" s="27" t="s">
        <v>51</v>
      </c>
      <c r="L1598" s="31" t="s">
        <v>2124</v>
      </c>
      <c r="M1598" s="32">
        <v>0.39</v>
      </c>
      <c r="N1598" s="27" t="s">
        <v>33</v>
      </c>
      <c r="O1598" s="27" t="s">
        <v>111</v>
      </c>
      <c r="P1598" s="27" t="s">
        <v>397</v>
      </c>
      <c r="Q1598" s="27" t="s">
        <v>1641</v>
      </c>
      <c r="R1598" s="33">
        <v>7960</v>
      </c>
      <c r="S1598" s="34">
        <v>42150</v>
      </c>
      <c r="T1598" s="34">
        <v>42151</v>
      </c>
      <c r="U1598" s="29">
        <v>12.71</v>
      </c>
      <c r="V1598" s="26">
        <v>8</v>
      </c>
      <c r="W1598" s="29">
        <v>21.41</v>
      </c>
      <c r="X1598" s="26">
        <v>87618</v>
      </c>
      <c r="Y1598" s="35">
        <v>125.97</v>
      </c>
      <c r="Z1598" s="1" t="s">
        <v>3014</v>
      </c>
      <c r="AA1598" s="36">
        <v>1.048</v>
      </c>
      <c r="AB1598" s="54">
        <v>13.0601</v>
      </c>
      <c r="AC1598" s="54">
        <v>1.0437375</v>
      </c>
      <c r="AD1598" s="36">
        <v>6.8519999999999985</v>
      </c>
    </row>
    <row r="1599" spans="1:30" s="37" customFormat="1" ht="15.75" customHeight="1" x14ac:dyDescent="0.2">
      <c r="A1599" s="26">
        <v>451</v>
      </c>
      <c r="B1599" s="27" t="s">
        <v>219</v>
      </c>
      <c r="C1599" s="27" t="s">
        <v>26</v>
      </c>
      <c r="D1599" s="28">
        <v>0.04</v>
      </c>
      <c r="E1599" s="29">
        <v>37.700000000000003</v>
      </c>
      <c r="F1599" s="29">
        <v>2.99</v>
      </c>
      <c r="G1599" s="30" t="s">
        <v>39</v>
      </c>
      <c r="H1599" s="27" t="s">
        <v>71</v>
      </c>
      <c r="I1599" s="27" t="s">
        <v>49</v>
      </c>
      <c r="J1599" s="27" t="s">
        <v>72</v>
      </c>
      <c r="K1599" s="27" t="s">
        <v>73</v>
      </c>
      <c r="L1599" s="31" t="s">
        <v>2516</v>
      </c>
      <c r="M1599" s="32">
        <v>0.35</v>
      </c>
      <c r="N1599" s="27" t="s">
        <v>33</v>
      </c>
      <c r="O1599" s="27" t="s">
        <v>60</v>
      </c>
      <c r="P1599" s="27" t="s">
        <v>90</v>
      </c>
      <c r="Q1599" s="27" t="s">
        <v>221</v>
      </c>
      <c r="R1599" s="33">
        <v>94024</v>
      </c>
      <c r="S1599" s="34">
        <v>42151</v>
      </c>
      <c r="T1599" s="34">
        <v>42152</v>
      </c>
      <c r="U1599" s="29">
        <v>299.6739</v>
      </c>
      <c r="V1599" s="26">
        <v>12</v>
      </c>
      <c r="W1599" s="29">
        <v>434.31</v>
      </c>
      <c r="X1599" s="26">
        <v>86012</v>
      </c>
      <c r="Y1599" s="35">
        <v>37.660000000000004</v>
      </c>
      <c r="Z1599" s="1" t="s">
        <v>3013</v>
      </c>
      <c r="AA1599" s="36">
        <v>18.096000000000004</v>
      </c>
      <c r="AB1599" s="54">
        <v>282.30150000000003</v>
      </c>
      <c r="AC1599" s="54">
        <v>12.667375</v>
      </c>
      <c r="AD1599" s="36">
        <v>113.55009999999999</v>
      </c>
    </row>
    <row r="1600" spans="1:30" s="37" customFormat="1" ht="15.75" customHeight="1" x14ac:dyDescent="0.2">
      <c r="A1600" s="26">
        <v>865</v>
      </c>
      <c r="B1600" s="27" t="s">
        <v>1386</v>
      </c>
      <c r="C1600" s="27" t="s">
        <v>26</v>
      </c>
      <c r="D1600" s="28">
        <v>0.03</v>
      </c>
      <c r="E1600" s="29">
        <v>14.2</v>
      </c>
      <c r="F1600" s="29">
        <v>5.3</v>
      </c>
      <c r="G1600" s="30" t="s">
        <v>39</v>
      </c>
      <c r="H1600" s="27" t="s">
        <v>94</v>
      </c>
      <c r="I1600" s="27" t="s">
        <v>29</v>
      </c>
      <c r="J1600" s="27" t="s">
        <v>126</v>
      </c>
      <c r="K1600" s="27" t="s">
        <v>51</v>
      </c>
      <c r="L1600" s="31" t="s">
        <v>288</v>
      </c>
      <c r="M1600" s="32">
        <v>0.46</v>
      </c>
      <c r="N1600" s="27" t="s">
        <v>33</v>
      </c>
      <c r="O1600" s="27" t="s">
        <v>53</v>
      </c>
      <c r="P1600" s="27" t="s">
        <v>54</v>
      </c>
      <c r="Q1600" s="27" t="s">
        <v>1042</v>
      </c>
      <c r="R1600" s="33">
        <v>46312</v>
      </c>
      <c r="S1600" s="34">
        <v>42151</v>
      </c>
      <c r="T1600" s="34">
        <v>42152</v>
      </c>
      <c r="U1600" s="29">
        <v>122.21</v>
      </c>
      <c r="V1600" s="26">
        <v>18</v>
      </c>
      <c r="W1600" s="29">
        <v>267.2</v>
      </c>
      <c r="X1600" s="26">
        <v>90674</v>
      </c>
      <c r="Y1600" s="35">
        <v>55.980000000000004</v>
      </c>
      <c r="Z1600" s="1" t="s">
        <v>3012</v>
      </c>
      <c r="AA1600" s="36">
        <v>7.6680000000000001</v>
      </c>
      <c r="AB1600" s="54">
        <v>144.28800000000001</v>
      </c>
      <c r="AC1600" s="54">
        <v>6.8284444444444441</v>
      </c>
      <c r="AD1600" s="36">
        <v>132.02199999999999</v>
      </c>
    </row>
    <row r="1601" spans="1:30" s="37" customFormat="1" ht="15.75" customHeight="1" x14ac:dyDescent="0.2">
      <c r="A1601" s="26">
        <v>370</v>
      </c>
      <c r="B1601" s="27" t="s">
        <v>2691</v>
      </c>
      <c r="C1601" s="27" t="s">
        <v>3094</v>
      </c>
      <c r="D1601" s="28">
        <v>0.02</v>
      </c>
      <c r="E1601" s="29">
        <v>20.99</v>
      </c>
      <c r="F1601" s="29">
        <v>4.8099999999999996</v>
      </c>
      <c r="G1601" s="30" t="s">
        <v>39</v>
      </c>
      <c r="H1601" s="27" t="s">
        <v>94</v>
      </c>
      <c r="I1601" s="27" t="s">
        <v>41</v>
      </c>
      <c r="J1601" s="27" t="s">
        <v>135</v>
      </c>
      <c r="K1601" s="27" t="s">
        <v>144</v>
      </c>
      <c r="L1601" s="31" t="s">
        <v>1431</v>
      </c>
      <c r="M1601" s="32">
        <v>0.57999999999999996</v>
      </c>
      <c r="N1601" s="27" t="s">
        <v>33</v>
      </c>
      <c r="O1601" s="27" t="s">
        <v>111</v>
      </c>
      <c r="P1601" s="27" t="s">
        <v>331</v>
      </c>
      <c r="Q1601" s="27" t="s">
        <v>1658</v>
      </c>
      <c r="R1601" s="33">
        <v>4240</v>
      </c>
      <c r="S1601" s="34">
        <v>42151</v>
      </c>
      <c r="T1601" s="34">
        <v>42153</v>
      </c>
      <c r="U1601" s="29">
        <v>49.787999999999997</v>
      </c>
      <c r="V1601" s="26">
        <v>15</v>
      </c>
      <c r="W1601" s="29">
        <v>266.39</v>
      </c>
      <c r="X1601" s="26">
        <v>90291</v>
      </c>
      <c r="Y1601" s="35">
        <v>14.17</v>
      </c>
      <c r="Z1601" s="1" t="s">
        <v>3014</v>
      </c>
      <c r="AA1601" s="36">
        <v>6.2969999999999988</v>
      </c>
      <c r="AB1601" s="54">
        <v>111.88380000000001</v>
      </c>
      <c r="AC1601" s="54">
        <v>10.300413333333333</v>
      </c>
      <c r="AD1601" s="36">
        <v>205.495</v>
      </c>
    </row>
    <row r="1602" spans="1:30" s="37" customFormat="1" ht="15.75" customHeight="1" x14ac:dyDescent="0.2">
      <c r="A1602" s="26">
        <v>452</v>
      </c>
      <c r="B1602" s="27" t="s">
        <v>2689</v>
      </c>
      <c r="C1602" s="27" t="s">
        <v>26</v>
      </c>
      <c r="D1602" s="28">
        <v>0.01</v>
      </c>
      <c r="E1602" s="29">
        <v>55.99</v>
      </c>
      <c r="F1602" s="29">
        <v>5</v>
      </c>
      <c r="G1602" s="30" t="s">
        <v>39</v>
      </c>
      <c r="H1602" s="27" t="s">
        <v>71</v>
      </c>
      <c r="I1602" s="27" t="s">
        <v>41</v>
      </c>
      <c r="J1602" s="27" t="s">
        <v>135</v>
      </c>
      <c r="K1602" s="27" t="s">
        <v>43</v>
      </c>
      <c r="L1602" s="31" t="s">
        <v>1938</v>
      </c>
      <c r="M1602" s="32">
        <v>0.83</v>
      </c>
      <c r="N1602" s="27" t="s">
        <v>33</v>
      </c>
      <c r="O1602" s="27" t="s">
        <v>60</v>
      </c>
      <c r="P1602" s="27" t="s">
        <v>90</v>
      </c>
      <c r="Q1602" s="27" t="s">
        <v>2690</v>
      </c>
      <c r="R1602" s="33">
        <v>93635</v>
      </c>
      <c r="S1602" s="34">
        <v>42151</v>
      </c>
      <c r="T1602" s="34">
        <v>42152</v>
      </c>
      <c r="U1602" s="29">
        <v>-235.89500000000001</v>
      </c>
      <c r="V1602" s="26">
        <v>1</v>
      </c>
      <c r="W1602" s="29">
        <v>51.83</v>
      </c>
      <c r="X1602" s="26">
        <v>86012</v>
      </c>
      <c r="Y1602" s="35">
        <v>20.97</v>
      </c>
      <c r="Z1602" s="1" t="s">
        <v>3013</v>
      </c>
      <c r="AA1602" s="36">
        <v>0.55990000000000006</v>
      </c>
      <c r="AB1602" s="54">
        <v>8.8111000000000015</v>
      </c>
      <c r="AC1602" s="54">
        <v>43.018899999999995</v>
      </c>
      <c r="AD1602" s="36">
        <v>282.1651</v>
      </c>
    </row>
    <row r="1603" spans="1:30" s="37" customFormat="1" ht="15.75" customHeight="1" x14ac:dyDescent="0.2">
      <c r="A1603" s="26">
        <v>371</v>
      </c>
      <c r="B1603" s="27" t="s">
        <v>2692</v>
      </c>
      <c r="C1603" s="27" t="s">
        <v>3094</v>
      </c>
      <c r="D1603" s="28">
        <v>0.05</v>
      </c>
      <c r="E1603" s="29">
        <v>5.4</v>
      </c>
      <c r="F1603" s="29">
        <v>7.78</v>
      </c>
      <c r="G1603" s="30" t="s">
        <v>87</v>
      </c>
      <c r="H1603" s="27" t="s">
        <v>94</v>
      </c>
      <c r="I1603" s="27" t="s">
        <v>49</v>
      </c>
      <c r="J1603" s="27" t="s">
        <v>72</v>
      </c>
      <c r="K1603" s="27" t="s">
        <v>73</v>
      </c>
      <c r="L1603" s="31" t="s">
        <v>1484</v>
      </c>
      <c r="M1603" s="32">
        <v>0.37</v>
      </c>
      <c r="N1603" s="27" t="s">
        <v>33</v>
      </c>
      <c r="O1603" s="27" t="s">
        <v>111</v>
      </c>
      <c r="P1603" s="27" t="s">
        <v>403</v>
      </c>
      <c r="Q1603" s="27" t="s">
        <v>2693</v>
      </c>
      <c r="R1603" s="33">
        <v>2149</v>
      </c>
      <c r="S1603" s="34">
        <v>42151</v>
      </c>
      <c r="T1603" s="34">
        <v>42153</v>
      </c>
      <c r="U1603" s="29">
        <v>-132.62950000000001</v>
      </c>
      <c r="V1603" s="26">
        <v>9</v>
      </c>
      <c r="W1603" s="29">
        <v>51.82</v>
      </c>
      <c r="X1603" s="26">
        <v>90291</v>
      </c>
      <c r="Y1603" s="35">
        <v>5.3500000000000005</v>
      </c>
      <c r="Z1603" s="1" t="s">
        <v>3014</v>
      </c>
      <c r="AA1603" s="36">
        <v>2.4300000000000002</v>
      </c>
      <c r="AB1603" s="54">
        <v>32.646599999999999</v>
      </c>
      <c r="AC1603" s="54">
        <v>2.1303777777777779</v>
      </c>
      <c r="AD1603" s="36">
        <v>174.23949999999999</v>
      </c>
    </row>
    <row r="1604" spans="1:30" s="37" customFormat="1" ht="15.75" customHeight="1" x14ac:dyDescent="0.2">
      <c r="A1604" s="26">
        <v>250</v>
      </c>
      <c r="B1604" s="27" t="s">
        <v>2694</v>
      </c>
      <c r="C1604" s="27" t="s">
        <v>26</v>
      </c>
      <c r="D1604" s="28">
        <v>0.02</v>
      </c>
      <c r="E1604" s="29">
        <v>65.989999999999995</v>
      </c>
      <c r="F1604" s="29">
        <v>3.9</v>
      </c>
      <c r="G1604" s="30" t="s">
        <v>39</v>
      </c>
      <c r="H1604" s="27" t="s">
        <v>94</v>
      </c>
      <c r="I1604" s="27" t="s">
        <v>41</v>
      </c>
      <c r="J1604" s="27" t="s">
        <v>135</v>
      </c>
      <c r="K1604" s="27" t="s">
        <v>73</v>
      </c>
      <c r="L1604" s="31" t="s">
        <v>2697</v>
      </c>
      <c r="M1604" s="32">
        <v>0.55000000000000004</v>
      </c>
      <c r="N1604" s="27" t="s">
        <v>33</v>
      </c>
      <c r="O1604" s="27" t="s">
        <v>53</v>
      </c>
      <c r="P1604" s="27" t="s">
        <v>84</v>
      </c>
      <c r="Q1604" s="27" t="s">
        <v>2696</v>
      </c>
      <c r="R1604" s="33">
        <v>55423</v>
      </c>
      <c r="S1604" s="34">
        <v>42152</v>
      </c>
      <c r="T1604" s="34">
        <v>42153</v>
      </c>
      <c r="U1604" s="29">
        <v>1061.3789999999999</v>
      </c>
      <c r="V1604" s="26">
        <v>27</v>
      </c>
      <c r="W1604" s="29">
        <v>1543.55</v>
      </c>
      <c r="X1604" s="26">
        <v>87214</v>
      </c>
      <c r="Y1604" s="35">
        <v>2.56</v>
      </c>
      <c r="Z1604" s="1" t="s">
        <v>3012</v>
      </c>
      <c r="AA1604" s="36">
        <v>35.634599999999999</v>
      </c>
      <c r="AB1604" s="54">
        <v>694.59749999999985</v>
      </c>
      <c r="AC1604" s="54">
        <v>31.442685185185187</v>
      </c>
      <c r="AD1604" s="36">
        <v>442.63639999999987</v>
      </c>
    </row>
    <row r="1605" spans="1:30" s="37" customFormat="1" ht="15.75" customHeight="1" x14ac:dyDescent="0.2">
      <c r="A1605" s="26">
        <v>2709</v>
      </c>
      <c r="B1605" s="27" t="s">
        <v>2704</v>
      </c>
      <c r="C1605" s="27" t="s">
        <v>116</v>
      </c>
      <c r="D1605" s="28">
        <v>0</v>
      </c>
      <c r="E1605" s="29">
        <v>90.98</v>
      </c>
      <c r="F1605" s="29">
        <v>56.2</v>
      </c>
      <c r="G1605" s="30" t="s">
        <v>39</v>
      </c>
      <c r="H1605" s="27" t="s">
        <v>40</v>
      </c>
      <c r="I1605" s="27" t="s">
        <v>29</v>
      </c>
      <c r="J1605" s="27" t="s">
        <v>126</v>
      </c>
      <c r="K1605" s="27" t="s">
        <v>144</v>
      </c>
      <c r="L1605" s="31" t="s">
        <v>807</v>
      </c>
      <c r="M1605" s="32">
        <v>0.74</v>
      </c>
      <c r="N1605" s="27" t="s">
        <v>33</v>
      </c>
      <c r="O1605" s="27" t="s">
        <v>111</v>
      </c>
      <c r="P1605" s="27" t="s">
        <v>418</v>
      </c>
      <c r="Q1605" s="27" t="s">
        <v>2705</v>
      </c>
      <c r="R1605" s="33">
        <v>21042</v>
      </c>
      <c r="S1605" s="34">
        <v>42152</v>
      </c>
      <c r="T1605" s="34">
        <v>42154</v>
      </c>
      <c r="U1605" s="29">
        <v>-1014.11</v>
      </c>
      <c r="V1605" s="26">
        <v>15</v>
      </c>
      <c r="W1605" s="29">
        <v>1425.71</v>
      </c>
      <c r="X1605" s="26">
        <v>89240</v>
      </c>
      <c r="Y1605" s="35">
        <v>65.97</v>
      </c>
      <c r="Z1605" s="1" t="s">
        <v>3014</v>
      </c>
      <c r="AA1605" s="36">
        <v>0</v>
      </c>
      <c r="AB1605" s="54">
        <v>370.68460000000005</v>
      </c>
      <c r="AC1605" s="54">
        <v>70.335026666666678</v>
      </c>
      <c r="AD1605" s="36">
        <v>2383.62</v>
      </c>
    </row>
    <row r="1606" spans="1:30" s="37" customFormat="1" ht="15.75" customHeight="1" x14ac:dyDescent="0.2">
      <c r="A1606" s="26">
        <v>3206</v>
      </c>
      <c r="B1606" s="27" t="s">
        <v>1926</v>
      </c>
      <c r="C1606" s="27" t="s">
        <v>3094</v>
      </c>
      <c r="D1606" s="28">
        <v>0.05</v>
      </c>
      <c r="E1606" s="29">
        <v>35.44</v>
      </c>
      <c r="F1606" s="29">
        <v>5.09</v>
      </c>
      <c r="G1606" s="30" t="s">
        <v>39</v>
      </c>
      <c r="H1606" s="27" t="s">
        <v>40</v>
      </c>
      <c r="I1606" s="27" t="s">
        <v>49</v>
      </c>
      <c r="J1606" s="27" t="s">
        <v>88</v>
      </c>
      <c r="K1606" s="27" t="s">
        <v>73</v>
      </c>
      <c r="L1606" s="31" t="s">
        <v>2078</v>
      </c>
      <c r="M1606" s="32">
        <v>0.38</v>
      </c>
      <c r="N1606" s="27" t="s">
        <v>33</v>
      </c>
      <c r="O1606" s="27" t="s">
        <v>60</v>
      </c>
      <c r="P1606" s="27" t="s">
        <v>490</v>
      </c>
      <c r="Q1606" s="27" t="s">
        <v>1928</v>
      </c>
      <c r="R1606" s="33">
        <v>83301</v>
      </c>
      <c r="S1606" s="34">
        <v>42152</v>
      </c>
      <c r="T1606" s="34">
        <v>42153</v>
      </c>
      <c r="U1606" s="29">
        <v>553.33169999999996</v>
      </c>
      <c r="V1606" s="26">
        <v>23</v>
      </c>
      <c r="W1606" s="29">
        <v>801.93</v>
      </c>
      <c r="X1606" s="26">
        <v>87935</v>
      </c>
      <c r="Y1606" s="35">
        <v>5.95</v>
      </c>
      <c r="Z1606" s="1" t="s">
        <v>3013</v>
      </c>
      <c r="AA1606" s="36">
        <v>40.756</v>
      </c>
      <c r="AB1606" s="54">
        <v>497.19659999999999</v>
      </c>
      <c r="AC1606" s="54">
        <v>13.249278260869565</v>
      </c>
      <c r="AD1606" s="36">
        <v>202.75229999999999</v>
      </c>
    </row>
    <row r="1607" spans="1:30" s="37" customFormat="1" ht="15.75" customHeight="1" x14ac:dyDescent="0.2">
      <c r="A1607" s="26">
        <v>1627</v>
      </c>
      <c r="B1607" s="27" t="s">
        <v>2698</v>
      </c>
      <c r="C1607" s="27" t="s">
        <v>38</v>
      </c>
      <c r="D1607" s="28">
        <v>0.06</v>
      </c>
      <c r="E1607" s="29">
        <v>43.57</v>
      </c>
      <c r="F1607" s="29">
        <v>16.36</v>
      </c>
      <c r="G1607" s="30" t="s">
        <v>39</v>
      </c>
      <c r="H1607" s="27" t="s">
        <v>94</v>
      </c>
      <c r="I1607" s="27" t="s">
        <v>49</v>
      </c>
      <c r="J1607" s="27" t="s">
        <v>78</v>
      </c>
      <c r="K1607" s="27" t="s">
        <v>73</v>
      </c>
      <c r="L1607" s="31" t="s">
        <v>2699</v>
      </c>
      <c r="M1607" s="32">
        <v>0.55000000000000004</v>
      </c>
      <c r="N1607" s="27" t="s">
        <v>33</v>
      </c>
      <c r="O1607" s="27" t="s">
        <v>34</v>
      </c>
      <c r="P1607" s="27" t="s">
        <v>400</v>
      </c>
      <c r="Q1607" s="27" t="s">
        <v>2700</v>
      </c>
      <c r="R1607" s="33">
        <v>37743</v>
      </c>
      <c r="S1607" s="34">
        <v>42152</v>
      </c>
      <c r="T1607" s="34">
        <v>42154</v>
      </c>
      <c r="U1607" s="29">
        <v>-38.808</v>
      </c>
      <c r="V1607" s="26">
        <v>17</v>
      </c>
      <c r="W1607" s="29">
        <v>710.16</v>
      </c>
      <c r="X1607" s="26">
        <v>90602</v>
      </c>
      <c r="Y1607" s="35">
        <v>17.669999999999998</v>
      </c>
      <c r="Z1607" s="1" t="s">
        <v>3011</v>
      </c>
      <c r="AA1607" s="36">
        <v>44.441399999999994</v>
      </c>
      <c r="AB1607" s="54">
        <v>319.57199999999995</v>
      </c>
      <c r="AC1607" s="54">
        <v>22.975764705882355</v>
      </c>
      <c r="AD1607" s="36">
        <v>688.16660000000002</v>
      </c>
    </row>
    <row r="1608" spans="1:30" s="37" customFormat="1" ht="15.75" customHeight="1" x14ac:dyDescent="0.2">
      <c r="A1608" s="26">
        <v>15</v>
      </c>
      <c r="B1608" s="27" t="s">
        <v>2071</v>
      </c>
      <c r="C1608" s="27" t="s">
        <v>116</v>
      </c>
      <c r="D1608" s="28">
        <v>0.01</v>
      </c>
      <c r="E1608" s="29">
        <v>35.94</v>
      </c>
      <c r="F1608" s="29">
        <v>6.66</v>
      </c>
      <c r="G1608" s="30" t="s">
        <v>39</v>
      </c>
      <c r="H1608" s="27" t="s">
        <v>3095</v>
      </c>
      <c r="I1608" s="27" t="s">
        <v>49</v>
      </c>
      <c r="J1608" s="27" t="s">
        <v>345</v>
      </c>
      <c r="K1608" s="27" t="s">
        <v>73</v>
      </c>
      <c r="L1608" s="31" t="s">
        <v>2122</v>
      </c>
      <c r="M1608" s="32">
        <v>0.4</v>
      </c>
      <c r="N1608" s="27" t="s">
        <v>33</v>
      </c>
      <c r="O1608" s="27" t="s">
        <v>111</v>
      </c>
      <c r="P1608" s="27" t="s">
        <v>112</v>
      </c>
      <c r="Q1608" s="27" t="s">
        <v>2073</v>
      </c>
      <c r="R1608" s="33">
        <v>11787</v>
      </c>
      <c r="S1608" s="34">
        <v>42152</v>
      </c>
      <c r="T1608" s="34">
        <v>42152</v>
      </c>
      <c r="U1608" s="29">
        <v>261.87569999999999</v>
      </c>
      <c r="V1608" s="26">
        <v>10</v>
      </c>
      <c r="W1608" s="29">
        <v>379.53</v>
      </c>
      <c r="X1608" s="26">
        <v>86839</v>
      </c>
      <c r="Y1608" s="35">
        <v>43.51</v>
      </c>
      <c r="Z1608" s="1" t="s">
        <v>3014</v>
      </c>
      <c r="AA1608" s="36">
        <v>3.5939999999999999</v>
      </c>
      <c r="AB1608" s="54">
        <v>227.71799999999999</v>
      </c>
      <c r="AC1608" s="54">
        <v>15.181199999999999</v>
      </c>
      <c r="AD1608" s="36">
        <v>107.40029999999996</v>
      </c>
    </row>
    <row r="1609" spans="1:30" s="37" customFormat="1" ht="15.75" customHeight="1" x14ac:dyDescent="0.2">
      <c r="A1609" s="26">
        <v>3154</v>
      </c>
      <c r="B1609" s="27" t="s">
        <v>781</v>
      </c>
      <c r="C1609" s="27" t="s">
        <v>26</v>
      </c>
      <c r="D1609" s="28">
        <v>0.03</v>
      </c>
      <c r="E1609" s="29">
        <v>17.7</v>
      </c>
      <c r="F1609" s="29">
        <v>9.4700000000000006</v>
      </c>
      <c r="G1609" s="30" t="s">
        <v>39</v>
      </c>
      <c r="H1609" s="27" t="s">
        <v>40</v>
      </c>
      <c r="I1609" s="27" t="s">
        <v>49</v>
      </c>
      <c r="J1609" s="27" t="s">
        <v>78</v>
      </c>
      <c r="K1609" s="27" t="s">
        <v>73</v>
      </c>
      <c r="L1609" s="31" t="s">
        <v>1051</v>
      </c>
      <c r="M1609" s="32">
        <v>0.59</v>
      </c>
      <c r="N1609" s="27" t="s">
        <v>33</v>
      </c>
      <c r="O1609" s="27" t="s">
        <v>34</v>
      </c>
      <c r="P1609" s="27" t="s">
        <v>123</v>
      </c>
      <c r="Q1609" s="27" t="s">
        <v>783</v>
      </c>
      <c r="R1609" s="33">
        <v>33710</v>
      </c>
      <c r="S1609" s="34">
        <v>42152</v>
      </c>
      <c r="T1609" s="34">
        <v>42154</v>
      </c>
      <c r="U1609" s="29">
        <v>28.182600000000001</v>
      </c>
      <c r="V1609" s="26">
        <v>11</v>
      </c>
      <c r="W1609" s="29">
        <v>201.77</v>
      </c>
      <c r="X1609" s="26">
        <v>86900</v>
      </c>
      <c r="Y1609" s="35">
        <v>5.8199999999999994</v>
      </c>
      <c r="Z1609" s="1" t="s">
        <v>3011</v>
      </c>
      <c r="AA1609" s="36">
        <v>5.8409999999999993</v>
      </c>
      <c r="AB1609" s="54">
        <v>82.725700000000018</v>
      </c>
      <c r="AC1609" s="54">
        <v>10.822209090909091</v>
      </c>
      <c r="AD1609" s="36">
        <v>158.27640000000002</v>
      </c>
    </row>
    <row r="1610" spans="1:30" s="37" customFormat="1" ht="15.75" customHeight="1" x14ac:dyDescent="0.2">
      <c r="A1610" s="26">
        <v>250</v>
      </c>
      <c r="B1610" s="27" t="s">
        <v>2694</v>
      </c>
      <c r="C1610" s="27" t="s">
        <v>26</v>
      </c>
      <c r="D1610" s="28">
        <v>0.02</v>
      </c>
      <c r="E1610" s="29">
        <v>2.58</v>
      </c>
      <c r="F1610" s="29">
        <v>1.3</v>
      </c>
      <c r="G1610" s="30" t="s">
        <v>87</v>
      </c>
      <c r="H1610" s="27" t="s">
        <v>94</v>
      </c>
      <c r="I1610" s="27" t="s">
        <v>49</v>
      </c>
      <c r="J1610" s="27" t="s">
        <v>50</v>
      </c>
      <c r="K1610" s="27" t="s">
        <v>51</v>
      </c>
      <c r="L1610" s="31" t="s">
        <v>2695</v>
      </c>
      <c r="M1610" s="32">
        <v>0.59</v>
      </c>
      <c r="N1610" s="27" t="s">
        <v>33</v>
      </c>
      <c r="O1610" s="27" t="s">
        <v>53</v>
      </c>
      <c r="P1610" s="27" t="s">
        <v>84</v>
      </c>
      <c r="Q1610" s="27" t="s">
        <v>2696</v>
      </c>
      <c r="R1610" s="33">
        <v>55423</v>
      </c>
      <c r="S1610" s="34">
        <v>42152</v>
      </c>
      <c r="T1610" s="34">
        <v>42153</v>
      </c>
      <c r="U1610" s="29">
        <v>1.1080000000000001</v>
      </c>
      <c r="V1610" s="26">
        <v>39</v>
      </c>
      <c r="W1610" s="29">
        <v>109.74</v>
      </c>
      <c r="X1610" s="26">
        <v>87214</v>
      </c>
      <c r="Y1610" s="35">
        <v>35.93</v>
      </c>
      <c r="Z1610" s="1" t="s">
        <v>3012</v>
      </c>
      <c r="AA1610" s="36">
        <v>2.0124</v>
      </c>
      <c r="AB1610" s="54">
        <v>44.993400000000001</v>
      </c>
      <c r="AC1610" s="54">
        <v>1.6601692307692306</v>
      </c>
      <c r="AD1610" s="36">
        <v>105.31959999999999</v>
      </c>
    </row>
    <row r="1611" spans="1:30" s="37" customFormat="1" ht="15.75" customHeight="1" x14ac:dyDescent="0.2">
      <c r="A1611" s="26">
        <v>3011</v>
      </c>
      <c r="B1611" s="27" t="s">
        <v>2314</v>
      </c>
      <c r="C1611" s="27" t="s">
        <v>26</v>
      </c>
      <c r="D1611" s="28">
        <v>0.03</v>
      </c>
      <c r="E1611" s="29">
        <v>5.98</v>
      </c>
      <c r="F1611" s="29">
        <v>5.35</v>
      </c>
      <c r="G1611" s="30" t="s">
        <v>39</v>
      </c>
      <c r="H1611" s="27" t="s">
        <v>94</v>
      </c>
      <c r="I1611" s="27" t="s">
        <v>49</v>
      </c>
      <c r="J1611" s="27" t="s">
        <v>88</v>
      </c>
      <c r="K1611" s="27" t="s">
        <v>73</v>
      </c>
      <c r="L1611" s="31" t="s">
        <v>809</v>
      </c>
      <c r="M1611" s="32">
        <v>0.4</v>
      </c>
      <c r="N1611" s="27" t="s">
        <v>33</v>
      </c>
      <c r="O1611" s="27" t="s">
        <v>111</v>
      </c>
      <c r="P1611" s="27" t="s">
        <v>403</v>
      </c>
      <c r="Q1611" s="27" t="s">
        <v>788</v>
      </c>
      <c r="R1611" s="33">
        <v>2113</v>
      </c>
      <c r="S1611" s="34">
        <v>42152</v>
      </c>
      <c r="T1611" s="34">
        <v>42153</v>
      </c>
      <c r="U1611" s="29">
        <v>-23.5</v>
      </c>
      <c r="V1611" s="26">
        <v>16</v>
      </c>
      <c r="W1611" s="29">
        <v>107.08</v>
      </c>
      <c r="X1611" s="26">
        <v>56486</v>
      </c>
      <c r="Y1611" s="35">
        <v>60.9</v>
      </c>
      <c r="Z1611" s="1" t="s">
        <v>3014</v>
      </c>
      <c r="AA1611" s="36">
        <v>2.8704000000000001</v>
      </c>
      <c r="AB1611" s="54">
        <v>64.24799999999999</v>
      </c>
      <c r="AC1611" s="54">
        <v>2.677</v>
      </c>
      <c r="AD1611" s="36">
        <v>122.3596</v>
      </c>
    </row>
    <row r="1612" spans="1:30" s="37" customFormat="1" ht="15.75" customHeight="1" x14ac:dyDescent="0.2">
      <c r="A1612" s="26">
        <v>2709</v>
      </c>
      <c r="B1612" s="27" t="s">
        <v>2704</v>
      </c>
      <c r="C1612" s="27" t="s">
        <v>116</v>
      </c>
      <c r="D1612" s="28">
        <v>7.0000000000000007E-2</v>
      </c>
      <c r="E1612" s="29">
        <v>60.97</v>
      </c>
      <c r="F1612" s="29">
        <v>4.5</v>
      </c>
      <c r="G1612" s="30" t="s">
        <v>39</v>
      </c>
      <c r="H1612" s="27" t="s">
        <v>40</v>
      </c>
      <c r="I1612" s="27" t="s">
        <v>49</v>
      </c>
      <c r="J1612" s="27" t="s">
        <v>95</v>
      </c>
      <c r="K1612" s="27" t="s">
        <v>73</v>
      </c>
      <c r="L1612" s="31" t="s">
        <v>96</v>
      </c>
      <c r="M1612" s="32">
        <v>0.56000000000000005</v>
      </c>
      <c r="N1612" s="27" t="s">
        <v>33</v>
      </c>
      <c r="O1612" s="27" t="s">
        <v>111</v>
      </c>
      <c r="P1612" s="27" t="s">
        <v>418</v>
      </c>
      <c r="Q1612" s="27" t="s">
        <v>2705</v>
      </c>
      <c r="R1612" s="33">
        <v>21042</v>
      </c>
      <c r="S1612" s="34">
        <v>42152</v>
      </c>
      <c r="T1612" s="34">
        <v>42154</v>
      </c>
      <c r="U1612" s="29">
        <v>-41.77</v>
      </c>
      <c r="V1612" s="26">
        <v>1</v>
      </c>
      <c r="W1612" s="29">
        <v>57.84</v>
      </c>
      <c r="X1612" s="26">
        <v>89240</v>
      </c>
      <c r="Y1612" s="35">
        <v>90.98</v>
      </c>
      <c r="Z1612" s="1" t="s">
        <v>3014</v>
      </c>
      <c r="AA1612" s="36">
        <v>4.2679</v>
      </c>
      <c r="AB1612" s="54">
        <v>25.449599999999997</v>
      </c>
      <c r="AC1612" s="54">
        <v>32.390400000000007</v>
      </c>
      <c r="AD1612" s="36">
        <v>90.842100000000016</v>
      </c>
    </row>
    <row r="1613" spans="1:30" s="37" customFormat="1" ht="15.75" customHeight="1" x14ac:dyDescent="0.2">
      <c r="A1613" s="26">
        <v>2765</v>
      </c>
      <c r="B1613" s="27" t="s">
        <v>2701</v>
      </c>
      <c r="C1613" s="27" t="s">
        <v>48</v>
      </c>
      <c r="D1613" s="28">
        <v>0.03</v>
      </c>
      <c r="E1613" s="29">
        <v>5.85</v>
      </c>
      <c r="F1613" s="29">
        <v>2.27</v>
      </c>
      <c r="G1613" s="30" t="s">
        <v>39</v>
      </c>
      <c r="H1613" s="27" t="s">
        <v>94</v>
      </c>
      <c r="I1613" s="27" t="s">
        <v>49</v>
      </c>
      <c r="J1613" s="27" t="s">
        <v>50</v>
      </c>
      <c r="K1613" s="27" t="s">
        <v>51</v>
      </c>
      <c r="L1613" s="31" t="s">
        <v>2702</v>
      </c>
      <c r="M1613" s="32">
        <v>0.56000000000000005</v>
      </c>
      <c r="N1613" s="27" t="s">
        <v>33</v>
      </c>
      <c r="O1613" s="27" t="s">
        <v>111</v>
      </c>
      <c r="P1613" s="27" t="s">
        <v>397</v>
      </c>
      <c r="Q1613" s="27" t="s">
        <v>2703</v>
      </c>
      <c r="R1613" s="33">
        <v>8021</v>
      </c>
      <c r="S1613" s="34">
        <v>42152</v>
      </c>
      <c r="T1613" s="34">
        <v>42154</v>
      </c>
      <c r="U1613" s="29">
        <v>-5.08</v>
      </c>
      <c r="V1613" s="26">
        <v>7</v>
      </c>
      <c r="W1613" s="29">
        <v>41.4</v>
      </c>
      <c r="X1613" s="26">
        <v>90725</v>
      </c>
      <c r="Y1613" s="35">
        <v>35.39</v>
      </c>
      <c r="Z1613" s="1" t="s">
        <v>3014</v>
      </c>
      <c r="AA1613" s="36">
        <v>1.2284999999999999</v>
      </c>
      <c r="AB1613" s="54">
        <v>18.215999999999998</v>
      </c>
      <c r="AC1613" s="54">
        <v>3.3119999999999998</v>
      </c>
      <c r="AD1613" s="36">
        <v>42.981499999999997</v>
      </c>
    </row>
    <row r="1614" spans="1:30" s="37" customFormat="1" ht="15.75" customHeight="1" x14ac:dyDescent="0.2">
      <c r="A1614" s="26">
        <v>2670</v>
      </c>
      <c r="B1614" s="27" t="s">
        <v>2710</v>
      </c>
      <c r="C1614" s="27" t="s">
        <v>38</v>
      </c>
      <c r="D1614" s="28">
        <v>0.05</v>
      </c>
      <c r="E1614" s="29">
        <v>165.2</v>
      </c>
      <c r="F1614" s="29">
        <v>19.989999999999998</v>
      </c>
      <c r="G1614" s="30" t="s">
        <v>39</v>
      </c>
      <c r="H1614" s="27" t="s">
        <v>71</v>
      </c>
      <c r="I1614" s="27" t="s">
        <v>49</v>
      </c>
      <c r="J1614" s="27" t="s">
        <v>78</v>
      </c>
      <c r="K1614" s="27" t="s">
        <v>73</v>
      </c>
      <c r="L1614" s="31" t="s">
        <v>483</v>
      </c>
      <c r="M1614" s="32">
        <v>0.59</v>
      </c>
      <c r="N1614" s="27" t="s">
        <v>33</v>
      </c>
      <c r="O1614" s="27" t="s">
        <v>60</v>
      </c>
      <c r="P1614" s="27" t="s">
        <v>90</v>
      </c>
      <c r="Q1614" s="27" t="s">
        <v>100</v>
      </c>
      <c r="R1614" s="33">
        <v>90049</v>
      </c>
      <c r="S1614" s="34">
        <v>42153</v>
      </c>
      <c r="T1614" s="34">
        <v>42153</v>
      </c>
      <c r="U1614" s="29">
        <v>2008.71</v>
      </c>
      <c r="V1614" s="26">
        <v>167</v>
      </c>
      <c r="W1614" s="29">
        <v>27587.55</v>
      </c>
      <c r="X1614" s="26">
        <v>37924</v>
      </c>
      <c r="Y1614" s="35">
        <v>14.56</v>
      </c>
      <c r="Z1614" s="1" t="s">
        <v>3013</v>
      </c>
      <c r="AA1614" s="36">
        <v>1379.42</v>
      </c>
      <c r="AB1614" s="54">
        <v>11310.895500000001</v>
      </c>
      <c r="AC1614" s="54">
        <v>97.46499700598801</v>
      </c>
      <c r="AD1614" s="36">
        <v>24179.43</v>
      </c>
    </row>
    <row r="1615" spans="1:30" s="37" customFormat="1" ht="15.75" customHeight="1" x14ac:dyDescent="0.2">
      <c r="A1615" s="26">
        <v>2671</v>
      </c>
      <c r="B1615" s="27" t="s">
        <v>2712</v>
      </c>
      <c r="C1615" s="27" t="s">
        <v>38</v>
      </c>
      <c r="D1615" s="28">
        <v>0.05</v>
      </c>
      <c r="E1615" s="29">
        <v>165.2</v>
      </c>
      <c r="F1615" s="29">
        <v>19.989999999999998</v>
      </c>
      <c r="G1615" s="30" t="s">
        <v>39</v>
      </c>
      <c r="H1615" s="27" t="s">
        <v>71</v>
      </c>
      <c r="I1615" s="27" t="s">
        <v>49</v>
      </c>
      <c r="J1615" s="27" t="s">
        <v>78</v>
      </c>
      <c r="K1615" s="27" t="s">
        <v>73</v>
      </c>
      <c r="L1615" s="31" t="s">
        <v>483</v>
      </c>
      <c r="M1615" s="32">
        <v>0.59</v>
      </c>
      <c r="N1615" s="27" t="s">
        <v>33</v>
      </c>
      <c r="O1615" s="27" t="s">
        <v>34</v>
      </c>
      <c r="P1615" s="27" t="s">
        <v>400</v>
      </c>
      <c r="Q1615" s="27" t="s">
        <v>1736</v>
      </c>
      <c r="R1615" s="33">
        <v>37027</v>
      </c>
      <c r="S1615" s="34">
        <v>42153</v>
      </c>
      <c r="T1615" s="34">
        <v>42153</v>
      </c>
      <c r="U1615" s="29">
        <v>-48.957999999999998</v>
      </c>
      <c r="V1615" s="26">
        <v>42</v>
      </c>
      <c r="W1615" s="29">
        <v>6938.19</v>
      </c>
      <c r="X1615" s="26">
        <v>90551</v>
      </c>
      <c r="Y1615" s="35">
        <v>5.8800000000000008</v>
      </c>
      <c r="Z1615" s="1" t="s">
        <v>3011</v>
      </c>
      <c r="AA1615" s="36">
        <v>346.92</v>
      </c>
      <c r="AB1615" s="54">
        <v>2844.6579000000002</v>
      </c>
      <c r="AC1615" s="54">
        <v>97.465049999999991</v>
      </c>
      <c r="AD1615" s="36">
        <v>6620.2379999999994</v>
      </c>
    </row>
    <row r="1616" spans="1:30" s="37" customFormat="1" ht="15.75" customHeight="1" x14ac:dyDescent="0.2">
      <c r="A1616" s="26">
        <v>2670</v>
      </c>
      <c r="B1616" s="27" t="s">
        <v>2710</v>
      </c>
      <c r="C1616" s="27" t="s">
        <v>38</v>
      </c>
      <c r="D1616" s="28">
        <v>0.09</v>
      </c>
      <c r="E1616" s="29">
        <v>17.989999999999998</v>
      </c>
      <c r="F1616" s="29">
        <v>8.65</v>
      </c>
      <c r="G1616" s="30" t="s">
        <v>39</v>
      </c>
      <c r="H1616" s="27" t="s">
        <v>71</v>
      </c>
      <c r="I1616" s="27" t="s">
        <v>49</v>
      </c>
      <c r="J1616" s="27" t="s">
        <v>50</v>
      </c>
      <c r="K1616" s="27" t="s">
        <v>73</v>
      </c>
      <c r="L1616" s="31" t="s">
        <v>2711</v>
      </c>
      <c r="M1616" s="32">
        <v>0.56999999999999995</v>
      </c>
      <c r="N1616" s="27" t="s">
        <v>33</v>
      </c>
      <c r="O1616" s="27" t="s">
        <v>60</v>
      </c>
      <c r="P1616" s="27" t="s">
        <v>90</v>
      </c>
      <c r="Q1616" s="27" t="s">
        <v>100</v>
      </c>
      <c r="R1616" s="33">
        <v>90049</v>
      </c>
      <c r="S1616" s="34">
        <v>42153</v>
      </c>
      <c r="T1616" s="34">
        <v>42153</v>
      </c>
      <c r="U1616" s="29">
        <v>-80.53</v>
      </c>
      <c r="V1616" s="26">
        <v>71</v>
      </c>
      <c r="W1616" s="29">
        <v>1191.58</v>
      </c>
      <c r="X1616" s="26">
        <v>37924</v>
      </c>
      <c r="Y1616" s="35">
        <v>2.54</v>
      </c>
      <c r="Z1616" s="1" t="s">
        <v>3013</v>
      </c>
      <c r="AA1616" s="36">
        <v>114.95609999999998</v>
      </c>
      <c r="AB1616" s="54">
        <v>512.37940000000003</v>
      </c>
      <c r="AC1616" s="54">
        <v>9.5662056338028147</v>
      </c>
      <c r="AD1616" s="36">
        <v>1148.5038999999999</v>
      </c>
    </row>
    <row r="1617" spans="1:30" s="37" customFormat="1" ht="15.75" customHeight="1" x14ac:dyDescent="0.2">
      <c r="A1617" s="26">
        <v>1713</v>
      </c>
      <c r="B1617" s="27" t="s">
        <v>2708</v>
      </c>
      <c r="C1617" s="27" t="s">
        <v>38</v>
      </c>
      <c r="D1617" s="28">
        <v>0.01</v>
      </c>
      <c r="E1617" s="29">
        <v>23.99</v>
      </c>
      <c r="F1617" s="29">
        <v>6.3</v>
      </c>
      <c r="G1617" s="30" t="s">
        <v>39</v>
      </c>
      <c r="H1617" s="27" t="s">
        <v>94</v>
      </c>
      <c r="I1617" s="27" t="s">
        <v>41</v>
      </c>
      <c r="J1617" s="27" t="s">
        <v>57</v>
      </c>
      <c r="K1617" s="27" t="s">
        <v>144</v>
      </c>
      <c r="L1617" s="31" t="s">
        <v>2709</v>
      </c>
      <c r="M1617" s="32">
        <v>0.38</v>
      </c>
      <c r="N1617" s="27" t="s">
        <v>33</v>
      </c>
      <c r="O1617" s="27" t="s">
        <v>34</v>
      </c>
      <c r="P1617" s="27" t="s">
        <v>75</v>
      </c>
      <c r="Q1617" s="27" t="s">
        <v>1867</v>
      </c>
      <c r="R1617" s="33">
        <v>30265</v>
      </c>
      <c r="S1617" s="34">
        <v>42153</v>
      </c>
      <c r="T1617" s="34">
        <v>42155</v>
      </c>
      <c r="U1617" s="29">
        <v>-6.202</v>
      </c>
      <c r="V1617" s="26">
        <v>11</v>
      </c>
      <c r="W1617" s="29">
        <v>284.39</v>
      </c>
      <c r="X1617" s="26">
        <v>87748</v>
      </c>
      <c r="Y1617" s="35">
        <v>23.979999999999997</v>
      </c>
      <c r="Z1617" s="1" t="s">
        <v>3011</v>
      </c>
      <c r="AA1617" s="36">
        <v>2.6389</v>
      </c>
      <c r="AB1617" s="54">
        <v>176.3218</v>
      </c>
      <c r="AC1617" s="54">
        <v>9.8243818181818181</v>
      </c>
      <c r="AD1617" s="36">
        <v>281.65309999999999</v>
      </c>
    </row>
    <row r="1618" spans="1:30" s="37" customFormat="1" ht="15.75" customHeight="1" x14ac:dyDescent="0.2">
      <c r="A1618" s="26">
        <v>663</v>
      </c>
      <c r="B1618" s="27" t="s">
        <v>2706</v>
      </c>
      <c r="C1618" s="27" t="s">
        <v>26</v>
      </c>
      <c r="D1618" s="28">
        <v>0.02</v>
      </c>
      <c r="E1618" s="29">
        <v>14.58</v>
      </c>
      <c r="F1618" s="29">
        <v>7.4</v>
      </c>
      <c r="G1618" s="30" t="s">
        <v>39</v>
      </c>
      <c r="H1618" s="27" t="s">
        <v>71</v>
      </c>
      <c r="I1618" s="27" t="s">
        <v>29</v>
      </c>
      <c r="J1618" s="27" t="s">
        <v>126</v>
      </c>
      <c r="K1618" s="27" t="s">
        <v>73</v>
      </c>
      <c r="L1618" s="31" t="s">
        <v>2707</v>
      </c>
      <c r="M1618" s="32">
        <v>0.48</v>
      </c>
      <c r="N1618" s="27" t="s">
        <v>33</v>
      </c>
      <c r="O1618" s="27" t="s">
        <v>111</v>
      </c>
      <c r="P1618" s="27" t="s">
        <v>317</v>
      </c>
      <c r="Q1618" s="27" t="s">
        <v>2254</v>
      </c>
      <c r="R1618" s="33">
        <v>43952</v>
      </c>
      <c r="S1618" s="34">
        <v>42153</v>
      </c>
      <c r="T1618" s="34">
        <v>42156</v>
      </c>
      <c r="U1618" s="29">
        <v>10.802</v>
      </c>
      <c r="V1618" s="26">
        <v>17</v>
      </c>
      <c r="W1618" s="29">
        <v>261.33999999999997</v>
      </c>
      <c r="X1618" s="26">
        <v>90922</v>
      </c>
      <c r="Y1618" s="35">
        <v>165.14999999999998</v>
      </c>
      <c r="Z1618" s="1" t="s">
        <v>3014</v>
      </c>
      <c r="AA1618" s="36">
        <v>4.9572000000000003</v>
      </c>
      <c r="AB1618" s="54">
        <v>135.89679999999998</v>
      </c>
      <c r="AC1618" s="54">
        <v>7.379011764705881</v>
      </c>
      <c r="AD1618" s="36">
        <v>238.18079999999998</v>
      </c>
    </row>
    <row r="1619" spans="1:30" s="37" customFormat="1" ht="15.75" customHeight="1" x14ac:dyDescent="0.2">
      <c r="A1619" s="26">
        <v>649</v>
      </c>
      <c r="B1619" s="27" t="s">
        <v>2715</v>
      </c>
      <c r="C1619" s="27" t="s">
        <v>116</v>
      </c>
      <c r="D1619" s="28">
        <v>0.02</v>
      </c>
      <c r="E1619" s="29">
        <v>3.78</v>
      </c>
      <c r="F1619" s="29">
        <v>0.71</v>
      </c>
      <c r="G1619" s="30" t="s">
        <v>39</v>
      </c>
      <c r="H1619" s="27" t="s">
        <v>71</v>
      </c>
      <c r="I1619" s="27" t="s">
        <v>49</v>
      </c>
      <c r="J1619" s="27" t="s">
        <v>176</v>
      </c>
      <c r="K1619" s="27" t="s">
        <v>51</v>
      </c>
      <c r="L1619" s="31" t="s">
        <v>2716</v>
      </c>
      <c r="M1619" s="32">
        <v>0.39</v>
      </c>
      <c r="N1619" s="27" t="s">
        <v>33</v>
      </c>
      <c r="O1619" s="27" t="s">
        <v>53</v>
      </c>
      <c r="P1619" s="27" t="s">
        <v>103</v>
      </c>
      <c r="Q1619" s="27" t="s">
        <v>1399</v>
      </c>
      <c r="R1619" s="33">
        <v>60089</v>
      </c>
      <c r="S1619" s="34">
        <v>42153</v>
      </c>
      <c r="T1619" s="34">
        <v>42154</v>
      </c>
      <c r="U1619" s="29">
        <v>106.7499</v>
      </c>
      <c r="V1619" s="26">
        <v>40</v>
      </c>
      <c r="W1619" s="29">
        <v>154.71</v>
      </c>
      <c r="X1619" s="26">
        <v>91366</v>
      </c>
      <c r="Y1619" s="35">
        <v>17.899999999999999</v>
      </c>
      <c r="Z1619" s="1" t="s">
        <v>3012</v>
      </c>
      <c r="AA1619" s="36">
        <v>3.024</v>
      </c>
      <c r="AB1619" s="54">
        <v>94.373100000000008</v>
      </c>
      <c r="AC1619" s="54">
        <v>1.5084225</v>
      </c>
      <c r="AD1619" s="36">
        <v>44.226100000000017</v>
      </c>
    </row>
    <row r="1620" spans="1:30" s="37" customFormat="1" ht="15.75" customHeight="1" x14ac:dyDescent="0.2">
      <c r="A1620" s="26">
        <v>1026</v>
      </c>
      <c r="B1620" s="27" t="s">
        <v>1055</v>
      </c>
      <c r="C1620" s="27" t="s">
        <v>38</v>
      </c>
      <c r="D1620" s="28">
        <v>0.1</v>
      </c>
      <c r="E1620" s="29">
        <v>5.98</v>
      </c>
      <c r="F1620" s="29">
        <v>3.85</v>
      </c>
      <c r="G1620" s="30" t="s">
        <v>39</v>
      </c>
      <c r="H1620" s="27" t="s">
        <v>3095</v>
      </c>
      <c r="I1620" s="27" t="s">
        <v>41</v>
      </c>
      <c r="J1620" s="27" t="s">
        <v>42</v>
      </c>
      <c r="K1620" s="27" t="s">
        <v>43</v>
      </c>
      <c r="L1620" s="31" t="s">
        <v>1098</v>
      </c>
      <c r="M1620" s="32">
        <v>0.68</v>
      </c>
      <c r="N1620" s="27" t="s">
        <v>33</v>
      </c>
      <c r="O1620" s="27" t="s">
        <v>111</v>
      </c>
      <c r="P1620" s="27" t="s">
        <v>112</v>
      </c>
      <c r="Q1620" s="27" t="s">
        <v>1057</v>
      </c>
      <c r="R1620" s="33">
        <v>11722</v>
      </c>
      <c r="S1620" s="34">
        <v>42153</v>
      </c>
      <c r="T1620" s="34">
        <v>42154</v>
      </c>
      <c r="U1620" s="29">
        <v>18.922000000000001</v>
      </c>
      <c r="V1620" s="26">
        <v>26</v>
      </c>
      <c r="W1620" s="29">
        <v>151.55000000000001</v>
      </c>
      <c r="X1620" s="26">
        <v>89008</v>
      </c>
      <c r="Y1620" s="35">
        <v>165.14999999999998</v>
      </c>
      <c r="Z1620" s="1" t="s">
        <v>3014</v>
      </c>
      <c r="AA1620" s="36">
        <v>15.548000000000002</v>
      </c>
      <c r="AB1620" s="54">
        <v>48.495999999999995</v>
      </c>
      <c r="AC1620" s="54">
        <v>3.9636153846153852</v>
      </c>
      <c r="AD1620" s="36">
        <v>113.23</v>
      </c>
    </row>
    <row r="1621" spans="1:30" s="37" customFormat="1" ht="15.75" customHeight="1" x14ac:dyDescent="0.2">
      <c r="A1621" s="26">
        <v>759</v>
      </c>
      <c r="B1621" s="27" t="s">
        <v>2713</v>
      </c>
      <c r="C1621" s="27" t="s">
        <v>48</v>
      </c>
      <c r="D1621" s="28">
        <v>0</v>
      </c>
      <c r="E1621" s="29">
        <v>20.99</v>
      </c>
      <c r="F1621" s="29">
        <v>3.3</v>
      </c>
      <c r="G1621" s="30" t="s">
        <v>39</v>
      </c>
      <c r="H1621" s="27" t="s">
        <v>3095</v>
      </c>
      <c r="I1621" s="27" t="s">
        <v>41</v>
      </c>
      <c r="J1621" s="27" t="s">
        <v>135</v>
      </c>
      <c r="K1621" s="27" t="s">
        <v>43</v>
      </c>
      <c r="L1621" s="31" t="s">
        <v>1583</v>
      </c>
      <c r="M1621" s="32">
        <v>0.81</v>
      </c>
      <c r="N1621" s="27" t="s">
        <v>33</v>
      </c>
      <c r="O1621" s="27" t="s">
        <v>53</v>
      </c>
      <c r="P1621" s="27" t="s">
        <v>103</v>
      </c>
      <c r="Q1621" s="27" t="s">
        <v>2714</v>
      </c>
      <c r="R1621" s="33">
        <v>62301</v>
      </c>
      <c r="S1621" s="34">
        <v>42153</v>
      </c>
      <c r="T1621" s="34">
        <v>42160</v>
      </c>
      <c r="U1621" s="29">
        <v>-92.960999999999999</v>
      </c>
      <c r="V1621" s="26">
        <v>5</v>
      </c>
      <c r="W1621" s="29">
        <v>92.96</v>
      </c>
      <c r="X1621" s="26">
        <v>86639</v>
      </c>
      <c r="Y1621" s="35">
        <v>20.99</v>
      </c>
      <c r="Z1621" s="1" t="s">
        <v>3012</v>
      </c>
      <c r="AA1621" s="36">
        <v>0</v>
      </c>
      <c r="AB1621" s="54">
        <v>17.662399999999995</v>
      </c>
      <c r="AC1621" s="54">
        <v>15.059519999999999</v>
      </c>
      <c r="AD1621" s="36">
        <v>182.62099999999998</v>
      </c>
    </row>
    <row r="1622" spans="1:30" s="37" customFormat="1" ht="15.75" customHeight="1" x14ac:dyDescent="0.2">
      <c r="A1622" s="26">
        <v>1026</v>
      </c>
      <c r="B1622" s="27" t="s">
        <v>1055</v>
      </c>
      <c r="C1622" s="27" t="s">
        <v>38</v>
      </c>
      <c r="D1622" s="28">
        <v>7.0000000000000007E-2</v>
      </c>
      <c r="E1622" s="29">
        <v>2.61</v>
      </c>
      <c r="F1622" s="29">
        <v>0.5</v>
      </c>
      <c r="G1622" s="30" t="s">
        <v>39</v>
      </c>
      <c r="H1622" s="27" t="s">
        <v>3095</v>
      </c>
      <c r="I1622" s="27" t="s">
        <v>49</v>
      </c>
      <c r="J1622" s="27" t="s">
        <v>152</v>
      </c>
      <c r="K1622" s="27" t="s">
        <v>73</v>
      </c>
      <c r="L1622" s="31" t="s">
        <v>1367</v>
      </c>
      <c r="M1622" s="32">
        <v>0.39</v>
      </c>
      <c r="N1622" s="27" t="s">
        <v>33</v>
      </c>
      <c r="O1622" s="27" t="s">
        <v>111</v>
      </c>
      <c r="P1622" s="27" t="s">
        <v>112</v>
      </c>
      <c r="Q1622" s="27" t="s">
        <v>1057</v>
      </c>
      <c r="R1622" s="33">
        <v>11722</v>
      </c>
      <c r="S1622" s="34">
        <v>42153</v>
      </c>
      <c r="T1622" s="34">
        <v>42156</v>
      </c>
      <c r="U1622" s="29">
        <v>39.350700000000003</v>
      </c>
      <c r="V1622" s="26">
        <v>22</v>
      </c>
      <c r="W1622" s="29">
        <v>57.03</v>
      </c>
      <c r="X1622" s="26">
        <v>89008</v>
      </c>
      <c r="Y1622" s="35">
        <v>3.76</v>
      </c>
      <c r="Z1622" s="1" t="s">
        <v>3014</v>
      </c>
      <c r="AA1622" s="36">
        <v>4.0194000000000001</v>
      </c>
      <c r="AB1622" s="54">
        <v>34.7883</v>
      </c>
      <c r="AC1622" s="54">
        <v>1.0109863636363636</v>
      </c>
      <c r="AD1622" s="36">
        <v>13.1599</v>
      </c>
    </row>
    <row r="1623" spans="1:30" s="37" customFormat="1" ht="15.75" customHeight="1" x14ac:dyDescent="0.2">
      <c r="A1623" s="26">
        <v>2393</v>
      </c>
      <c r="B1623" s="27" t="s">
        <v>193</v>
      </c>
      <c r="C1623" s="27" t="s">
        <v>116</v>
      </c>
      <c r="D1623" s="28">
        <v>0.02</v>
      </c>
      <c r="E1623" s="29">
        <v>6.48</v>
      </c>
      <c r="F1623" s="29">
        <v>7.91</v>
      </c>
      <c r="G1623" s="30" t="s">
        <v>39</v>
      </c>
      <c r="H1623" s="27" t="s">
        <v>94</v>
      </c>
      <c r="I1623" s="27" t="s">
        <v>49</v>
      </c>
      <c r="J1623" s="27" t="s">
        <v>88</v>
      </c>
      <c r="K1623" s="27" t="s">
        <v>73</v>
      </c>
      <c r="L1623" s="31" t="s">
        <v>1620</v>
      </c>
      <c r="M1623" s="32">
        <v>0.37</v>
      </c>
      <c r="N1623" s="27" t="s">
        <v>33</v>
      </c>
      <c r="O1623" s="27" t="s">
        <v>34</v>
      </c>
      <c r="P1623" s="27" t="s">
        <v>75</v>
      </c>
      <c r="Q1623" s="27" t="s">
        <v>195</v>
      </c>
      <c r="R1623" s="33">
        <v>30076</v>
      </c>
      <c r="S1623" s="34">
        <v>42153</v>
      </c>
      <c r="T1623" s="34">
        <v>42155</v>
      </c>
      <c r="U1623" s="29">
        <v>-1191.5260000000001</v>
      </c>
      <c r="V1623" s="26">
        <v>2</v>
      </c>
      <c r="W1623" s="29">
        <v>16.5</v>
      </c>
      <c r="X1623" s="26">
        <v>86950</v>
      </c>
      <c r="Y1623" s="35">
        <v>6.4600000000000009</v>
      </c>
      <c r="Z1623" s="1" t="s">
        <v>3011</v>
      </c>
      <c r="AA1623" s="36">
        <v>0.25920000000000004</v>
      </c>
      <c r="AB1623" s="54">
        <v>10.395</v>
      </c>
      <c r="AC1623" s="54">
        <v>3.0524999999999998</v>
      </c>
      <c r="AD1623" s="36">
        <v>1199.8568</v>
      </c>
    </row>
    <row r="1624" spans="1:30" s="37" customFormat="1" ht="15.75" customHeight="1" x14ac:dyDescent="0.2">
      <c r="A1624" s="26">
        <v>1935</v>
      </c>
      <c r="B1624" s="27" t="s">
        <v>2074</v>
      </c>
      <c r="C1624" s="27" t="s">
        <v>48</v>
      </c>
      <c r="D1624" s="28">
        <v>0.01</v>
      </c>
      <c r="E1624" s="29">
        <v>110.98</v>
      </c>
      <c r="F1624" s="29">
        <v>13.99</v>
      </c>
      <c r="G1624" s="30" t="s">
        <v>39</v>
      </c>
      <c r="H1624" s="27" t="s">
        <v>71</v>
      </c>
      <c r="I1624" s="27" t="s">
        <v>29</v>
      </c>
      <c r="J1624" s="27" t="s">
        <v>126</v>
      </c>
      <c r="K1624" s="27" t="s">
        <v>144</v>
      </c>
      <c r="L1624" s="31" t="s">
        <v>545</v>
      </c>
      <c r="M1624" s="32">
        <v>0.69</v>
      </c>
      <c r="N1624" s="27" t="s">
        <v>33</v>
      </c>
      <c r="O1624" s="27" t="s">
        <v>53</v>
      </c>
      <c r="P1624" s="27" t="s">
        <v>187</v>
      </c>
      <c r="Q1624" s="27" t="s">
        <v>2075</v>
      </c>
      <c r="R1624" s="33">
        <v>75051</v>
      </c>
      <c r="S1624" s="34">
        <v>42154</v>
      </c>
      <c r="T1624" s="34">
        <v>42159</v>
      </c>
      <c r="U1624" s="29">
        <v>1448.7309</v>
      </c>
      <c r="V1624" s="26">
        <v>19</v>
      </c>
      <c r="W1624" s="29">
        <v>2099.61</v>
      </c>
      <c r="X1624" s="26">
        <v>86688</v>
      </c>
      <c r="Y1624" s="35">
        <v>6.2299999999999995</v>
      </c>
      <c r="Z1624" s="1" t="s">
        <v>3012</v>
      </c>
      <c r="AA1624" s="36">
        <v>21.086200000000002</v>
      </c>
      <c r="AB1624" s="54">
        <v>650.87910000000011</v>
      </c>
      <c r="AC1624" s="54">
        <v>76.248994736842107</v>
      </c>
      <c r="AD1624" s="36">
        <v>615.80290000000014</v>
      </c>
    </row>
    <row r="1625" spans="1:30" s="37" customFormat="1" ht="15.75" customHeight="1" x14ac:dyDescent="0.2">
      <c r="A1625" s="26">
        <v>3124</v>
      </c>
      <c r="B1625" s="27" t="s">
        <v>2720</v>
      </c>
      <c r="C1625" s="27" t="s">
        <v>3094</v>
      </c>
      <c r="D1625" s="28">
        <v>0.05</v>
      </c>
      <c r="E1625" s="29">
        <v>120.98</v>
      </c>
      <c r="F1625" s="29">
        <v>9.07</v>
      </c>
      <c r="G1625" s="30" t="s">
        <v>39</v>
      </c>
      <c r="H1625" s="27" t="s">
        <v>71</v>
      </c>
      <c r="I1625" s="27" t="s">
        <v>49</v>
      </c>
      <c r="J1625" s="27" t="s">
        <v>72</v>
      </c>
      <c r="K1625" s="27" t="s">
        <v>73</v>
      </c>
      <c r="L1625" s="31" t="s">
        <v>1423</v>
      </c>
      <c r="M1625" s="32">
        <v>0.35</v>
      </c>
      <c r="N1625" s="27" t="s">
        <v>33</v>
      </c>
      <c r="O1625" s="27" t="s">
        <v>53</v>
      </c>
      <c r="P1625" s="27" t="s">
        <v>103</v>
      </c>
      <c r="Q1625" s="27" t="s">
        <v>2721</v>
      </c>
      <c r="R1625" s="33">
        <v>61265</v>
      </c>
      <c r="S1625" s="34">
        <v>42154</v>
      </c>
      <c r="T1625" s="34">
        <v>42155</v>
      </c>
      <c r="U1625" s="29">
        <v>881.04719999999998</v>
      </c>
      <c r="V1625" s="26">
        <v>11</v>
      </c>
      <c r="W1625" s="29">
        <v>1276.8800000000001</v>
      </c>
      <c r="X1625" s="26">
        <v>87286</v>
      </c>
      <c r="Y1625" s="35">
        <v>22.34</v>
      </c>
      <c r="Z1625" s="1" t="s">
        <v>3012</v>
      </c>
      <c r="AA1625" s="36">
        <v>66.539000000000001</v>
      </c>
      <c r="AB1625" s="54">
        <v>829.97200000000009</v>
      </c>
      <c r="AC1625" s="54">
        <v>40.628</v>
      </c>
      <c r="AD1625" s="36">
        <v>320.2238000000001</v>
      </c>
    </row>
    <row r="1626" spans="1:30" s="37" customFormat="1" ht="15.75" customHeight="1" x14ac:dyDescent="0.2">
      <c r="A1626" s="26">
        <v>1934</v>
      </c>
      <c r="B1626" s="27" t="s">
        <v>2718</v>
      </c>
      <c r="C1626" s="27" t="s">
        <v>48</v>
      </c>
      <c r="D1626" s="28">
        <v>0.04</v>
      </c>
      <c r="E1626" s="29">
        <v>180.98</v>
      </c>
      <c r="F1626" s="29">
        <v>30</v>
      </c>
      <c r="G1626" s="30" t="s">
        <v>27</v>
      </c>
      <c r="H1626" s="27" t="s">
        <v>71</v>
      </c>
      <c r="I1626" s="27" t="s">
        <v>29</v>
      </c>
      <c r="J1626" s="27" t="s">
        <v>109</v>
      </c>
      <c r="K1626" s="27" t="s">
        <v>58</v>
      </c>
      <c r="L1626" s="31" t="s">
        <v>945</v>
      </c>
      <c r="M1626" s="32">
        <v>0.69</v>
      </c>
      <c r="N1626" s="27" t="s">
        <v>33</v>
      </c>
      <c r="O1626" s="27" t="s">
        <v>53</v>
      </c>
      <c r="P1626" s="27" t="s">
        <v>187</v>
      </c>
      <c r="Q1626" s="27" t="s">
        <v>1404</v>
      </c>
      <c r="R1626" s="33">
        <v>78626</v>
      </c>
      <c r="S1626" s="34">
        <v>42154</v>
      </c>
      <c r="T1626" s="34">
        <v>42154</v>
      </c>
      <c r="U1626" s="29">
        <v>52.988</v>
      </c>
      <c r="V1626" s="26">
        <v>3</v>
      </c>
      <c r="W1626" s="29">
        <v>561.65</v>
      </c>
      <c r="X1626" s="26">
        <v>86688</v>
      </c>
      <c r="Y1626" s="35">
        <v>17.720000000000002</v>
      </c>
      <c r="Z1626" s="1" t="s">
        <v>3012</v>
      </c>
      <c r="AA1626" s="36">
        <v>21.717599999999997</v>
      </c>
      <c r="AB1626" s="54">
        <v>174.11150000000004</v>
      </c>
      <c r="AC1626" s="54">
        <v>129.17949999999999</v>
      </c>
      <c r="AD1626" s="36">
        <v>456.94439999999997</v>
      </c>
    </row>
    <row r="1627" spans="1:30" s="37" customFormat="1" ht="15.75" customHeight="1" x14ac:dyDescent="0.2">
      <c r="A1627" s="26">
        <v>1062</v>
      </c>
      <c r="B1627" s="27" t="s">
        <v>1827</v>
      </c>
      <c r="C1627" s="27" t="s">
        <v>48</v>
      </c>
      <c r="D1627" s="28">
        <v>0.04</v>
      </c>
      <c r="E1627" s="29">
        <v>22.38</v>
      </c>
      <c r="F1627" s="29">
        <v>15.1</v>
      </c>
      <c r="G1627" s="30" t="s">
        <v>39</v>
      </c>
      <c r="H1627" s="27" t="s">
        <v>3095</v>
      </c>
      <c r="I1627" s="27" t="s">
        <v>49</v>
      </c>
      <c r="J1627" s="27" t="s">
        <v>72</v>
      </c>
      <c r="K1627" s="27" t="s">
        <v>73</v>
      </c>
      <c r="L1627" s="31" t="s">
        <v>1085</v>
      </c>
      <c r="M1627" s="32">
        <v>0.38</v>
      </c>
      <c r="N1627" s="27" t="s">
        <v>33</v>
      </c>
      <c r="O1627" s="27" t="s">
        <v>111</v>
      </c>
      <c r="P1627" s="27" t="s">
        <v>112</v>
      </c>
      <c r="Q1627" s="27" t="s">
        <v>1828</v>
      </c>
      <c r="R1627" s="33">
        <v>11727</v>
      </c>
      <c r="S1627" s="34">
        <v>42154</v>
      </c>
      <c r="T1627" s="34">
        <v>42162</v>
      </c>
      <c r="U1627" s="29">
        <v>16.021799999999999</v>
      </c>
      <c r="V1627" s="26">
        <v>18</v>
      </c>
      <c r="W1627" s="29">
        <v>403.53</v>
      </c>
      <c r="X1627" s="26">
        <v>91355</v>
      </c>
      <c r="Y1627" s="35">
        <v>180.94</v>
      </c>
      <c r="Z1627" s="1" t="s">
        <v>3014</v>
      </c>
      <c r="AA1627" s="36">
        <v>16.113599999999998</v>
      </c>
      <c r="AB1627" s="54">
        <v>250.18859999999998</v>
      </c>
      <c r="AC1627" s="54">
        <v>8.5189666666666675</v>
      </c>
      <c r="AD1627" s="36">
        <v>356.29459999999995</v>
      </c>
    </row>
    <row r="1628" spans="1:30" s="37" customFormat="1" ht="15.75" customHeight="1" x14ac:dyDescent="0.2">
      <c r="A1628" s="26">
        <v>1060</v>
      </c>
      <c r="B1628" s="27" t="s">
        <v>1825</v>
      </c>
      <c r="C1628" s="27" t="s">
        <v>48</v>
      </c>
      <c r="D1628" s="28">
        <v>7.0000000000000007E-2</v>
      </c>
      <c r="E1628" s="29">
        <v>6.3</v>
      </c>
      <c r="F1628" s="29">
        <v>0.5</v>
      </c>
      <c r="G1628" s="30" t="s">
        <v>39</v>
      </c>
      <c r="H1628" s="27" t="s">
        <v>3095</v>
      </c>
      <c r="I1628" s="27" t="s">
        <v>49</v>
      </c>
      <c r="J1628" s="27" t="s">
        <v>152</v>
      </c>
      <c r="K1628" s="27" t="s">
        <v>73</v>
      </c>
      <c r="L1628" s="31" t="s">
        <v>422</v>
      </c>
      <c r="M1628" s="32">
        <v>0.39</v>
      </c>
      <c r="N1628" s="27" t="s">
        <v>33</v>
      </c>
      <c r="O1628" s="27" t="s">
        <v>34</v>
      </c>
      <c r="P1628" s="27" t="s">
        <v>75</v>
      </c>
      <c r="Q1628" s="27" t="s">
        <v>361</v>
      </c>
      <c r="R1628" s="33">
        <v>30318</v>
      </c>
      <c r="S1628" s="34">
        <v>42154</v>
      </c>
      <c r="T1628" s="34">
        <v>42154</v>
      </c>
      <c r="U1628" s="29">
        <v>4.1673999999999998</v>
      </c>
      <c r="V1628" s="26">
        <v>20</v>
      </c>
      <c r="W1628" s="29">
        <v>121.87</v>
      </c>
      <c r="X1628" s="26">
        <v>57061</v>
      </c>
      <c r="Y1628" s="35">
        <v>3.19</v>
      </c>
      <c r="Z1628" s="1" t="s">
        <v>3011</v>
      </c>
      <c r="AA1628" s="36">
        <v>8.82</v>
      </c>
      <c r="AB1628" s="54">
        <v>74.340699999999998</v>
      </c>
      <c r="AC1628" s="54">
        <v>2.3764650000000005</v>
      </c>
      <c r="AD1628" s="36">
        <v>108.3826</v>
      </c>
    </row>
    <row r="1629" spans="1:30" s="37" customFormat="1" ht="15.75" customHeight="1" x14ac:dyDescent="0.2">
      <c r="A1629" s="26">
        <v>2980</v>
      </c>
      <c r="B1629" s="27" t="s">
        <v>821</v>
      </c>
      <c r="C1629" s="27" t="s">
        <v>48</v>
      </c>
      <c r="D1629" s="28">
        <v>0.04</v>
      </c>
      <c r="E1629" s="29">
        <v>2.88</v>
      </c>
      <c r="F1629" s="29">
        <v>1.01</v>
      </c>
      <c r="G1629" s="30" t="s">
        <v>39</v>
      </c>
      <c r="H1629" s="27" t="s">
        <v>94</v>
      </c>
      <c r="I1629" s="27" t="s">
        <v>49</v>
      </c>
      <c r="J1629" s="27" t="s">
        <v>50</v>
      </c>
      <c r="K1629" s="27" t="s">
        <v>51</v>
      </c>
      <c r="L1629" s="31" t="s">
        <v>991</v>
      </c>
      <c r="M1629" s="32">
        <v>0.55000000000000004</v>
      </c>
      <c r="N1629" s="27" t="s">
        <v>33</v>
      </c>
      <c r="O1629" s="27" t="s">
        <v>111</v>
      </c>
      <c r="P1629" s="27" t="s">
        <v>317</v>
      </c>
      <c r="Q1629" s="27" t="s">
        <v>823</v>
      </c>
      <c r="R1629" s="33">
        <v>44870</v>
      </c>
      <c r="S1629" s="34">
        <v>42154</v>
      </c>
      <c r="T1629" s="34">
        <v>42159</v>
      </c>
      <c r="U1629" s="29">
        <v>15.246</v>
      </c>
      <c r="V1629" s="26">
        <v>39</v>
      </c>
      <c r="W1629" s="29">
        <v>111.92</v>
      </c>
      <c r="X1629" s="26">
        <v>86548</v>
      </c>
      <c r="Y1629" s="35">
        <v>110.97</v>
      </c>
      <c r="Z1629" s="1" t="s">
        <v>3014</v>
      </c>
      <c r="AA1629" s="36">
        <v>4.4927999999999999</v>
      </c>
      <c r="AB1629" s="54">
        <v>50.363999999999997</v>
      </c>
      <c r="AC1629" s="54">
        <v>1.5783589743589745</v>
      </c>
      <c r="AD1629" s="36">
        <v>91.171199999999999</v>
      </c>
    </row>
    <row r="1630" spans="1:30" s="37" customFormat="1" ht="15.75" customHeight="1" x14ac:dyDescent="0.2">
      <c r="A1630" s="26">
        <v>1935</v>
      </c>
      <c r="B1630" s="27" t="s">
        <v>2074</v>
      </c>
      <c r="C1630" s="27" t="s">
        <v>48</v>
      </c>
      <c r="D1630" s="28">
        <v>0.05</v>
      </c>
      <c r="E1630" s="29">
        <v>3.95</v>
      </c>
      <c r="F1630" s="29">
        <v>2</v>
      </c>
      <c r="G1630" s="30" t="s">
        <v>87</v>
      </c>
      <c r="H1630" s="27" t="s">
        <v>71</v>
      </c>
      <c r="I1630" s="27" t="s">
        <v>49</v>
      </c>
      <c r="J1630" s="27" t="s">
        <v>176</v>
      </c>
      <c r="K1630" s="27" t="s">
        <v>51</v>
      </c>
      <c r="L1630" s="31" t="s">
        <v>1829</v>
      </c>
      <c r="M1630" s="32">
        <v>0.53</v>
      </c>
      <c r="N1630" s="27" t="s">
        <v>33</v>
      </c>
      <c r="O1630" s="27" t="s">
        <v>53</v>
      </c>
      <c r="P1630" s="27" t="s">
        <v>187</v>
      </c>
      <c r="Q1630" s="27" t="s">
        <v>2075</v>
      </c>
      <c r="R1630" s="33">
        <v>75051</v>
      </c>
      <c r="S1630" s="34">
        <v>42154</v>
      </c>
      <c r="T1630" s="34">
        <v>42162</v>
      </c>
      <c r="U1630" s="29">
        <v>1.004</v>
      </c>
      <c r="V1630" s="26">
        <v>23</v>
      </c>
      <c r="W1630" s="29">
        <v>96.6</v>
      </c>
      <c r="X1630" s="26">
        <v>86688</v>
      </c>
      <c r="Y1630" s="35">
        <v>3.9000000000000004</v>
      </c>
      <c r="Z1630" s="1" t="s">
        <v>3012</v>
      </c>
      <c r="AA1630" s="36">
        <v>4.5425000000000004</v>
      </c>
      <c r="AB1630" s="54">
        <v>45.401999999999994</v>
      </c>
      <c r="AC1630" s="54">
        <v>2.2260000000000004</v>
      </c>
      <c r="AD1630" s="36">
        <v>89.0535</v>
      </c>
    </row>
    <row r="1631" spans="1:30" s="37" customFormat="1" ht="15.75" customHeight="1" x14ac:dyDescent="0.2">
      <c r="A1631" s="26">
        <v>1935</v>
      </c>
      <c r="B1631" s="27" t="s">
        <v>2074</v>
      </c>
      <c r="C1631" s="27" t="s">
        <v>48</v>
      </c>
      <c r="D1631" s="28">
        <v>0.06</v>
      </c>
      <c r="E1631" s="29">
        <v>3.25</v>
      </c>
      <c r="F1631" s="29">
        <v>49</v>
      </c>
      <c r="G1631" s="30" t="s">
        <v>39</v>
      </c>
      <c r="H1631" s="27" t="s">
        <v>71</v>
      </c>
      <c r="I1631" s="27" t="s">
        <v>49</v>
      </c>
      <c r="J1631" s="27" t="s">
        <v>95</v>
      </c>
      <c r="K1631" s="27" t="s">
        <v>65</v>
      </c>
      <c r="L1631" s="31" t="s">
        <v>2719</v>
      </c>
      <c r="M1631" s="32">
        <v>0.56000000000000005</v>
      </c>
      <c r="N1631" s="27" t="s">
        <v>33</v>
      </c>
      <c r="O1631" s="27" t="s">
        <v>53</v>
      </c>
      <c r="P1631" s="27" t="s">
        <v>187</v>
      </c>
      <c r="Q1631" s="27" t="s">
        <v>2075</v>
      </c>
      <c r="R1631" s="33">
        <v>75051</v>
      </c>
      <c r="S1631" s="34">
        <v>42154</v>
      </c>
      <c r="T1631" s="34">
        <v>42160</v>
      </c>
      <c r="U1631" s="29">
        <v>10.507999999999999</v>
      </c>
      <c r="V1631" s="26">
        <v>2</v>
      </c>
      <c r="W1631" s="29">
        <v>55.6</v>
      </c>
      <c r="X1631" s="26">
        <v>86688</v>
      </c>
      <c r="Y1631" s="35">
        <v>2.84</v>
      </c>
      <c r="Z1631" s="1" t="s">
        <v>3012</v>
      </c>
      <c r="AA1631" s="36">
        <v>0.39</v>
      </c>
      <c r="AB1631" s="54">
        <v>24.463999999999999</v>
      </c>
      <c r="AC1631" s="54">
        <v>15.568000000000001</v>
      </c>
      <c r="AD1631" s="36">
        <v>-4.2979999999999947</v>
      </c>
    </row>
    <row r="1632" spans="1:30" s="37" customFormat="1" ht="15.75" customHeight="1" x14ac:dyDescent="0.2">
      <c r="A1632" s="26">
        <v>1062</v>
      </c>
      <c r="B1632" s="27" t="s">
        <v>1827</v>
      </c>
      <c r="C1632" s="27" t="s">
        <v>48</v>
      </c>
      <c r="D1632" s="28">
        <v>0.06</v>
      </c>
      <c r="E1632" s="29">
        <v>17.78</v>
      </c>
      <c r="F1632" s="29">
        <v>5.03</v>
      </c>
      <c r="G1632" s="30" t="s">
        <v>39</v>
      </c>
      <c r="H1632" s="27" t="s">
        <v>3095</v>
      </c>
      <c r="I1632" s="27" t="s">
        <v>29</v>
      </c>
      <c r="J1632" s="27" t="s">
        <v>126</v>
      </c>
      <c r="K1632" s="27" t="s">
        <v>73</v>
      </c>
      <c r="L1632" s="31" t="s">
        <v>2717</v>
      </c>
      <c r="M1632" s="32">
        <v>0.54</v>
      </c>
      <c r="N1632" s="27" t="s">
        <v>33</v>
      </c>
      <c r="O1632" s="27" t="s">
        <v>111</v>
      </c>
      <c r="P1632" s="27" t="s">
        <v>112</v>
      </c>
      <c r="Q1632" s="27" t="s">
        <v>1828</v>
      </c>
      <c r="R1632" s="33">
        <v>11727</v>
      </c>
      <c r="S1632" s="34">
        <v>42154</v>
      </c>
      <c r="T1632" s="34">
        <v>42157</v>
      </c>
      <c r="U1632" s="29">
        <v>38.067300000000003</v>
      </c>
      <c r="V1632" s="26">
        <v>3</v>
      </c>
      <c r="W1632" s="29">
        <v>55.17</v>
      </c>
      <c r="X1632" s="26">
        <v>91355</v>
      </c>
      <c r="Y1632" s="35">
        <v>120.93</v>
      </c>
      <c r="Z1632" s="1" t="s">
        <v>3014</v>
      </c>
      <c r="AA1632" s="36">
        <v>3.2004000000000001</v>
      </c>
      <c r="AB1632" s="54">
        <v>25.3782</v>
      </c>
      <c r="AC1632" s="54">
        <v>9.9306000000000001</v>
      </c>
      <c r="AD1632" s="36">
        <v>8.8722999999999956</v>
      </c>
    </row>
    <row r="1633" spans="1:30" s="37" customFormat="1" ht="15.75" customHeight="1" x14ac:dyDescent="0.2">
      <c r="A1633" s="26">
        <v>1690</v>
      </c>
      <c r="B1633" s="27" t="s">
        <v>750</v>
      </c>
      <c r="C1633" s="27" t="s">
        <v>3094</v>
      </c>
      <c r="D1633" s="28">
        <v>0.09</v>
      </c>
      <c r="E1633" s="29">
        <v>95.43</v>
      </c>
      <c r="F1633" s="29">
        <v>19.989999999999998</v>
      </c>
      <c r="G1633" s="30" t="s">
        <v>39</v>
      </c>
      <c r="H1633" s="27" t="s">
        <v>94</v>
      </c>
      <c r="I1633" s="27" t="s">
        <v>49</v>
      </c>
      <c r="J1633" s="27" t="s">
        <v>78</v>
      </c>
      <c r="K1633" s="27" t="s">
        <v>73</v>
      </c>
      <c r="L1633" s="31" t="s">
        <v>1437</v>
      </c>
      <c r="M1633" s="32">
        <v>0.79</v>
      </c>
      <c r="N1633" s="27" t="s">
        <v>33</v>
      </c>
      <c r="O1633" s="27" t="s">
        <v>111</v>
      </c>
      <c r="P1633" s="27" t="s">
        <v>320</v>
      </c>
      <c r="Q1633" s="27" t="s">
        <v>752</v>
      </c>
      <c r="R1633" s="33">
        <v>17112</v>
      </c>
      <c r="S1633" s="34">
        <v>42156</v>
      </c>
      <c r="T1633" s="34">
        <v>42157</v>
      </c>
      <c r="U1633" s="29">
        <v>-143.23500000000001</v>
      </c>
      <c r="V1633" s="26">
        <v>22</v>
      </c>
      <c r="W1633" s="29">
        <v>2053.6</v>
      </c>
      <c r="X1633" s="26">
        <v>91078</v>
      </c>
      <c r="Y1633" s="35">
        <v>3.64</v>
      </c>
      <c r="Z1633" s="1" t="s">
        <v>3014</v>
      </c>
      <c r="AA1633" s="36">
        <v>188.95140000000004</v>
      </c>
      <c r="AB1633" s="54">
        <v>431.25599999999991</v>
      </c>
      <c r="AC1633" s="54">
        <v>73.742909090909095</v>
      </c>
      <c r="AD1633" s="36">
        <v>1987.8935999999999</v>
      </c>
    </row>
    <row r="1634" spans="1:30" s="37" customFormat="1" ht="15.75" customHeight="1" x14ac:dyDescent="0.2">
      <c r="A1634" s="26">
        <v>3069</v>
      </c>
      <c r="B1634" s="27" t="s">
        <v>1168</v>
      </c>
      <c r="C1634" s="27" t="s">
        <v>38</v>
      </c>
      <c r="D1634" s="28">
        <v>0.03</v>
      </c>
      <c r="E1634" s="29">
        <v>120.98</v>
      </c>
      <c r="F1634" s="29">
        <v>30</v>
      </c>
      <c r="G1634" s="30" t="s">
        <v>27</v>
      </c>
      <c r="H1634" s="27" t="s">
        <v>40</v>
      </c>
      <c r="I1634" s="27" t="s">
        <v>29</v>
      </c>
      <c r="J1634" s="27" t="s">
        <v>109</v>
      </c>
      <c r="K1634" s="27" t="s">
        <v>58</v>
      </c>
      <c r="L1634" s="31" t="s">
        <v>1125</v>
      </c>
      <c r="M1634" s="32">
        <v>0.64</v>
      </c>
      <c r="N1634" s="27" t="s">
        <v>33</v>
      </c>
      <c r="O1634" s="27" t="s">
        <v>53</v>
      </c>
      <c r="P1634" s="27" t="s">
        <v>84</v>
      </c>
      <c r="Q1634" s="27" t="s">
        <v>1170</v>
      </c>
      <c r="R1634" s="33">
        <v>55128</v>
      </c>
      <c r="S1634" s="34">
        <v>42156</v>
      </c>
      <c r="T1634" s="34">
        <v>42158</v>
      </c>
      <c r="U1634" s="29">
        <v>638.02800000000002</v>
      </c>
      <c r="V1634" s="26">
        <v>15</v>
      </c>
      <c r="W1634" s="29">
        <v>1894.45</v>
      </c>
      <c r="X1634" s="26">
        <v>88191</v>
      </c>
      <c r="Y1634" s="35">
        <v>4.66</v>
      </c>
      <c r="Z1634" s="1" t="s">
        <v>3012</v>
      </c>
      <c r="AA1634" s="36">
        <v>54.441000000000003</v>
      </c>
      <c r="AB1634" s="54">
        <v>682.00199999999995</v>
      </c>
      <c r="AC1634" s="54">
        <v>80.829866666666675</v>
      </c>
      <c r="AD1634" s="36">
        <v>1171.981</v>
      </c>
    </row>
    <row r="1635" spans="1:30" s="37" customFormat="1" ht="15.75" customHeight="1" x14ac:dyDescent="0.2">
      <c r="A1635" s="26">
        <v>797</v>
      </c>
      <c r="B1635" s="27" t="s">
        <v>1524</v>
      </c>
      <c r="C1635" s="27" t="s">
        <v>3094</v>
      </c>
      <c r="D1635" s="28">
        <v>7.0000000000000007E-2</v>
      </c>
      <c r="E1635" s="29">
        <v>64.650000000000006</v>
      </c>
      <c r="F1635" s="29">
        <v>35</v>
      </c>
      <c r="G1635" s="30" t="s">
        <v>39</v>
      </c>
      <c r="H1635" s="27" t="s">
        <v>94</v>
      </c>
      <c r="I1635" s="27" t="s">
        <v>49</v>
      </c>
      <c r="J1635" s="27" t="s">
        <v>78</v>
      </c>
      <c r="K1635" s="27" t="s">
        <v>65</v>
      </c>
      <c r="L1635" s="31" t="s">
        <v>1013</v>
      </c>
      <c r="M1635" s="32">
        <v>0.8</v>
      </c>
      <c r="N1635" s="27" t="s">
        <v>33</v>
      </c>
      <c r="O1635" s="27" t="s">
        <v>60</v>
      </c>
      <c r="P1635" s="27" t="s">
        <v>146</v>
      </c>
      <c r="Q1635" s="27" t="s">
        <v>1526</v>
      </c>
      <c r="R1635" s="33">
        <v>84067</v>
      </c>
      <c r="S1635" s="34">
        <v>42156</v>
      </c>
      <c r="T1635" s="34">
        <v>42158</v>
      </c>
      <c r="U1635" s="29">
        <v>-717.072</v>
      </c>
      <c r="V1635" s="26">
        <v>13</v>
      </c>
      <c r="W1635" s="29">
        <v>834.08</v>
      </c>
      <c r="X1635" s="26">
        <v>86868</v>
      </c>
      <c r="Y1635" s="35">
        <v>55.95</v>
      </c>
      <c r="Z1635" s="1" t="s">
        <v>3013</v>
      </c>
      <c r="AA1635" s="36">
        <v>58.831500000000013</v>
      </c>
      <c r="AB1635" s="54">
        <v>166.81599999999997</v>
      </c>
      <c r="AC1635" s="54">
        <v>51.328000000000003</v>
      </c>
      <c r="AD1635" s="36">
        <v>1457.3205</v>
      </c>
    </row>
    <row r="1636" spans="1:30" s="37" customFormat="1" ht="15.75" customHeight="1" x14ac:dyDescent="0.2">
      <c r="A1636" s="26">
        <v>3141</v>
      </c>
      <c r="B1636" s="27" t="s">
        <v>2728</v>
      </c>
      <c r="C1636" s="27" t="s">
        <v>48</v>
      </c>
      <c r="D1636" s="28">
        <v>7.0000000000000007E-2</v>
      </c>
      <c r="E1636" s="29">
        <v>48.91</v>
      </c>
      <c r="F1636" s="29">
        <v>35</v>
      </c>
      <c r="G1636" s="30" t="s">
        <v>87</v>
      </c>
      <c r="H1636" s="27" t="s">
        <v>40</v>
      </c>
      <c r="I1636" s="27" t="s">
        <v>49</v>
      </c>
      <c r="J1636" s="27" t="s">
        <v>78</v>
      </c>
      <c r="K1636" s="27" t="s">
        <v>65</v>
      </c>
      <c r="L1636" s="31" t="s">
        <v>1821</v>
      </c>
      <c r="M1636" s="32">
        <v>0.83</v>
      </c>
      <c r="N1636" s="27" t="s">
        <v>33</v>
      </c>
      <c r="O1636" s="27" t="s">
        <v>53</v>
      </c>
      <c r="P1636" s="27" t="s">
        <v>187</v>
      </c>
      <c r="Q1636" s="27" t="s">
        <v>366</v>
      </c>
      <c r="R1636" s="33">
        <v>77506</v>
      </c>
      <c r="S1636" s="34">
        <v>42156</v>
      </c>
      <c r="T1636" s="34">
        <v>42158</v>
      </c>
      <c r="U1636" s="29">
        <v>-485.68</v>
      </c>
      <c r="V1636" s="26">
        <v>15</v>
      </c>
      <c r="W1636" s="29">
        <v>736.86</v>
      </c>
      <c r="X1636" s="26">
        <v>86369</v>
      </c>
      <c r="Y1636" s="35">
        <v>120.95</v>
      </c>
      <c r="Z1636" s="1" t="s">
        <v>3012</v>
      </c>
      <c r="AA1636" s="36">
        <v>51.355500000000006</v>
      </c>
      <c r="AB1636" s="54">
        <v>125.26620000000003</v>
      </c>
      <c r="AC1636" s="54">
        <v>40.772919999999999</v>
      </c>
      <c r="AD1636" s="36">
        <v>1136.1845000000001</v>
      </c>
    </row>
    <row r="1637" spans="1:30" s="37" customFormat="1" ht="15.75" customHeight="1" x14ac:dyDescent="0.2">
      <c r="A1637" s="26">
        <v>2828</v>
      </c>
      <c r="B1637" s="27" t="s">
        <v>1259</v>
      </c>
      <c r="C1637" s="27" t="s">
        <v>116</v>
      </c>
      <c r="D1637" s="28">
        <v>7.0000000000000007E-2</v>
      </c>
      <c r="E1637" s="29">
        <v>39.479999999999997</v>
      </c>
      <c r="F1637" s="29">
        <v>1.99</v>
      </c>
      <c r="G1637" s="30" t="s">
        <v>39</v>
      </c>
      <c r="H1637" s="27" t="s">
        <v>94</v>
      </c>
      <c r="I1637" s="27" t="s">
        <v>41</v>
      </c>
      <c r="J1637" s="27" t="s">
        <v>42</v>
      </c>
      <c r="K1637" s="27" t="s">
        <v>43</v>
      </c>
      <c r="L1637" s="31" t="s">
        <v>1257</v>
      </c>
      <c r="M1637" s="32">
        <v>0.54</v>
      </c>
      <c r="N1637" s="27" t="s">
        <v>33</v>
      </c>
      <c r="O1637" s="27" t="s">
        <v>60</v>
      </c>
      <c r="P1637" s="27" t="s">
        <v>90</v>
      </c>
      <c r="Q1637" s="27" t="s">
        <v>1261</v>
      </c>
      <c r="R1637" s="33">
        <v>92243</v>
      </c>
      <c r="S1637" s="34">
        <v>42156</v>
      </c>
      <c r="T1637" s="34">
        <v>42157</v>
      </c>
      <c r="U1637" s="29">
        <v>322.25069999999999</v>
      </c>
      <c r="V1637" s="26">
        <v>12</v>
      </c>
      <c r="W1637" s="29">
        <v>467.03</v>
      </c>
      <c r="X1637" s="26">
        <v>87721</v>
      </c>
      <c r="Y1637" s="35">
        <v>15.67</v>
      </c>
      <c r="Z1637" s="1" t="s">
        <v>3013</v>
      </c>
      <c r="AA1637" s="36">
        <v>33.163199999999996</v>
      </c>
      <c r="AB1637" s="54">
        <v>214.83379999999997</v>
      </c>
      <c r="AC1637" s="54">
        <v>21.016349999999999</v>
      </c>
      <c r="AD1637" s="36">
        <v>109.62609999999995</v>
      </c>
    </row>
    <row r="1638" spans="1:30" s="37" customFormat="1" ht="15.75" customHeight="1" x14ac:dyDescent="0.2">
      <c r="A1638" s="26">
        <v>3069</v>
      </c>
      <c r="B1638" s="27" t="s">
        <v>1168</v>
      </c>
      <c r="C1638" s="27" t="s">
        <v>38</v>
      </c>
      <c r="D1638" s="28">
        <v>0.01</v>
      </c>
      <c r="E1638" s="29">
        <v>15.68</v>
      </c>
      <c r="F1638" s="29">
        <v>3.73</v>
      </c>
      <c r="G1638" s="30" t="s">
        <v>39</v>
      </c>
      <c r="H1638" s="27" t="s">
        <v>40</v>
      </c>
      <c r="I1638" s="27" t="s">
        <v>29</v>
      </c>
      <c r="J1638" s="27" t="s">
        <v>126</v>
      </c>
      <c r="K1638" s="27" t="s">
        <v>43</v>
      </c>
      <c r="L1638" s="31" t="s">
        <v>2727</v>
      </c>
      <c r="M1638" s="32">
        <v>0.46</v>
      </c>
      <c r="N1638" s="27" t="s">
        <v>33</v>
      </c>
      <c r="O1638" s="27" t="s">
        <v>53</v>
      </c>
      <c r="P1638" s="27" t="s">
        <v>84</v>
      </c>
      <c r="Q1638" s="27" t="s">
        <v>1170</v>
      </c>
      <c r="R1638" s="33">
        <v>55128</v>
      </c>
      <c r="S1638" s="34">
        <v>42156</v>
      </c>
      <c r="T1638" s="34">
        <v>42158</v>
      </c>
      <c r="U1638" s="29">
        <v>138.49680000000001</v>
      </c>
      <c r="V1638" s="26">
        <v>12</v>
      </c>
      <c r="W1638" s="29">
        <v>200.72</v>
      </c>
      <c r="X1638" s="26">
        <v>88191</v>
      </c>
      <c r="Y1638" s="35">
        <v>6.75</v>
      </c>
      <c r="Z1638" s="1" t="s">
        <v>3012</v>
      </c>
      <c r="AA1638" s="36">
        <v>1.8815999999999999</v>
      </c>
      <c r="AB1638" s="54">
        <v>108.3888</v>
      </c>
      <c r="AC1638" s="54">
        <v>7.6942666666666666</v>
      </c>
      <c r="AD1638" s="36">
        <v>56.61160000000001</v>
      </c>
    </row>
    <row r="1639" spans="1:30" s="37" customFormat="1" ht="15.75" customHeight="1" x14ac:dyDescent="0.2">
      <c r="A1639" s="26">
        <v>1556</v>
      </c>
      <c r="B1639" s="27" t="s">
        <v>2730</v>
      </c>
      <c r="C1639" s="27" t="s">
        <v>3094</v>
      </c>
      <c r="D1639" s="28">
        <v>0.08</v>
      </c>
      <c r="E1639" s="29">
        <v>22.84</v>
      </c>
      <c r="F1639" s="29">
        <v>11.54</v>
      </c>
      <c r="G1639" s="30" t="s">
        <v>39</v>
      </c>
      <c r="H1639" s="27" t="s">
        <v>40</v>
      </c>
      <c r="I1639" s="27" t="s">
        <v>49</v>
      </c>
      <c r="J1639" s="27" t="s">
        <v>88</v>
      </c>
      <c r="K1639" s="27" t="s">
        <v>73</v>
      </c>
      <c r="L1639" s="31" t="s">
        <v>1841</v>
      </c>
      <c r="M1639" s="32">
        <v>0.39</v>
      </c>
      <c r="N1639" s="27" t="s">
        <v>33</v>
      </c>
      <c r="O1639" s="27" t="s">
        <v>34</v>
      </c>
      <c r="P1639" s="27" t="s">
        <v>242</v>
      </c>
      <c r="Q1639" s="27" t="s">
        <v>2732</v>
      </c>
      <c r="R1639" s="33">
        <v>22304</v>
      </c>
      <c r="S1639" s="34">
        <v>42156</v>
      </c>
      <c r="T1639" s="34">
        <v>42158</v>
      </c>
      <c r="U1639" s="29">
        <v>-477.37200000000001</v>
      </c>
      <c r="V1639" s="26">
        <v>9</v>
      </c>
      <c r="W1639" s="29">
        <v>195.16</v>
      </c>
      <c r="X1639" s="26">
        <v>87425</v>
      </c>
      <c r="Y1639" s="35">
        <v>48.839999999999996</v>
      </c>
      <c r="Z1639" s="1" t="s">
        <v>3011</v>
      </c>
      <c r="AA1639" s="36">
        <v>16.444800000000001</v>
      </c>
      <c r="AB1639" s="54">
        <v>119.04759999999999</v>
      </c>
      <c r="AC1639" s="54">
        <v>8.4569333333333336</v>
      </c>
      <c r="AD1639" s="36">
        <v>644.54719999999998</v>
      </c>
    </row>
    <row r="1640" spans="1:30" s="37" customFormat="1" ht="15.75" customHeight="1" x14ac:dyDescent="0.2">
      <c r="A1640" s="26">
        <v>2737</v>
      </c>
      <c r="B1640" s="27" t="s">
        <v>2270</v>
      </c>
      <c r="C1640" s="27" t="s">
        <v>116</v>
      </c>
      <c r="D1640" s="28">
        <v>0.03</v>
      </c>
      <c r="E1640" s="29">
        <v>15.31</v>
      </c>
      <c r="F1640" s="29">
        <v>8.7799999999999994</v>
      </c>
      <c r="G1640" s="30" t="s">
        <v>39</v>
      </c>
      <c r="H1640" s="27" t="s">
        <v>3095</v>
      </c>
      <c r="I1640" s="27" t="s">
        <v>49</v>
      </c>
      <c r="J1640" s="27" t="s">
        <v>78</v>
      </c>
      <c r="K1640" s="27" t="s">
        <v>73</v>
      </c>
      <c r="L1640" s="31" t="s">
        <v>2434</v>
      </c>
      <c r="M1640" s="32">
        <v>0.56999999999999995</v>
      </c>
      <c r="N1640" s="27" t="s">
        <v>33</v>
      </c>
      <c r="O1640" s="27" t="s">
        <v>111</v>
      </c>
      <c r="P1640" s="27" t="s">
        <v>633</v>
      </c>
      <c r="Q1640" s="27" t="s">
        <v>1946</v>
      </c>
      <c r="R1640" s="33">
        <v>5701</v>
      </c>
      <c r="S1640" s="34">
        <v>42156</v>
      </c>
      <c r="T1640" s="34">
        <v>42157</v>
      </c>
      <c r="U1640" s="29">
        <v>-57.56</v>
      </c>
      <c r="V1640" s="26">
        <v>12</v>
      </c>
      <c r="W1640" s="29">
        <v>194.08</v>
      </c>
      <c r="X1640" s="26">
        <v>89019</v>
      </c>
      <c r="Y1640" s="35">
        <v>15.280000000000001</v>
      </c>
      <c r="Z1640" s="1" t="s">
        <v>3014</v>
      </c>
      <c r="AA1640" s="36">
        <v>5.5115999999999996</v>
      </c>
      <c r="AB1640" s="54">
        <v>83.454400000000021</v>
      </c>
      <c r="AC1640" s="54">
        <v>9.2187999999999999</v>
      </c>
      <c r="AD1640" s="36">
        <v>237.34840000000003</v>
      </c>
    </row>
    <row r="1641" spans="1:30" s="37" customFormat="1" ht="15.75" customHeight="1" x14ac:dyDescent="0.2">
      <c r="A1641" s="26">
        <v>2817</v>
      </c>
      <c r="B1641" s="27" t="s">
        <v>2723</v>
      </c>
      <c r="C1641" s="27" t="s">
        <v>38</v>
      </c>
      <c r="D1641" s="28">
        <v>0.04</v>
      </c>
      <c r="E1641" s="29">
        <v>55.99</v>
      </c>
      <c r="F1641" s="29">
        <v>1.25</v>
      </c>
      <c r="G1641" s="30" t="s">
        <v>87</v>
      </c>
      <c r="H1641" s="27" t="s">
        <v>94</v>
      </c>
      <c r="I1641" s="27" t="s">
        <v>41</v>
      </c>
      <c r="J1641" s="27" t="s">
        <v>135</v>
      </c>
      <c r="K1641" s="27" t="s">
        <v>43</v>
      </c>
      <c r="L1641" s="31" t="s">
        <v>2726</v>
      </c>
      <c r="M1641" s="32">
        <v>0.35</v>
      </c>
      <c r="N1641" s="27" t="s">
        <v>33</v>
      </c>
      <c r="O1641" s="27" t="s">
        <v>111</v>
      </c>
      <c r="P1641" s="27" t="s">
        <v>317</v>
      </c>
      <c r="Q1641" s="27" t="s">
        <v>2725</v>
      </c>
      <c r="R1641" s="33">
        <v>43055</v>
      </c>
      <c r="S1641" s="34">
        <v>42156</v>
      </c>
      <c r="T1641" s="34">
        <v>42157</v>
      </c>
      <c r="U1641" s="29">
        <v>-18.3216</v>
      </c>
      <c r="V1641" s="26">
        <v>3</v>
      </c>
      <c r="W1641" s="29">
        <v>147.56</v>
      </c>
      <c r="X1641" s="26">
        <v>89743</v>
      </c>
      <c r="Y1641" s="35">
        <v>39.409999999999997</v>
      </c>
      <c r="Z1641" s="1" t="s">
        <v>3014</v>
      </c>
      <c r="AA1641" s="36">
        <v>6.7188000000000008</v>
      </c>
      <c r="AB1641" s="54">
        <v>95.914000000000001</v>
      </c>
      <c r="AC1641" s="54">
        <v>17.215333333333334</v>
      </c>
      <c r="AD1641" s="36">
        <v>157.9128</v>
      </c>
    </row>
    <row r="1642" spans="1:30" s="37" customFormat="1" ht="15.75" customHeight="1" x14ac:dyDescent="0.2">
      <c r="A1642" s="26">
        <v>3141</v>
      </c>
      <c r="B1642" s="27" t="s">
        <v>2728</v>
      </c>
      <c r="C1642" s="27" t="s">
        <v>48</v>
      </c>
      <c r="D1642" s="28">
        <v>0.09</v>
      </c>
      <c r="E1642" s="29">
        <v>6.84</v>
      </c>
      <c r="F1642" s="29">
        <v>8.3699999999999992</v>
      </c>
      <c r="G1642" s="30" t="s">
        <v>39</v>
      </c>
      <c r="H1642" s="27" t="s">
        <v>40</v>
      </c>
      <c r="I1642" s="27" t="s">
        <v>49</v>
      </c>
      <c r="J1642" s="27" t="s">
        <v>568</v>
      </c>
      <c r="K1642" s="27" t="s">
        <v>43</v>
      </c>
      <c r="L1642" s="31" t="s">
        <v>736</v>
      </c>
      <c r="M1642" s="32">
        <v>0.57999999999999996</v>
      </c>
      <c r="N1642" s="27" t="s">
        <v>33</v>
      </c>
      <c r="O1642" s="27" t="s">
        <v>53</v>
      </c>
      <c r="P1642" s="27" t="s">
        <v>187</v>
      </c>
      <c r="Q1642" s="27" t="s">
        <v>366</v>
      </c>
      <c r="R1642" s="33">
        <v>77506</v>
      </c>
      <c r="S1642" s="34">
        <v>42156</v>
      </c>
      <c r="T1642" s="34">
        <v>42163</v>
      </c>
      <c r="U1642" s="29">
        <v>-88.584999999999994</v>
      </c>
      <c r="V1642" s="26">
        <v>13</v>
      </c>
      <c r="W1642" s="29">
        <v>87.1</v>
      </c>
      <c r="X1642" s="26">
        <v>86369</v>
      </c>
      <c r="Y1642" s="35">
        <v>9.07</v>
      </c>
      <c r="Z1642" s="1" t="s">
        <v>3012</v>
      </c>
      <c r="AA1642" s="36">
        <v>8.0027999999999988</v>
      </c>
      <c r="AB1642" s="54">
        <v>36.582000000000001</v>
      </c>
      <c r="AC1642" s="54">
        <v>3.8859999999999992</v>
      </c>
      <c r="AD1642" s="36">
        <v>159.31219999999999</v>
      </c>
    </row>
    <row r="1643" spans="1:30" s="37" customFormat="1" ht="15.75" customHeight="1" x14ac:dyDescent="0.2">
      <c r="A1643" s="26">
        <v>1802</v>
      </c>
      <c r="B1643" s="27" t="s">
        <v>2722</v>
      </c>
      <c r="C1643" s="27" t="s">
        <v>26</v>
      </c>
      <c r="D1643" s="28">
        <v>0.04</v>
      </c>
      <c r="E1643" s="29">
        <v>3.68</v>
      </c>
      <c r="F1643" s="29">
        <v>1.32</v>
      </c>
      <c r="G1643" s="30" t="s">
        <v>39</v>
      </c>
      <c r="H1643" s="27" t="s">
        <v>94</v>
      </c>
      <c r="I1643" s="27" t="s">
        <v>49</v>
      </c>
      <c r="J1643" s="27" t="s">
        <v>568</v>
      </c>
      <c r="K1643" s="27" t="s">
        <v>51</v>
      </c>
      <c r="L1643" s="31" t="s">
        <v>2526</v>
      </c>
      <c r="M1643" s="32">
        <v>0.83</v>
      </c>
      <c r="N1643" s="27" t="s">
        <v>33</v>
      </c>
      <c r="O1643" s="27" t="s">
        <v>34</v>
      </c>
      <c r="P1643" s="27" t="s">
        <v>123</v>
      </c>
      <c r="Q1643" s="27" t="s">
        <v>713</v>
      </c>
      <c r="R1643" s="33">
        <v>34698</v>
      </c>
      <c r="S1643" s="34">
        <v>42156</v>
      </c>
      <c r="T1643" s="34">
        <v>42157</v>
      </c>
      <c r="U1643" s="29">
        <v>300.92579999999998</v>
      </c>
      <c r="V1643" s="26">
        <v>11</v>
      </c>
      <c r="W1643" s="29">
        <v>41.29</v>
      </c>
      <c r="X1643" s="26">
        <v>91543</v>
      </c>
      <c r="Y1643" s="35">
        <v>64.580000000000013</v>
      </c>
      <c r="Z1643" s="1" t="s">
        <v>3011</v>
      </c>
      <c r="AA1643" s="36">
        <v>1.6192</v>
      </c>
      <c r="AB1643" s="54">
        <v>7.0193000000000012</v>
      </c>
      <c r="AC1643" s="54">
        <v>3.1155181818181816</v>
      </c>
      <c r="AD1643" s="36">
        <v>-262.57499999999993</v>
      </c>
    </row>
    <row r="1644" spans="1:30" s="37" customFormat="1" ht="15.75" customHeight="1" x14ac:dyDescent="0.2">
      <c r="A1644" s="26">
        <v>2443</v>
      </c>
      <c r="B1644" s="27" t="s">
        <v>621</v>
      </c>
      <c r="C1644" s="27" t="s">
        <v>3094</v>
      </c>
      <c r="D1644" s="28">
        <v>0.06</v>
      </c>
      <c r="E1644" s="29">
        <v>2.2799999999999998</v>
      </c>
      <c r="F1644" s="29">
        <v>5.2</v>
      </c>
      <c r="G1644" s="30" t="s">
        <v>39</v>
      </c>
      <c r="H1644" s="27" t="s">
        <v>94</v>
      </c>
      <c r="I1644" s="27" t="s">
        <v>49</v>
      </c>
      <c r="J1644" s="27" t="s">
        <v>50</v>
      </c>
      <c r="K1644" s="27" t="s">
        <v>51</v>
      </c>
      <c r="L1644" s="31" t="s">
        <v>2733</v>
      </c>
      <c r="M1644" s="32">
        <v>0.41</v>
      </c>
      <c r="N1644" s="27" t="s">
        <v>33</v>
      </c>
      <c r="O1644" s="27" t="s">
        <v>34</v>
      </c>
      <c r="P1644" s="27" t="s">
        <v>123</v>
      </c>
      <c r="Q1644" s="27" t="s">
        <v>128</v>
      </c>
      <c r="R1644" s="33">
        <v>33142</v>
      </c>
      <c r="S1644" s="34">
        <v>42156</v>
      </c>
      <c r="T1644" s="34">
        <v>42158</v>
      </c>
      <c r="U1644" s="29">
        <v>-2002.6314</v>
      </c>
      <c r="V1644" s="26">
        <v>13</v>
      </c>
      <c r="W1644" s="29">
        <v>30.47</v>
      </c>
      <c r="X1644" s="26">
        <v>89301</v>
      </c>
      <c r="Y1644" s="35">
        <v>2.83</v>
      </c>
      <c r="Z1644" s="1" t="s">
        <v>3011</v>
      </c>
      <c r="AA1644" s="36">
        <v>1.7783999999999998</v>
      </c>
      <c r="AB1644" s="54">
        <v>17.977300000000003</v>
      </c>
      <c r="AC1644" s="54">
        <v>0.96097692307692295</v>
      </c>
      <c r="AD1644" s="36">
        <v>2026.123</v>
      </c>
    </row>
    <row r="1645" spans="1:30" s="37" customFormat="1" ht="15.75" customHeight="1" x14ac:dyDescent="0.2">
      <c r="A1645" s="26">
        <v>797</v>
      </c>
      <c r="B1645" s="27" t="s">
        <v>1524</v>
      </c>
      <c r="C1645" s="27" t="s">
        <v>3094</v>
      </c>
      <c r="D1645" s="28">
        <v>0.04</v>
      </c>
      <c r="E1645" s="29">
        <v>9.11</v>
      </c>
      <c r="F1645" s="29">
        <v>2.25</v>
      </c>
      <c r="G1645" s="30" t="s">
        <v>39</v>
      </c>
      <c r="H1645" s="27" t="s">
        <v>94</v>
      </c>
      <c r="I1645" s="27" t="s">
        <v>49</v>
      </c>
      <c r="J1645" s="27" t="s">
        <v>50</v>
      </c>
      <c r="K1645" s="27" t="s">
        <v>51</v>
      </c>
      <c r="L1645" s="31" t="s">
        <v>2729</v>
      </c>
      <c r="M1645" s="32">
        <v>0.52</v>
      </c>
      <c r="N1645" s="27" t="s">
        <v>33</v>
      </c>
      <c r="O1645" s="27" t="s">
        <v>60</v>
      </c>
      <c r="P1645" s="27" t="s">
        <v>146</v>
      </c>
      <c r="Q1645" s="27" t="s">
        <v>1526</v>
      </c>
      <c r="R1645" s="33">
        <v>84067</v>
      </c>
      <c r="S1645" s="34">
        <v>42156</v>
      </c>
      <c r="T1645" s="34">
        <v>42159</v>
      </c>
      <c r="U1645" s="29">
        <v>-3.496</v>
      </c>
      <c r="V1645" s="26">
        <v>2</v>
      </c>
      <c r="W1645" s="29">
        <v>18.59</v>
      </c>
      <c r="X1645" s="26">
        <v>86868</v>
      </c>
      <c r="Y1645" s="35">
        <v>22.76</v>
      </c>
      <c r="Z1645" s="1" t="s">
        <v>3013</v>
      </c>
      <c r="AA1645" s="36">
        <v>0.7288</v>
      </c>
      <c r="AB1645" s="54">
        <v>8.9231999999999996</v>
      </c>
      <c r="AC1645" s="54">
        <v>4.8334000000000001</v>
      </c>
      <c r="AD1645" s="36">
        <v>19.107199999999999</v>
      </c>
    </row>
    <row r="1646" spans="1:30" s="37" customFormat="1" ht="15.75" customHeight="1" x14ac:dyDescent="0.2">
      <c r="A1646" s="26">
        <v>1556</v>
      </c>
      <c r="B1646" s="27" t="s">
        <v>2730</v>
      </c>
      <c r="C1646" s="27" t="s">
        <v>3094</v>
      </c>
      <c r="D1646" s="28">
        <v>0.06</v>
      </c>
      <c r="E1646" s="29">
        <v>2.89</v>
      </c>
      <c r="F1646" s="29">
        <v>0.99</v>
      </c>
      <c r="G1646" s="30" t="s">
        <v>39</v>
      </c>
      <c r="H1646" s="27" t="s">
        <v>40</v>
      </c>
      <c r="I1646" s="27" t="s">
        <v>49</v>
      </c>
      <c r="J1646" s="27" t="s">
        <v>152</v>
      </c>
      <c r="K1646" s="27" t="s">
        <v>73</v>
      </c>
      <c r="L1646" s="31" t="s">
        <v>2731</v>
      </c>
      <c r="M1646" s="32">
        <v>0.38</v>
      </c>
      <c r="N1646" s="27" t="s">
        <v>33</v>
      </c>
      <c r="O1646" s="27" t="s">
        <v>34</v>
      </c>
      <c r="P1646" s="27" t="s">
        <v>242</v>
      </c>
      <c r="Q1646" s="27" t="s">
        <v>2732</v>
      </c>
      <c r="R1646" s="33">
        <v>22304</v>
      </c>
      <c r="S1646" s="34">
        <v>42156</v>
      </c>
      <c r="T1646" s="34">
        <v>42158</v>
      </c>
      <c r="U1646" s="29">
        <v>-2.0097</v>
      </c>
      <c r="V1646" s="26">
        <v>6</v>
      </c>
      <c r="W1646" s="29">
        <v>16.670000000000002</v>
      </c>
      <c r="X1646" s="26">
        <v>87425</v>
      </c>
      <c r="Y1646" s="35">
        <v>95.34</v>
      </c>
      <c r="Z1646" s="1" t="s">
        <v>3011</v>
      </c>
      <c r="AA1646" s="36">
        <v>1.0404</v>
      </c>
      <c r="AB1646" s="54">
        <v>10.335400000000002</v>
      </c>
      <c r="AC1646" s="54">
        <v>1.0557666666666667</v>
      </c>
      <c r="AD1646" s="36">
        <v>16.6493</v>
      </c>
    </row>
    <row r="1647" spans="1:30" s="37" customFormat="1" ht="15.75" customHeight="1" x14ac:dyDescent="0.2">
      <c r="A1647" s="26">
        <v>2817</v>
      </c>
      <c r="B1647" s="27" t="s">
        <v>2723</v>
      </c>
      <c r="C1647" s="27" t="s">
        <v>38</v>
      </c>
      <c r="D1647" s="28">
        <v>0.05</v>
      </c>
      <c r="E1647" s="29">
        <v>4.71</v>
      </c>
      <c r="F1647" s="29">
        <v>0.7</v>
      </c>
      <c r="G1647" s="30" t="s">
        <v>87</v>
      </c>
      <c r="H1647" s="27" t="s">
        <v>94</v>
      </c>
      <c r="I1647" s="27" t="s">
        <v>49</v>
      </c>
      <c r="J1647" s="27" t="s">
        <v>176</v>
      </c>
      <c r="K1647" s="27" t="s">
        <v>51</v>
      </c>
      <c r="L1647" s="31" t="s">
        <v>2724</v>
      </c>
      <c r="M1647" s="32">
        <v>0.8</v>
      </c>
      <c r="N1647" s="27" t="s">
        <v>33</v>
      </c>
      <c r="O1647" s="27" t="s">
        <v>111</v>
      </c>
      <c r="P1647" s="27" t="s">
        <v>317</v>
      </c>
      <c r="Q1647" s="27" t="s">
        <v>2725</v>
      </c>
      <c r="R1647" s="33">
        <v>43055</v>
      </c>
      <c r="S1647" s="34">
        <v>42156</v>
      </c>
      <c r="T1647" s="34">
        <v>42157</v>
      </c>
      <c r="U1647" s="29">
        <v>-2.3759999999999999</v>
      </c>
      <c r="V1647" s="26">
        <v>2</v>
      </c>
      <c r="W1647" s="29">
        <v>12.16</v>
      </c>
      <c r="X1647" s="26">
        <v>89743</v>
      </c>
      <c r="Y1647" s="35">
        <v>2.2199999999999998</v>
      </c>
      <c r="Z1647" s="1" t="s">
        <v>3014</v>
      </c>
      <c r="AA1647" s="36">
        <v>0.47100000000000003</v>
      </c>
      <c r="AB1647" s="54">
        <v>2.4319999999999995</v>
      </c>
      <c r="AC1647" s="54">
        <v>4.8640000000000008</v>
      </c>
      <c r="AD1647" s="36">
        <v>13.365</v>
      </c>
    </row>
    <row r="1648" spans="1:30" s="37" customFormat="1" ht="15.75" customHeight="1" x14ac:dyDescent="0.2">
      <c r="A1648" s="26">
        <v>3374</v>
      </c>
      <c r="B1648" s="27" t="s">
        <v>2742</v>
      </c>
      <c r="C1648" s="27" t="s">
        <v>116</v>
      </c>
      <c r="D1648" s="28">
        <v>0.01</v>
      </c>
      <c r="E1648" s="29">
        <v>179.29</v>
      </c>
      <c r="F1648" s="29">
        <v>29.21</v>
      </c>
      <c r="G1648" s="30" t="s">
        <v>27</v>
      </c>
      <c r="H1648" s="27" t="s">
        <v>94</v>
      </c>
      <c r="I1648" s="27" t="s">
        <v>29</v>
      </c>
      <c r="J1648" s="27" t="s">
        <v>30</v>
      </c>
      <c r="K1648" s="27" t="s">
        <v>31</v>
      </c>
      <c r="L1648" s="31" t="s">
        <v>543</v>
      </c>
      <c r="M1648" s="32">
        <v>0.76</v>
      </c>
      <c r="N1648" s="27" t="s">
        <v>33</v>
      </c>
      <c r="O1648" s="27" t="s">
        <v>111</v>
      </c>
      <c r="P1648" s="27" t="s">
        <v>418</v>
      </c>
      <c r="Q1648" s="27" t="s">
        <v>2743</v>
      </c>
      <c r="R1648" s="33">
        <v>21113</v>
      </c>
      <c r="S1648" s="34">
        <v>42157</v>
      </c>
      <c r="T1648" s="34">
        <v>42159</v>
      </c>
      <c r="U1648" s="29">
        <v>66.362219999999994</v>
      </c>
      <c r="V1648" s="26">
        <v>8</v>
      </c>
      <c r="W1648" s="29">
        <v>1487.9</v>
      </c>
      <c r="X1648" s="26">
        <v>87473</v>
      </c>
      <c r="Y1648" s="35">
        <v>22.81</v>
      </c>
      <c r="Z1648" s="1" t="s">
        <v>3014</v>
      </c>
      <c r="AA1648" s="36">
        <v>14.3432</v>
      </c>
      <c r="AB1648" s="54">
        <v>357.096</v>
      </c>
      <c r="AC1648" s="54">
        <v>141.35050000000001</v>
      </c>
      <c r="AD1648" s="36">
        <v>1377.9845800000001</v>
      </c>
    </row>
    <row r="1649" spans="1:30" s="37" customFormat="1" ht="15.75" customHeight="1" x14ac:dyDescent="0.2">
      <c r="A1649" s="26">
        <v>2487</v>
      </c>
      <c r="B1649" s="27" t="s">
        <v>2746</v>
      </c>
      <c r="C1649" s="27" t="s">
        <v>3094</v>
      </c>
      <c r="D1649" s="28">
        <v>0.02</v>
      </c>
      <c r="E1649" s="29">
        <v>136.97999999999999</v>
      </c>
      <c r="F1649" s="29">
        <v>24.49</v>
      </c>
      <c r="G1649" s="30" t="s">
        <v>87</v>
      </c>
      <c r="H1649" s="27" t="s">
        <v>3095</v>
      </c>
      <c r="I1649" s="27" t="s">
        <v>29</v>
      </c>
      <c r="J1649" s="27" t="s">
        <v>126</v>
      </c>
      <c r="K1649" s="27" t="s">
        <v>65</v>
      </c>
      <c r="L1649" s="31" t="s">
        <v>429</v>
      </c>
      <c r="M1649" s="32">
        <v>0.59</v>
      </c>
      <c r="N1649" s="27" t="s">
        <v>33</v>
      </c>
      <c r="O1649" s="27" t="s">
        <v>34</v>
      </c>
      <c r="P1649" s="27" t="s">
        <v>75</v>
      </c>
      <c r="Q1649" s="27" t="s">
        <v>2747</v>
      </c>
      <c r="R1649" s="33">
        <v>30084</v>
      </c>
      <c r="S1649" s="34">
        <v>42157</v>
      </c>
      <c r="T1649" s="34">
        <v>42158</v>
      </c>
      <c r="U1649" s="29">
        <v>88.56</v>
      </c>
      <c r="V1649" s="26">
        <v>8</v>
      </c>
      <c r="W1649" s="29">
        <v>1140.95</v>
      </c>
      <c r="X1649" s="26">
        <v>91417</v>
      </c>
      <c r="Y1649" s="35">
        <v>10.93</v>
      </c>
      <c r="Z1649" s="1" t="s">
        <v>3011</v>
      </c>
      <c r="AA1649" s="36">
        <v>21.916799999999999</v>
      </c>
      <c r="AB1649" s="54">
        <v>467.78950000000003</v>
      </c>
      <c r="AC1649" s="54">
        <v>84.145062499999995</v>
      </c>
      <c r="AD1649" s="36">
        <v>1005.9832</v>
      </c>
    </row>
    <row r="1650" spans="1:30" s="37" customFormat="1" ht="15.75" customHeight="1" x14ac:dyDescent="0.2">
      <c r="A1650" s="26">
        <v>1170</v>
      </c>
      <c r="B1650" s="27" t="s">
        <v>2744</v>
      </c>
      <c r="C1650" s="27" t="s">
        <v>3094</v>
      </c>
      <c r="D1650" s="28">
        <v>0</v>
      </c>
      <c r="E1650" s="29">
        <v>200.99</v>
      </c>
      <c r="F1650" s="29">
        <v>8.08</v>
      </c>
      <c r="G1650" s="30" t="s">
        <v>39</v>
      </c>
      <c r="H1650" s="27" t="s">
        <v>40</v>
      </c>
      <c r="I1650" s="27" t="s">
        <v>41</v>
      </c>
      <c r="J1650" s="27" t="s">
        <v>135</v>
      </c>
      <c r="K1650" s="27" t="s">
        <v>73</v>
      </c>
      <c r="L1650" s="31" t="s">
        <v>2745</v>
      </c>
      <c r="M1650" s="32">
        <v>0.59</v>
      </c>
      <c r="N1650" s="27" t="s">
        <v>33</v>
      </c>
      <c r="O1650" s="27" t="s">
        <v>111</v>
      </c>
      <c r="P1650" s="27" t="s">
        <v>1608</v>
      </c>
      <c r="Q1650" s="27" t="s">
        <v>2725</v>
      </c>
      <c r="R1650" s="33">
        <v>19711</v>
      </c>
      <c r="S1650" s="34">
        <v>42157</v>
      </c>
      <c r="T1650" s="34">
        <v>42159</v>
      </c>
      <c r="U1650" s="29">
        <v>281.53440000000001</v>
      </c>
      <c r="V1650" s="26">
        <v>6</v>
      </c>
      <c r="W1650" s="29">
        <v>1076.3</v>
      </c>
      <c r="X1650" s="26">
        <v>87520</v>
      </c>
      <c r="Y1650" s="35">
        <v>12.899999999999999</v>
      </c>
      <c r="Z1650" s="1" t="s">
        <v>3014</v>
      </c>
      <c r="AA1650" s="36">
        <v>0</v>
      </c>
      <c r="AB1650" s="54">
        <v>441.28300000000002</v>
      </c>
      <c r="AC1650" s="54">
        <v>105.83616666666666</v>
      </c>
      <c r="AD1650" s="36">
        <v>786.68560000000002</v>
      </c>
    </row>
    <row r="1651" spans="1:30" s="37" customFormat="1" ht="15.75" customHeight="1" x14ac:dyDescent="0.2">
      <c r="A1651" s="26">
        <v>142</v>
      </c>
      <c r="B1651" s="27" t="s">
        <v>2734</v>
      </c>
      <c r="C1651" s="27" t="s">
        <v>26</v>
      </c>
      <c r="D1651" s="28">
        <v>0.03</v>
      </c>
      <c r="E1651" s="29">
        <v>22.84</v>
      </c>
      <c r="F1651" s="29">
        <v>11.54</v>
      </c>
      <c r="G1651" s="30" t="s">
        <v>39</v>
      </c>
      <c r="H1651" s="27" t="s">
        <v>3095</v>
      </c>
      <c r="I1651" s="27" t="s">
        <v>49</v>
      </c>
      <c r="J1651" s="27" t="s">
        <v>88</v>
      </c>
      <c r="K1651" s="27" t="s">
        <v>73</v>
      </c>
      <c r="L1651" s="31" t="s">
        <v>1841</v>
      </c>
      <c r="M1651" s="32">
        <v>0.39</v>
      </c>
      <c r="N1651" s="27" t="s">
        <v>33</v>
      </c>
      <c r="O1651" s="27" t="s">
        <v>111</v>
      </c>
      <c r="P1651" s="27" t="s">
        <v>248</v>
      </c>
      <c r="Q1651" s="27" t="s">
        <v>2735</v>
      </c>
      <c r="R1651" s="33">
        <v>6401</v>
      </c>
      <c r="S1651" s="34">
        <v>42157</v>
      </c>
      <c r="T1651" s="34">
        <v>42158</v>
      </c>
      <c r="U1651" s="29">
        <v>91.956000000000003</v>
      </c>
      <c r="V1651" s="26">
        <v>13</v>
      </c>
      <c r="W1651" s="29">
        <v>312.58999999999997</v>
      </c>
      <c r="X1651" s="26">
        <v>91087</v>
      </c>
      <c r="Y1651" s="35">
        <v>24.92</v>
      </c>
      <c r="Z1651" s="1" t="s">
        <v>3014</v>
      </c>
      <c r="AA1651" s="36">
        <v>8.9075999999999986</v>
      </c>
      <c r="AB1651" s="54">
        <v>190.67989999999998</v>
      </c>
      <c r="AC1651" s="54">
        <v>9.377699999999999</v>
      </c>
      <c r="AD1651" s="36">
        <v>200.18639999999996</v>
      </c>
    </row>
    <row r="1652" spans="1:30" s="37" customFormat="1" ht="15.75" customHeight="1" x14ac:dyDescent="0.2">
      <c r="A1652" s="26">
        <v>1461</v>
      </c>
      <c r="B1652" s="27" t="s">
        <v>2738</v>
      </c>
      <c r="C1652" s="27" t="s">
        <v>38</v>
      </c>
      <c r="D1652" s="28">
        <v>0.05</v>
      </c>
      <c r="E1652" s="29">
        <v>12.95</v>
      </c>
      <c r="F1652" s="29">
        <v>4.9800000000000004</v>
      </c>
      <c r="G1652" s="30" t="s">
        <v>39</v>
      </c>
      <c r="H1652" s="27" t="s">
        <v>40</v>
      </c>
      <c r="I1652" s="27" t="s">
        <v>49</v>
      </c>
      <c r="J1652" s="27" t="s">
        <v>72</v>
      </c>
      <c r="K1652" s="27" t="s">
        <v>73</v>
      </c>
      <c r="L1652" s="31" t="s">
        <v>2739</v>
      </c>
      <c r="M1652" s="32">
        <v>0.4</v>
      </c>
      <c r="N1652" s="27" t="s">
        <v>33</v>
      </c>
      <c r="O1652" s="27" t="s">
        <v>53</v>
      </c>
      <c r="P1652" s="27" t="s">
        <v>54</v>
      </c>
      <c r="Q1652" s="27" t="s">
        <v>2029</v>
      </c>
      <c r="R1652" s="33">
        <v>47905</v>
      </c>
      <c r="S1652" s="34">
        <v>42157</v>
      </c>
      <c r="T1652" s="34">
        <v>42159</v>
      </c>
      <c r="U1652" s="29">
        <v>134.16825</v>
      </c>
      <c r="V1652" s="26">
        <v>19</v>
      </c>
      <c r="W1652" s="29">
        <v>252.36</v>
      </c>
      <c r="X1652" s="26">
        <v>86397</v>
      </c>
      <c r="Y1652" s="35">
        <v>3.68</v>
      </c>
      <c r="Z1652" s="1" t="s">
        <v>3012</v>
      </c>
      <c r="AA1652" s="36">
        <v>12.302499999999998</v>
      </c>
      <c r="AB1652" s="54">
        <v>151.416</v>
      </c>
      <c r="AC1652" s="54">
        <v>5.312842105263158</v>
      </c>
      <c r="AD1652" s="36">
        <v>100.90925000000001</v>
      </c>
    </row>
    <row r="1653" spans="1:30" s="37" customFormat="1" ht="15.75" customHeight="1" x14ac:dyDescent="0.2">
      <c r="A1653" s="26">
        <v>1170</v>
      </c>
      <c r="B1653" s="27" t="s">
        <v>2744</v>
      </c>
      <c r="C1653" s="27" t="s">
        <v>3094</v>
      </c>
      <c r="D1653" s="28">
        <v>0.09</v>
      </c>
      <c r="E1653" s="29">
        <v>9.7799999999999994</v>
      </c>
      <c r="F1653" s="29">
        <v>1.39</v>
      </c>
      <c r="G1653" s="30" t="s">
        <v>39</v>
      </c>
      <c r="H1653" s="27" t="s">
        <v>40</v>
      </c>
      <c r="I1653" s="27" t="s">
        <v>49</v>
      </c>
      <c r="J1653" s="27" t="s">
        <v>345</v>
      </c>
      <c r="K1653" s="27" t="s">
        <v>73</v>
      </c>
      <c r="L1653" s="31" t="s">
        <v>1511</v>
      </c>
      <c r="M1653" s="32">
        <v>0.39</v>
      </c>
      <c r="N1653" s="27" t="s">
        <v>33</v>
      </c>
      <c r="O1653" s="27" t="s">
        <v>111</v>
      </c>
      <c r="P1653" s="27" t="s">
        <v>1608</v>
      </c>
      <c r="Q1653" s="27" t="s">
        <v>2725</v>
      </c>
      <c r="R1653" s="33">
        <v>19711</v>
      </c>
      <c r="S1653" s="34">
        <v>42157</v>
      </c>
      <c r="T1653" s="34">
        <v>42158</v>
      </c>
      <c r="U1653" s="29">
        <v>125.20740000000001</v>
      </c>
      <c r="V1653" s="26">
        <v>19</v>
      </c>
      <c r="W1653" s="29">
        <v>181.46</v>
      </c>
      <c r="X1653" s="26">
        <v>87520</v>
      </c>
      <c r="Y1653" s="35">
        <v>5.3100000000000005</v>
      </c>
      <c r="Z1653" s="1" t="s">
        <v>3014</v>
      </c>
      <c r="AA1653" s="36">
        <v>16.723799999999997</v>
      </c>
      <c r="AB1653" s="54">
        <v>110.6906</v>
      </c>
      <c r="AC1653" s="54">
        <v>3.7247052631578952</v>
      </c>
      <c r="AD1653" s="36">
        <v>38.138800000000003</v>
      </c>
    </row>
    <row r="1654" spans="1:30" s="37" customFormat="1" ht="15.75" customHeight="1" x14ac:dyDescent="0.2">
      <c r="A1654" s="26">
        <v>210</v>
      </c>
      <c r="B1654" s="27" t="s">
        <v>579</v>
      </c>
      <c r="C1654" s="27" t="s">
        <v>116</v>
      </c>
      <c r="D1654" s="28">
        <v>0.02</v>
      </c>
      <c r="E1654" s="29">
        <v>20.28</v>
      </c>
      <c r="F1654" s="29">
        <v>6.68</v>
      </c>
      <c r="G1654" s="30" t="s">
        <v>39</v>
      </c>
      <c r="H1654" s="27" t="s">
        <v>71</v>
      </c>
      <c r="I1654" s="27" t="s">
        <v>29</v>
      </c>
      <c r="J1654" s="27" t="s">
        <v>126</v>
      </c>
      <c r="K1654" s="27" t="s">
        <v>73</v>
      </c>
      <c r="L1654" s="31" t="s">
        <v>2741</v>
      </c>
      <c r="M1654" s="32">
        <v>0.53</v>
      </c>
      <c r="N1654" s="27" t="s">
        <v>33</v>
      </c>
      <c r="O1654" s="27" t="s">
        <v>111</v>
      </c>
      <c r="P1654" s="27" t="s">
        <v>112</v>
      </c>
      <c r="Q1654" s="27" t="s">
        <v>581</v>
      </c>
      <c r="R1654" s="33">
        <v>12180</v>
      </c>
      <c r="S1654" s="34">
        <v>42157</v>
      </c>
      <c r="T1654" s="34">
        <v>42157</v>
      </c>
      <c r="U1654" s="29">
        <v>44.677500000000002</v>
      </c>
      <c r="V1654" s="26">
        <v>3</v>
      </c>
      <c r="W1654" s="29">
        <v>64.75</v>
      </c>
      <c r="X1654" s="26">
        <v>85966</v>
      </c>
      <c r="Y1654" s="35">
        <v>20.260000000000002</v>
      </c>
      <c r="Z1654" s="1" t="s">
        <v>3014</v>
      </c>
      <c r="AA1654" s="36">
        <v>1.2168000000000001</v>
      </c>
      <c r="AB1654" s="54">
        <v>30.432499999999997</v>
      </c>
      <c r="AC1654" s="54">
        <v>11.439166666666667</v>
      </c>
      <c r="AD1654" s="36">
        <v>12.175699999999999</v>
      </c>
    </row>
    <row r="1655" spans="1:30" s="37" customFormat="1" ht="15.75" customHeight="1" x14ac:dyDescent="0.2">
      <c r="A1655" s="26">
        <v>144</v>
      </c>
      <c r="B1655" s="27" t="s">
        <v>2736</v>
      </c>
      <c r="C1655" s="27" t="s">
        <v>26</v>
      </c>
      <c r="D1655" s="28">
        <v>0.05</v>
      </c>
      <c r="E1655" s="29">
        <v>10.98</v>
      </c>
      <c r="F1655" s="29">
        <v>3.37</v>
      </c>
      <c r="G1655" s="30" t="s">
        <v>39</v>
      </c>
      <c r="H1655" s="27" t="s">
        <v>3095</v>
      </c>
      <c r="I1655" s="27" t="s">
        <v>49</v>
      </c>
      <c r="J1655" s="27" t="s">
        <v>568</v>
      </c>
      <c r="K1655" s="27" t="s">
        <v>43</v>
      </c>
      <c r="L1655" s="31" t="s">
        <v>2129</v>
      </c>
      <c r="M1655" s="32">
        <v>0.56999999999999995</v>
      </c>
      <c r="N1655" s="27" t="s">
        <v>33</v>
      </c>
      <c r="O1655" s="27" t="s">
        <v>111</v>
      </c>
      <c r="P1655" s="27" t="s">
        <v>403</v>
      </c>
      <c r="Q1655" s="27" t="s">
        <v>2737</v>
      </c>
      <c r="R1655" s="33">
        <v>2664</v>
      </c>
      <c r="S1655" s="34">
        <v>42157</v>
      </c>
      <c r="T1655" s="34">
        <v>42158</v>
      </c>
      <c r="U1655" s="29">
        <v>-2.544</v>
      </c>
      <c r="V1655" s="26">
        <v>6</v>
      </c>
      <c r="W1655" s="29">
        <v>64.400000000000006</v>
      </c>
      <c r="X1655" s="26">
        <v>91087</v>
      </c>
      <c r="Y1655" s="35">
        <v>11.55</v>
      </c>
      <c r="Z1655" s="1" t="s">
        <v>3014</v>
      </c>
      <c r="AA1655" s="36">
        <v>3.2940000000000005</v>
      </c>
      <c r="AB1655" s="54">
        <v>27.692000000000007</v>
      </c>
      <c r="AC1655" s="54">
        <v>6.1180000000000003</v>
      </c>
      <c r="AD1655" s="36">
        <v>60.28</v>
      </c>
    </row>
    <row r="1656" spans="1:30" s="37" customFormat="1" ht="15.75" customHeight="1" x14ac:dyDescent="0.2">
      <c r="A1656" s="26">
        <v>210</v>
      </c>
      <c r="B1656" s="27" t="s">
        <v>579</v>
      </c>
      <c r="C1656" s="27" t="s">
        <v>116</v>
      </c>
      <c r="D1656" s="28">
        <v>0</v>
      </c>
      <c r="E1656" s="29">
        <v>11.55</v>
      </c>
      <c r="F1656" s="29">
        <v>2.36</v>
      </c>
      <c r="G1656" s="30" t="s">
        <v>39</v>
      </c>
      <c r="H1656" s="27" t="s">
        <v>71</v>
      </c>
      <c r="I1656" s="27" t="s">
        <v>49</v>
      </c>
      <c r="J1656" s="27" t="s">
        <v>50</v>
      </c>
      <c r="K1656" s="27" t="s">
        <v>51</v>
      </c>
      <c r="L1656" s="31" t="s">
        <v>380</v>
      </c>
      <c r="M1656" s="32">
        <v>0.55000000000000004</v>
      </c>
      <c r="N1656" s="27" t="s">
        <v>33</v>
      </c>
      <c r="O1656" s="27" t="s">
        <v>111</v>
      </c>
      <c r="P1656" s="27" t="s">
        <v>112</v>
      </c>
      <c r="Q1656" s="27" t="s">
        <v>581</v>
      </c>
      <c r="R1656" s="33">
        <v>12180</v>
      </c>
      <c r="S1656" s="34">
        <v>42157</v>
      </c>
      <c r="T1656" s="34">
        <v>42158</v>
      </c>
      <c r="U1656" s="29">
        <v>23.594999999999999</v>
      </c>
      <c r="V1656" s="26">
        <v>5</v>
      </c>
      <c r="W1656" s="29">
        <v>62.98</v>
      </c>
      <c r="X1656" s="26">
        <v>85966</v>
      </c>
      <c r="Y1656" s="35">
        <v>2.0300000000000002</v>
      </c>
      <c r="Z1656" s="1" t="s">
        <v>3014</v>
      </c>
      <c r="AA1656" s="36">
        <v>0</v>
      </c>
      <c r="AB1656" s="54">
        <v>28.340999999999998</v>
      </c>
      <c r="AC1656" s="54">
        <v>6.9278000000000004</v>
      </c>
      <c r="AD1656" s="36">
        <v>37.024999999999999</v>
      </c>
    </row>
    <row r="1657" spans="1:30" s="37" customFormat="1" ht="15.75" customHeight="1" x14ac:dyDescent="0.2">
      <c r="A1657" s="26">
        <v>2334</v>
      </c>
      <c r="B1657" s="27" t="s">
        <v>2038</v>
      </c>
      <c r="C1657" s="27" t="s">
        <v>48</v>
      </c>
      <c r="D1657" s="28">
        <v>0.06</v>
      </c>
      <c r="E1657" s="29">
        <v>3.74</v>
      </c>
      <c r="F1657" s="29">
        <v>0.94</v>
      </c>
      <c r="G1657" s="30" t="s">
        <v>39</v>
      </c>
      <c r="H1657" s="27" t="s">
        <v>71</v>
      </c>
      <c r="I1657" s="27" t="s">
        <v>49</v>
      </c>
      <c r="J1657" s="27" t="s">
        <v>176</v>
      </c>
      <c r="K1657" s="27" t="s">
        <v>51</v>
      </c>
      <c r="L1657" s="31" t="s">
        <v>2740</v>
      </c>
      <c r="M1657" s="32">
        <v>0.83</v>
      </c>
      <c r="N1657" s="27" t="s">
        <v>33</v>
      </c>
      <c r="O1657" s="27" t="s">
        <v>53</v>
      </c>
      <c r="P1657" s="27" t="s">
        <v>357</v>
      </c>
      <c r="Q1657" s="27" t="s">
        <v>2039</v>
      </c>
      <c r="R1657" s="33">
        <v>53220</v>
      </c>
      <c r="S1657" s="34">
        <v>42157</v>
      </c>
      <c r="T1657" s="34">
        <v>42164</v>
      </c>
      <c r="U1657" s="29">
        <v>-7.6849999999999996</v>
      </c>
      <c r="V1657" s="26">
        <v>12</v>
      </c>
      <c r="W1657" s="29">
        <v>44.75</v>
      </c>
      <c r="X1657" s="26">
        <v>89610</v>
      </c>
      <c r="Y1657" s="35">
        <v>179.28</v>
      </c>
      <c r="Z1657" s="1" t="s">
        <v>3012</v>
      </c>
      <c r="AA1657" s="36">
        <v>2.6928000000000001</v>
      </c>
      <c r="AB1657" s="54">
        <v>7.6075000000000017</v>
      </c>
      <c r="AC1657" s="54">
        <v>3.0952083333333329</v>
      </c>
      <c r="AD1657" s="36">
        <v>48.802199999999999</v>
      </c>
    </row>
    <row r="1658" spans="1:30" s="37" customFormat="1" ht="15.75" customHeight="1" x14ac:dyDescent="0.2">
      <c r="A1658" s="26">
        <v>211</v>
      </c>
      <c r="B1658" s="27" t="s">
        <v>262</v>
      </c>
      <c r="C1658" s="27" t="s">
        <v>116</v>
      </c>
      <c r="D1658" s="28">
        <v>0.05</v>
      </c>
      <c r="E1658" s="29">
        <v>2.08</v>
      </c>
      <c r="F1658" s="29">
        <v>2.56</v>
      </c>
      <c r="G1658" s="30" t="s">
        <v>39</v>
      </c>
      <c r="H1658" s="27" t="s">
        <v>71</v>
      </c>
      <c r="I1658" s="27" t="s">
        <v>49</v>
      </c>
      <c r="J1658" s="27" t="s">
        <v>568</v>
      </c>
      <c r="K1658" s="27" t="s">
        <v>43</v>
      </c>
      <c r="L1658" s="31" t="s">
        <v>1167</v>
      </c>
      <c r="M1658" s="32">
        <v>0.55000000000000004</v>
      </c>
      <c r="N1658" s="27" t="s">
        <v>33</v>
      </c>
      <c r="O1658" s="27" t="s">
        <v>111</v>
      </c>
      <c r="P1658" s="27" t="s">
        <v>112</v>
      </c>
      <c r="Q1658" s="27" t="s">
        <v>263</v>
      </c>
      <c r="R1658" s="33">
        <v>13501</v>
      </c>
      <c r="S1658" s="34">
        <v>42157</v>
      </c>
      <c r="T1658" s="34">
        <v>42158</v>
      </c>
      <c r="U1658" s="29">
        <v>-36.25</v>
      </c>
      <c r="V1658" s="26">
        <v>20</v>
      </c>
      <c r="W1658" s="29">
        <v>42.29</v>
      </c>
      <c r="X1658" s="26">
        <v>85966</v>
      </c>
      <c r="Y1658" s="35">
        <v>9.69</v>
      </c>
      <c r="Z1658" s="1" t="s">
        <v>3014</v>
      </c>
      <c r="AA1658" s="36">
        <v>2.08</v>
      </c>
      <c r="AB1658" s="54">
        <v>19.030499999999996</v>
      </c>
      <c r="AC1658" s="54">
        <v>1.1629750000000001</v>
      </c>
      <c r="AD1658" s="36">
        <v>73.900000000000006</v>
      </c>
    </row>
    <row r="1659" spans="1:30" s="37" customFormat="1" ht="15.75" customHeight="1" x14ac:dyDescent="0.2">
      <c r="A1659" s="26">
        <v>1997</v>
      </c>
      <c r="B1659" s="27" t="s">
        <v>774</v>
      </c>
      <c r="C1659" s="27" t="s">
        <v>48</v>
      </c>
      <c r="D1659" s="28">
        <v>0</v>
      </c>
      <c r="E1659" s="29">
        <v>24.92</v>
      </c>
      <c r="F1659" s="29">
        <v>12.98</v>
      </c>
      <c r="G1659" s="30" t="s">
        <v>39</v>
      </c>
      <c r="H1659" s="27" t="s">
        <v>40</v>
      </c>
      <c r="I1659" s="27" t="s">
        <v>49</v>
      </c>
      <c r="J1659" s="27" t="s">
        <v>72</v>
      </c>
      <c r="K1659" s="27" t="s">
        <v>73</v>
      </c>
      <c r="L1659" s="31" t="s">
        <v>1731</v>
      </c>
      <c r="M1659" s="32">
        <v>0.39</v>
      </c>
      <c r="N1659" s="27" t="s">
        <v>33</v>
      </c>
      <c r="O1659" s="27" t="s">
        <v>34</v>
      </c>
      <c r="P1659" s="27" t="s">
        <v>271</v>
      </c>
      <c r="Q1659" s="27" t="s">
        <v>272</v>
      </c>
      <c r="R1659" s="33">
        <v>29915</v>
      </c>
      <c r="S1659" s="34">
        <v>42157</v>
      </c>
      <c r="T1659" s="34">
        <v>42157</v>
      </c>
      <c r="U1659" s="29">
        <v>-23.155999999999999</v>
      </c>
      <c r="V1659" s="26">
        <v>1</v>
      </c>
      <c r="W1659" s="29">
        <v>32.659999999999997</v>
      </c>
      <c r="X1659" s="26">
        <v>90335</v>
      </c>
      <c r="Y1659" s="35">
        <v>200.99</v>
      </c>
      <c r="Z1659" s="1" t="s">
        <v>3011</v>
      </c>
      <c r="AA1659" s="36">
        <v>0</v>
      </c>
      <c r="AB1659" s="54">
        <v>19.922599999999999</v>
      </c>
      <c r="AC1659" s="54">
        <v>12.737399999999999</v>
      </c>
      <c r="AD1659" s="36">
        <v>42.835999999999999</v>
      </c>
    </row>
    <row r="1660" spans="1:30" s="37" customFormat="1" ht="15.75" customHeight="1" x14ac:dyDescent="0.2">
      <c r="A1660" s="26">
        <v>210</v>
      </c>
      <c r="B1660" s="27" t="s">
        <v>579</v>
      </c>
      <c r="C1660" s="27" t="s">
        <v>116</v>
      </c>
      <c r="D1660" s="28">
        <v>0.09</v>
      </c>
      <c r="E1660" s="29">
        <v>5.4</v>
      </c>
      <c r="F1660" s="29">
        <v>7.78</v>
      </c>
      <c r="G1660" s="30" t="s">
        <v>87</v>
      </c>
      <c r="H1660" s="27" t="s">
        <v>71</v>
      </c>
      <c r="I1660" s="27" t="s">
        <v>49</v>
      </c>
      <c r="J1660" s="27" t="s">
        <v>72</v>
      </c>
      <c r="K1660" s="27" t="s">
        <v>73</v>
      </c>
      <c r="L1660" s="31" t="s">
        <v>1484</v>
      </c>
      <c r="M1660" s="32">
        <v>0.37</v>
      </c>
      <c r="N1660" s="27" t="s">
        <v>33</v>
      </c>
      <c r="O1660" s="27" t="s">
        <v>111</v>
      </c>
      <c r="P1660" s="27" t="s">
        <v>112</v>
      </c>
      <c r="Q1660" s="27" t="s">
        <v>581</v>
      </c>
      <c r="R1660" s="33">
        <v>12180</v>
      </c>
      <c r="S1660" s="34">
        <v>42157</v>
      </c>
      <c r="T1660" s="34">
        <v>42157</v>
      </c>
      <c r="U1660" s="29">
        <v>-21.487749999999998</v>
      </c>
      <c r="V1660" s="26">
        <v>4</v>
      </c>
      <c r="W1660" s="29">
        <v>27.3</v>
      </c>
      <c r="X1660" s="26">
        <v>85966</v>
      </c>
      <c r="Y1660" s="35">
        <v>136.95999999999998</v>
      </c>
      <c r="Z1660" s="1" t="s">
        <v>3014</v>
      </c>
      <c r="AA1660" s="36">
        <v>1.944</v>
      </c>
      <c r="AB1660" s="54">
        <v>17.199000000000002</v>
      </c>
      <c r="AC1660" s="54">
        <v>2.5252500000000002</v>
      </c>
      <c r="AD1660" s="36">
        <v>39.063749999999999</v>
      </c>
    </row>
    <row r="1661" spans="1:30" s="37" customFormat="1" ht="15.75" customHeight="1" x14ac:dyDescent="0.2">
      <c r="A1661" s="26">
        <v>2268</v>
      </c>
      <c r="B1661" s="27" t="s">
        <v>2748</v>
      </c>
      <c r="C1661" s="27" t="s">
        <v>48</v>
      </c>
      <c r="D1661" s="28">
        <v>0.08</v>
      </c>
      <c r="E1661" s="29">
        <v>259.70999999999998</v>
      </c>
      <c r="F1661" s="29">
        <v>66.67</v>
      </c>
      <c r="G1661" s="30" t="s">
        <v>27</v>
      </c>
      <c r="H1661" s="27" t="s">
        <v>3095</v>
      </c>
      <c r="I1661" s="27" t="s">
        <v>29</v>
      </c>
      <c r="J1661" s="27" t="s">
        <v>30</v>
      </c>
      <c r="K1661" s="27" t="s">
        <v>31</v>
      </c>
      <c r="L1661" s="31" t="s">
        <v>1026</v>
      </c>
      <c r="M1661" s="32">
        <v>0.61</v>
      </c>
      <c r="N1661" s="27" t="s">
        <v>33</v>
      </c>
      <c r="O1661" s="27" t="s">
        <v>34</v>
      </c>
      <c r="P1661" s="27" t="s">
        <v>123</v>
      </c>
      <c r="Q1661" s="27" t="s">
        <v>2749</v>
      </c>
      <c r="R1661" s="33">
        <v>34639</v>
      </c>
      <c r="S1661" s="34">
        <v>42158</v>
      </c>
      <c r="T1661" s="34">
        <v>42162</v>
      </c>
      <c r="U1661" s="29">
        <v>138.22200000000001</v>
      </c>
      <c r="V1661" s="26">
        <v>17</v>
      </c>
      <c r="W1661" s="29">
        <v>4086.5</v>
      </c>
      <c r="X1661" s="26">
        <v>89571</v>
      </c>
      <c r="Y1661" s="35">
        <v>2.52</v>
      </c>
      <c r="Z1661" s="1" t="s">
        <v>3011</v>
      </c>
      <c r="AA1661" s="36">
        <v>353.20559999999995</v>
      </c>
      <c r="AB1661" s="54">
        <v>1593.7350000000001</v>
      </c>
      <c r="AC1661" s="54">
        <v>146.63323529411764</v>
      </c>
      <c r="AD1661" s="36">
        <v>3528.4023999999999</v>
      </c>
    </row>
    <row r="1662" spans="1:30" s="37" customFormat="1" ht="15.75" customHeight="1" x14ac:dyDescent="0.2">
      <c r="A1662" s="26">
        <v>87</v>
      </c>
      <c r="B1662" s="27" t="s">
        <v>1786</v>
      </c>
      <c r="C1662" s="27" t="s">
        <v>48</v>
      </c>
      <c r="D1662" s="28">
        <v>0.05</v>
      </c>
      <c r="E1662" s="29">
        <v>161.55000000000001</v>
      </c>
      <c r="F1662" s="29">
        <v>19.989999999999998</v>
      </c>
      <c r="G1662" s="30" t="s">
        <v>39</v>
      </c>
      <c r="H1662" s="27" t="s">
        <v>94</v>
      </c>
      <c r="I1662" s="27" t="s">
        <v>49</v>
      </c>
      <c r="J1662" s="27" t="s">
        <v>78</v>
      </c>
      <c r="K1662" s="27" t="s">
        <v>73</v>
      </c>
      <c r="L1662" s="31" t="s">
        <v>79</v>
      </c>
      <c r="M1662" s="32">
        <v>0.66</v>
      </c>
      <c r="N1662" s="27" t="s">
        <v>33</v>
      </c>
      <c r="O1662" s="27" t="s">
        <v>60</v>
      </c>
      <c r="P1662" s="27" t="s">
        <v>90</v>
      </c>
      <c r="Q1662" s="27" t="s">
        <v>1787</v>
      </c>
      <c r="R1662" s="33">
        <v>95687</v>
      </c>
      <c r="S1662" s="34">
        <v>42158</v>
      </c>
      <c r="T1662" s="34">
        <v>42163</v>
      </c>
      <c r="U1662" s="29">
        <v>1892.424</v>
      </c>
      <c r="V1662" s="26">
        <v>19</v>
      </c>
      <c r="W1662" s="29">
        <v>3127.69</v>
      </c>
      <c r="X1662" s="26">
        <v>90596</v>
      </c>
      <c r="Y1662" s="35">
        <v>161.5</v>
      </c>
      <c r="Z1662" s="1" t="s">
        <v>3013</v>
      </c>
      <c r="AA1662" s="36">
        <v>153.47250000000003</v>
      </c>
      <c r="AB1662" s="54">
        <v>1063.4145999999998</v>
      </c>
      <c r="AC1662" s="54">
        <v>108.64607368421052</v>
      </c>
      <c r="AD1662" s="36">
        <v>1061.8035</v>
      </c>
    </row>
    <row r="1663" spans="1:30" s="37" customFormat="1" ht="15.75" customHeight="1" x14ac:dyDescent="0.2">
      <c r="A1663" s="26">
        <v>3151</v>
      </c>
      <c r="B1663" s="27" t="s">
        <v>953</v>
      </c>
      <c r="C1663" s="27" t="s">
        <v>3094</v>
      </c>
      <c r="D1663" s="28">
        <v>0.01</v>
      </c>
      <c r="E1663" s="29">
        <v>145.97999999999999</v>
      </c>
      <c r="F1663" s="29">
        <v>46.2</v>
      </c>
      <c r="G1663" s="30" t="s">
        <v>27</v>
      </c>
      <c r="H1663" s="27" t="s">
        <v>94</v>
      </c>
      <c r="I1663" s="27" t="s">
        <v>29</v>
      </c>
      <c r="J1663" s="27" t="s">
        <v>30</v>
      </c>
      <c r="K1663" s="27" t="s">
        <v>31</v>
      </c>
      <c r="L1663" s="31" t="s">
        <v>2756</v>
      </c>
      <c r="M1663" s="32">
        <v>0.69</v>
      </c>
      <c r="N1663" s="27" t="s">
        <v>33</v>
      </c>
      <c r="O1663" s="27" t="s">
        <v>60</v>
      </c>
      <c r="P1663" s="27" t="s">
        <v>90</v>
      </c>
      <c r="Q1663" s="27" t="s">
        <v>954</v>
      </c>
      <c r="R1663" s="33">
        <v>92277</v>
      </c>
      <c r="S1663" s="34">
        <v>42158</v>
      </c>
      <c r="T1663" s="34">
        <v>42158</v>
      </c>
      <c r="U1663" s="29">
        <v>-134.512</v>
      </c>
      <c r="V1663" s="26">
        <v>9</v>
      </c>
      <c r="W1663" s="29">
        <v>1370.79</v>
      </c>
      <c r="X1663" s="26">
        <v>88543</v>
      </c>
      <c r="Y1663" s="35">
        <v>259.63</v>
      </c>
      <c r="Z1663" s="1" t="s">
        <v>3013</v>
      </c>
      <c r="AA1663" s="36">
        <v>13.138199999999999</v>
      </c>
      <c r="AB1663" s="54">
        <v>424.94490000000008</v>
      </c>
      <c r="AC1663" s="54">
        <v>105.09389999999999</v>
      </c>
      <c r="AD1663" s="36">
        <v>1445.9638</v>
      </c>
    </row>
    <row r="1664" spans="1:30" s="37" customFormat="1" ht="15.75" customHeight="1" x14ac:dyDescent="0.2">
      <c r="A1664" s="26">
        <v>1357</v>
      </c>
      <c r="B1664" s="27" t="s">
        <v>2750</v>
      </c>
      <c r="C1664" s="27" t="s">
        <v>116</v>
      </c>
      <c r="D1664" s="28">
        <v>0.03</v>
      </c>
      <c r="E1664" s="29">
        <v>125.99</v>
      </c>
      <c r="F1664" s="29">
        <v>7.69</v>
      </c>
      <c r="G1664" s="30" t="s">
        <v>39</v>
      </c>
      <c r="H1664" s="27" t="s">
        <v>71</v>
      </c>
      <c r="I1664" s="27" t="s">
        <v>41</v>
      </c>
      <c r="J1664" s="27" t="s">
        <v>135</v>
      </c>
      <c r="K1664" s="27" t="s">
        <v>73</v>
      </c>
      <c r="L1664" s="31" t="s">
        <v>1049</v>
      </c>
      <c r="M1664" s="32">
        <v>0.57999999999999996</v>
      </c>
      <c r="N1664" s="27" t="s">
        <v>33</v>
      </c>
      <c r="O1664" s="27" t="s">
        <v>53</v>
      </c>
      <c r="P1664" s="27" t="s">
        <v>187</v>
      </c>
      <c r="Q1664" s="27" t="s">
        <v>2751</v>
      </c>
      <c r="R1664" s="33">
        <v>78596</v>
      </c>
      <c r="S1664" s="34">
        <v>42158</v>
      </c>
      <c r="T1664" s="34">
        <v>42160</v>
      </c>
      <c r="U1664" s="29">
        <v>500.95800000000003</v>
      </c>
      <c r="V1664" s="26">
        <v>9</v>
      </c>
      <c r="W1664" s="29">
        <v>981.65</v>
      </c>
      <c r="X1664" s="26">
        <v>88184</v>
      </c>
      <c r="Y1664" s="35">
        <v>125.96</v>
      </c>
      <c r="Z1664" s="1" t="s">
        <v>3012</v>
      </c>
      <c r="AA1664" s="36">
        <v>34.017299999999999</v>
      </c>
      <c r="AB1664" s="54">
        <v>412.29300000000001</v>
      </c>
      <c r="AC1664" s="54">
        <v>63.261888888888883</v>
      </c>
      <c r="AD1664" s="36">
        <v>438.98469999999998</v>
      </c>
    </row>
    <row r="1665" spans="1:30" s="37" customFormat="1" ht="15.75" customHeight="1" x14ac:dyDescent="0.2">
      <c r="A1665" s="26">
        <v>1737</v>
      </c>
      <c r="B1665" s="27" t="s">
        <v>2752</v>
      </c>
      <c r="C1665" s="27" t="s">
        <v>3094</v>
      </c>
      <c r="D1665" s="28">
        <v>0.09</v>
      </c>
      <c r="E1665" s="29">
        <v>30.93</v>
      </c>
      <c r="F1665" s="29">
        <v>3.92</v>
      </c>
      <c r="G1665" s="30" t="s">
        <v>39</v>
      </c>
      <c r="H1665" s="27" t="s">
        <v>94</v>
      </c>
      <c r="I1665" s="27" t="s">
        <v>29</v>
      </c>
      <c r="J1665" s="27" t="s">
        <v>126</v>
      </c>
      <c r="K1665" s="27" t="s">
        <v>43</v>
      </c>
      <c r="L1665" s="31" t="s">
        <v>1651</v>
      </c>
      <c r="M1665" s="32">
        <v>0.44</v>
      </c>
      <c r="N1665" s="27" t="s">
        <v>33</v>
      </c>
      <c r="O1665" s="27" t="s">
        <v>34</v>
      </c>
      <c r="P1665" s="27" t="s">
        <v>97</v>
      </c>
      <c r="Q1665" s="27" t="s">
        <v>1554</v>
      </c>
      <c r="R1665" s="33">
        <v>27529</v>
      </c>
      <c r="S1665" s="34">
        <v>42158</v>
      </c>
      <c r="T1665" s="34">
        <v>42160</v>
      </c>
      <c r="U1665" s="29">
        <v>-130.42400000000001</v>
      </c>
      <c r="V1665" s="26">
        <v>16</v>
      </c>
      <c r="W1665" s="29">
        <v>451.83</v>
      </c>
      <c r="X1665" s="26">
        <v>85866</v>
      </c>
      <c r="Y1665" s="35">
        <v>30.84</v>
      </c>
      <c r="Z1665" s="1" t="s">
        <v>3011</v>
      </c>
      <c r="AA1665" s="36">
        <v>44.539200000000001</v>
      </c>
      <c r="AB1665" s="54">
        <v>253.02480000000003</v>
      </c>
      <c r="AC1665" s="54">
        <v>12.425324999999999</v>
      </c>
      <c r="AD1665" s="36">
        <v>533.79480000000001</v>
      </c>
    </row>
    <row r="1666" spans="1:30" s="37" customFormat="1" ht="15.75" customHeight="1" x14ac:dyDescent="0.2">
      <c r="A1666" s="26">
        <v>1389</v>
      </c>
      <c r="B1666" s="27" t="s">
        <v>769</v>
      </c>
      <c r="C1666" s="27" t="s">
        <v>38</v>
      </c>
      <c r="D1666" s="28">
        <v>0.09</v>
      </c>
      <c r="E1666" s="29">
        <v>2.61</v>
      </c>
      <c r="F1666" s="29">
        <v>0.5</v>
      </c>
      <c r="G1666" s="30" t="s">
        <v>39</v>
      </c>
      <c r="H1666" s="27" t="s">
        <v>40</v>
      </c>
      <c r="I1666" s="27" t="s">
        <v>49</v>
      </c>
      <c r="J1666" s="27" t="s">
        <v>152</v>
      </c>
      <c r="K1666" s="27" t="s">
        <v>73</v>
      </c>
      <c r="L1666" s="31" t="s">
        <v>1367</v>
      </c>
      <c r="M1666" s="32">
        <v>0.39</v>
      </c>
      <c r="N1666" s="27" t="s">
        <v>33</v>
      </c>
      <c r="O1666" s="27" t="s">
        <v>60</v>
      </c>
      <c r="P1666" s="27" t="s">
        <v>90</v>
      </c>
      <c r="Q1666" s="27" t="s">
        <v>771</v>
      </c>
      <c r="R1666" s="33">
        <v>94025</v>
      </c>
      <c r="S1666" s="34">
        <v>42158</v>
      </c>
      <c r="T1666" s="34">
        <v>42160</v>
      </c>
      <c r="U1666" s="29">
        <v>29.380199999999999</v>
      </c>
      <c r="V1666" s="26">
        <v>17</v>
      </c>
      <c r="W1666" s="29">
        <v>42.58</v>
      </c>
      <c r="X1666" s="26">
        <v>88729</v>
      </c>
      <c r="Y1666" s="35">
        <v>1.65</v>
      </c>
      <c r="Z1666" s="1" t="s">
        <v>3013</v>
      </c>
      <c r="AA1666" s="36">
        <v>3.9932999999999996</v>
      </c>
      <c r="AB1666" s="54">
        <v>25.973799999999997</v>
      </c>
      <c r="AC1666" s="54">
        <v>0.97683529411764702</v>
      </c>
      <c r="AD1666" s="36">
        <v>8.7064999999999984</v>
      </c>
    </row>
    <row r="1667" spans="1:30" s="37" customFormat="1" ht="15.75" customHeight="1" x14ac:dyDescent="0.2">
      <c r="A1667" s="26">
        <v>1737</v>
      </c>
      <c r="B1667" s="27" t="s">
        <v>2752</v>
      </c>
      <c r="C1667" s="27" t="s">
        <v>3094</v>
      </c>
      <c r="D1667" s="28">
        <v>0.03</v>
      </c>
      <c r="E1667" s="29">
        <v>1.68</v>
      </c>
      <c r="F1667" s="29">
        <v>0.7</v>
      </c>
      <c r="G1667" s="30" t="s">
        <v>87</v>
      </c>
      <c r="H1667" s="27" t="s">
        <v>94</v>
      </c>
      <c r="I1667" s="27" t="s">
        <v>49</v>
      </c>
      <c r="J1667" s="27" t="s">
        <v>50</v>
      </c>
      <c r="K1667" s="27" t="s">
        <v>51</v>
      </c>
      <c r="L1667" s="31" t="s">
        <v>2753</v>
      </c>
      <c r="M1667" s="32">
        <v>0.6</v>
      </c>
      <c r="N1667" s="27" t="s">
        <v>33</v>
      </c>
      <c r="O1667" s="27" t="s">
        <v>34</v>
      </c>
      <c r="P1667" s="27" t="s">
        <v>97</v>
      </c>
      <c r="Q1667" s="27" t="s">
        <v>1554</v>
      </c>
      <c r="R1667" s="33">
        <v>27529</v>
      </c>
      <c r="S1667" s="34">
        <v>42158</v>
      </c>
      <c r="T1667" s="34">
        <v>42160</v>
      </c>
      <c r="U1667" s="29">
        <v>-106.42100000000001</v>
      </c>
      <c r="V1667" s="26">
        <v>11</v>
      </c>
      <c r="W1667" s="29">
        <v>20.239999999999998</v>
      </c>
      <c r="X1667" s="26">
        <v>85866</v>
      </c>
      <c r="Y1667" s="35">
        <v>4.3600000000000003</v>
      </c>
      <c r="Z1667" s="1" t="s">
        <v>3011</v>
      </c>
      <c r="AA1667" s="36">
        <v>0.55439999999999989</v>
      </c>
      <c r="AB1667" s="54">
        <v>8.0960000000000001</v>
      </c>
      <c r="AC1667" s="54">
        <v>1.1039999999999999</v>
      </c>
      <c r="AD1667" s="36">
        <v>125.4066</v>
      </c>
    </row>
    <row r="1668" spans="1:30" s="37" customFormat="1" ht="15.75" customHeight="1" x14ac:dyDescent="0.2">
      <c r="A1668" s="26">
        <v>1998</v>
      </c>
      <c r="B1668" s="27" t="s">
        <v>2754</v>
      </c>
      <c r="C1668" s="27" t="s">
        <v>3094</v>
      </c>
      <c r="D1668" s="28">
        <v>0.06</v>
      </c>
      <c r="E1668" s="29">
        <v>4.42</v>
      </c>
      <c r="F1668" s="29">
        <v>4.99</v>
      </c>
      <c r="G1668" s="30" t="s">
        <v>39</v>
      </c>
      <c r="H1668" s="27" t="s">
        <v>94</v>
      </c>
      <c r="I1668" s="27" t="s">
        <v>49</v>
      </c>
      <c r="J1668" s="27" t="s">
        <v>345</v>
      </c>
      <c r="K1668" s="27" t="s">
        <v>73</v>
      </c>
      <c r="L1668" s="31" t="s">
        <v>2072</v>
      </c>
      <c r="M1668" s="32">
        <v>0.38</v>
      </c>
      <c r="N1668" s="27" t="s">
        <v>33</v>
      </c>
      <c r="O1668" s="27" t="s">
        <v>111</v>
      </c>
      <c r="P1668" s="27" t="s">
        <v>112</v>
      </c>
      <c r="Q1668" s="27" t="s">
        <v>2755</v>
      </c>
      <c r="R1668" s="33">
        <v>11758</v>
      </c>
      <c r="S1668" s="34">
        <v>42158</v>
      </c>
      <c r="T1668" s="34">
        <v>42160</v>
      </c>
      <c r="U1668" s="29">
        <v>-10.435</v>
      </c>
      <c r="V1668" s="26">
        <v>3</v>
      </c>
      <c r="W1668" s="29">
        <v>14.85</v>
      </c>
      <c r="X1668" s="26">
        <v>90568</v>
      </c>
      <c r="Y1668" s="35">
        <v>145.97</v>
      </c>
      <c r="Z1668" s="1" t="s">
        <v>3014</v>
      </c>
      <c r="AA1668" s="36">
        <v>0.79559999999999997</v>
      </c>
      <c r="AB1668" s="54">
        <v>9.206999999999999</v>
      </c>
      <c r="AC1668" s="54">
        <v>1.881</v>
      </c>
      <c r="AD1668" s="36">
        <v>19.499400000000001</v>
      </c>
    </row>
    <row r="1669" spans="1:30" s="37" customFormat="1" ht="15.75" customHeight="1" x14ac:dyDescent="0.2">
      <c r="A1669" s="26">
        <v>1233</v>
      </c>
      <c r="B1669" s="27" t="s">
        <v>2097</v>
      </c>
      <c r="C1669" s="27" t="s">
        <v>38</v>
      </c>
      <c r="D1669" s="28">
        <v>0.04</v>
      </c>
      <c r="E1669" s="29">
        <v>205.99</v>
      </c>
      <c r="F1669" s="29">
        <v>5.26</v>
      </c>
      <c r="G1669" s="30" t="s">
        <v>39</v>
      </c>
      <c r="H1669" s="27" t="s">
        <v>40</v>
      </c>
      <c r="I1669" s="27" t="s">
        <v>41</v>
      </c>
      <c r="J1669" s="27" t="s">
        <v>135</v>
      </c>
      <c r="K1669" s="27" t="s">
        <v>73</v>
      </c>
      <c r="L1669" s="31" t="s">
        <v>1552</v>
      </c>
      <c r="M1669" s="32">
        <v>0.56000000000000005</v>
      </c>
      <c r="N1669" s="27" t="s">
        <v>33</v>
      </c>
      <c r="O1669" s="27" t="s">
        <v>53</v>
      </c>
      <c r="P1669" s="27" t="s">
        <v>187</v>
      </c>
      <c r="Q1669" s="27" t="s">
        <v>2098</v>
      </c>
      <c r="R1669" s="33">
        <v>75028</v>
      </c>
      <c r="S1669" s="34">
        <v>42159</v>
      </c>
      <c r="T1669" s="34">
        <v>42160</v>
      </c>
      <c r="U1669" s="29">
        <v>-0.81399999999999995</v>
      </c>
      <c r="V1669" s="26">
        <v>6</v>
      </c>
      <c r="W1669" s="29">
        <v>1018.61</v>
      </c>
      <c r="X1669" s="26">
        <v>89376</v>
      </c>
      <c r="Y1669" s="35">
        <v>218.69</v>
      </c>
      <c r="Z1669" s="1" t="s">
        <v>3012</v>
      </c>
      <c r="AA1669" s="36">
        <v>49.437600000000003</v>
      </c>
      <c r="AB1669" s="54">
        <v>448.18839999999994</v>
      </c>
      <c r="AC1669" s="54">
        <v>95.070266666666683</v>
      </c>
      <c r="AD1669" s="36">
        <v>964.72640000000001</v>
      </c>
    </row>
    <row r="1670" spans="1:30" s="37" customFormat="1" ht="15.75" customHeight="1" x14ac:dyDescent="0.2">
      <c r="A1670" s="26">
        <v>2391</v>
      </c>
      <c r="B1670" s="27" t="s">
        <v>2678</v>
      </c>
      <c r="C1670" s="27" t="s">
        <v>3094</v>
      </c>
      <c r="D1670" s="28">
        <v>0</v>
      </c>
      <c r="E1670" s="29">
        <v>999.99</v>
      </c>
      <c r="F1670" s="29">
        <v>13.99</v>
      </c>
      <c r="G1670" s="30" t="s">
        <v>39</v>
      </c>
      <c r="H1670" s="27" t="s">
        <v>94</v>
      </c>
      <c r="I1670" s="27" t="s">
        <v>41</v>
      </c>
      <c r="J1670" s="27" t="s">
        <v>57</v>
      </c>
      <c r="K1670" s="27" t="s">
        <v>144</v>
      </c>
      <c r="L1670" s="31" t="s">
        <v>1016</v>
      </c>
      <c r="M1670" s="32">
        <v>0.36</v>
      </c>
      <c r="N1670" s="27" t="s">
        <v>33</v>
      </c>
      <c r="O1670" s="27" t="s">
        <v>111</v>
      </c>
      <c r="P1670" s="27" t="s">
        <v>112</v>
      </c>
      <c r="Q1670" s="27" t="s">
        <v>2680</v>
      </c>
      <c r="R1670" s="33">
        <v>11572</v>
      </c>
      <c r="S1670" s="34">
        <v>42159</v>
      </c>
      <c r="T1670" s="34">
        <v>42161</v>
      </c>
      <c r="U1670" s="29">
        <v>-1455.9972</v>
      </c>
      <c r="V1670" s="26">
        <v>1</v>
      </c>
      <c r="W1670" s="29">
        <v>1009.99</v>
      </c>
      <c r="X1670" s="26">
        <v>91123</v>
      </c>
      <c r="Y1670" s="35">
        <v>99.899999999999991</v>
      </c>
      <c r="Z1670" s="1" t="s">
        <v>3014</v>
      </c>
      <c r="AA1670" s="36">
        <v>0</v>
      </c>
      <c r="AB1670" s="54">
        <v>646.39359999999999</v>
      </c>
      <c r="AC1670" s="54">
        <v>363.59640000000002</v>
      </c>
      <c r="AD1670" s="36">
        <v>2451.9971999999998</v>
      </c>
    </row>
    <row r="1671" spans="1:30" s="37" customFormat="1" ht="15.75" customHeight="1" x14ac:dyDescent="0.2">
      <c r="A1671" s="26">
        <v>754</v>
      </c>
      <c r="B1671" s="27" t="s">
        <v>2150</v>
      </c>
      <c r="C1671" s="27" t="s">
        <v>38</v>
      </c>
      <c r="D1671" s="28">
        <v>0.06</v>
      </c>
      <c r="E1671" s="29">
        <v>218.75</v>
      </c>
      <c r="F1671" s="29">
        <v>69.64</v>
      </c>
      <c r="G1671" s="30" t="s">
        <v>27</v>
      </c>
      <c r="H1671" s="27" t="s">
        <v>94</v>
      </c>
      <c r="I1671" s="27" t="s">
        <v>29</v>
      </c>
      <c r="J1671" s="27" t="s">
        <v>30</v>
      </c>
      <c r="K1671" s="27" t="s">
        <v>31</v>
      </c>
      <c r="L1671" s="31" t="s">
        <v>874</v>
      </c>
      <c r="M1671" s="32">
        <v>0.77</v>
      </c>
      <c r="N1671" s="27" t="s">
        <v>33</v>
      </c>
      <c r="O1671" s="27" t="s">
        <v>60</v>
      </c>
      <c r="P1671" s="27" t="s">
        <v>588</v>
      </c>
      <c r="Q1671" s="27" t="s">
        <v>2152</v>
      </c>
      <c r="R1671" s="33">
        <v>86314</v>
      </c>
      <c r="S1671" s="34">
        <v>42159</v>
      </c>
      <c r="T1671" s="34">
        <v>42160</v>
      </c>
      <c r="U1671" s="29">
        <v>-453.2</v>
      </c>
      <c r="V1671" s="26">
        <v>4</v>
      </c>
      <c r="W1671" s="29">
        <v>905.4</v>
      </c>
      <c r="X1671" s="26">
        <v>90437</v>
      </c>
      <c r="Y1671" s="35">
        <v>205.95000000000002</v>
      </c>
      <c r="Z1671" s="1" t="s">
        <v>3013</v>
      </c>
      <c r="AA1671" s="36">
        <v>52.5</v>
      </c>
      <c r="AB1671" s="54">
        <v>208.24199999999999</v>
      </c>
      <c r="AC1671" s="54">
        <v>174.2895</v>
      </c>
      <c r="AD1671" s="36">
        <v>1236.46</v>
      </c>
    </row>
    <row r="1672" spans="1:30" s="37" customFormat="1" ht="15.75" customHeight="1" x14ac:dyDescent="0.2">
      <c r="A1672" s="26">
        <v>3238</v>
      </c>
      <c r="B1672" s="27" t="s">
        <v>2757</v>
      </c>
      <c r="C1672" s="27" t="s">
        <v>48</v>
      </c>
      <c r="D1672" s="28">
        <v>0.06</v>
      </c>
      <c r="E1672" s="29">
        <v>115.99</v>
      </c>
      <c r="F1672" s="29">
        <v>5.92</v>
      </c>
      <c r="G1672" s="30" t="s">
        <v>39</v>
      </c>
      <c r="H1672" s="27" t="s">
        <v>94</v>
      </c>
      <c r="I1672" s="27" t="s">
        <v>41</v>
      </c>
      <c r="J1672" s="27" t="s">
        <v>135</v>
      </c>
      <c r="K1672" s="27" t="s">
        <v>73</v>
      </c>
      <c r="L1672" s="31" t="s">
        <v>712</v>
      </c>
      <c r="M1672" s="32">
        <v>0.57999999999999996</v>
      </c>
      <c r="N1672" s="27" t="s">
        <v>33</v>
      </c>
      <c r="O1672" s="27" t="s">
        <v>60</v>
      </c>
      <c r="P1672" s="27" t="s">
        <v>139</v>
      </c>
      <c r="Q1672" s="27" t="s">
        <v>2758</v>
      </c>
      <c r="R1672" s="33">
        <v>97330</v>
      </c>
      <c r="S1672" s="34">
        <v>42159</v>
      </c>
      <c r="T1672" s="34">
        <v>42161</v>
      </c>
      <c r="U1672" s="29">
        <v>-13.068</v>
      </c>
      <c r="V1672" s="26">
        <v>5</v>
      </c>
      <c r="W1672" s="29">
        <v>495.82</v>
      </c>
      <c r="X1672" s="26">
        <v>89564</v>
      </c>
      <c r="Y1672" s="35">
        <v>115.92999999999999</v>
      </c>
      <c r="Z1672" s="1" t="s">
        <v>3013</v>
      </c>
      <c r="AA1672" s="36">
        <v>34.796999999999997</v>
      </c>
      <c r="AB1672" s="54">
        <v>208.24440000000001</v>
      </c>
      <c r="AC1672" s="54">
        <v>57.515119999999996</v>
      </c>
      <c r="AD1672" s="36">
        <v>468.17099999999999</v>
      </c>
    </row>
    <row r="1673" spans="1:30" s="37" customFormat="1" ht="15.75" customHeight="1" x14ac:dyDescent="0.2">
      <c r="A1673" s="26">
        <v>2548</v>
      </c>
      <c r="B1673" s="27" t="s">
        <v>1984</v>
      </c>
      <c r="C1673" s="27" t="s">
        <v>3094</v>
      </c>
      <c r="D1673" s="28">
        <v>0.09</v>
      </c>
      <c r="E1673" s="29">
        <v>5.98</v>
      </c>
      <c r="F1673" s="29">
        <v>1.67</v>
      </c>
      <c r="G1673" s="30" t="s">
        <v>39</v>
      </c>
      <c r="H1673" s="27" t="s">
        <v>3095</v>
      </c>
      <c r="I1673" s="27" t="s">
        <v>49</v>
      </c>
      <c r="J1673" s="27" t="s">
        <v>50</v>
      </c>
      <c r="K1673" s="27" t="s">
        <v>51</v>
      </c>
      <c r="L1673" s="31" t="s">
        <v>2759</v>
      </c>
      <c r="M1673" s="32">
        <v>0.51</v>
      </c>
      <c r="N1673" s="27" t="s">
        <v>33</v>
      </c>
      <c r="O1673" s="27" t="s">
        <v>60</v>
      </c>
      <c r="P1673" s="27" t="s">
        <v>90</v>
      </c>
      <c r="Q1673" s="27" t="s">
        <v>100</v>
      </c>
      <c r="R1673" s="33">
        <v>90068</v>
      </c>
      <c r="S1673" s="34">
        <v>42159</v>
      </c>
      <c r="T1673" s="34">
        <v>42162</v>
      </c>
      <c r="U1673" s="29">
        <v>23.87</v>
      </c>
      <c r="V1673" s="26">
        <v>81</v>
      </c>
      <c r="W1673" s="29">
        <v>448.26</v>
      </c>
      <c r="X1673" s="26">
        <v>29889</v>
      </c>
      <c r="Y1673" s="35">
        <v>999.99</v>
      </c>
      <c r="Z1673" s="1" t="s">
        <v>3013</v>
      </c>
      <c r="AA1673" s="36">
        <v>43.594200000000001</v>
      </c>
      <c r="AB1673" s="54">
        <v>219.6474</v>
      </c>
      <c r="AC1673" s="54">
        <v>2.8223777777777781</v>
      </c>
      <c r="AD1673" s="36">
        <v>379.12580000000003</v>
      </c>
    </row>
    <row r="1674" spans="1:30" s="37" customFormat="1" ht="15.75" customHeight="1" x14ac:dyDescent="0.2">
      <c r="A1674" s="26">
        <v>2549</v>
      </c>
      <c r="B1674" s="27" t="s">
        <v>2251</v>
      </c>
      <c r="C1674" s="27" t="s">
        <v>3094</v>
      </c>
      <c r="D1674" s="28">
        <v>0.09</v>
      </c>
      <c r="E1674" s="29">
        <v>5.98</v>
      </c>
      <c r="F1674" s="29">
        <v>1.67</v>
      </c>
      <c r="G1674" s="30" t="s">
        <v>39</v>
      </c>
      <c r="H1674" s="27" t="s">
        <v>3095</v>
      </c>
      <c r="I1674" s="27" t="s">
        <v>49</v>
      </c>
      <c r="J1674" s="27" t="s">
        <v>50</v>
      </c>
      <c r="K1674" s="27" t="s">
        <v>51</v>
      </c>
      <c r="L1674" s="31" t="s">
        <v>2759</v>
      </c>
      <c r="M1674" s="32">
        <v>0.51</v>
      </c>
      <c r="N1674" s="27" t="s">
        <v>33</v>
      </c>
      <c r="O1674" s="27" t="s">
        <v>111</v>
      </c>
      <c r="P1674" s="27" t="s">
        <v>317</v>
      </c>
      <c r="Q1674" s="27" t="s">
        <v>2252</v>
      </c>
      <c r="R1674" s="33">
        <v>43213</v>
      </c>
      <c r="S1674" s="34">
        <v>42159</v>
      </c>
      <c r="T1674" s="34">
        <v>42162</v>
      </c>
      <c r="U1674" s="29">
        <v>35.805</v>
      </c>
      <c r="V1674" s="26">
        <v>20</v>
      </c>
      <c r="W1674" s="29">
        <v>110.68</v>
      </c>
      <c r="X1674" s="26">
        <v>88658</v>
      </c>
      <c r="Y1674" s="35">
        <v>6.4300000000000006</v>
      </c>
      <c r="Z1674" s="1" t="s">
        <v>3014</v>
      </c>
      <c r="AA1674" s="36">
        <v>10.763999999999999</v>
      </c>
      <c r="AB1674" s="54">
        <v>54.233200000000004</v>
      </c>
      <c r="AC1674" s="54">
        <v>2.8223400000000005</v>
      </c>
      <c r="AD1674" s="36">
        <v>62.441000000000003</v>
      </c>
    </row>
    <row r="1675" spans="1:30" s="37" customFormat="1" ht="15.75" customHeight="1" x14ac:dyDescent="0.2">
      <c r="A1675" s="26">
        <v>1233</v>
      </c>
      <c r="B1675" s="27" t="s">
        <v>2097</v>
      </c>
      <c r="C1675" s="27" t="s">
        <v>38</v>
      </c>
      <c r="D1675" s="28">
        <v>0.09</v>
      </c>
      <c r="E1675" s="29">
        <v>99.99</v>
      </c>
      <c r="F1675" s="29">
        <v>19.989999999999998</v>
      </c>
      <c r="G1675" s="30" t="s">
        <v>39</v>
      </c>
      <c r="H1675" s="27" t="s">
        <v>40</v>
      </c>
      <c r="I1675" s="27" t="s">
        <v>41</v>
      </c>
      <c r="J1675" s="27" t="s">
        <v>42</v>
      </c>
      <c r="K1675" s="27" t="s">
        <v>73</v>
      </c>
      <c r="L1675" s="31" t="s">
        <v>1580</v>
      </c>
      <c r="M1675" s="32">
        <v>0.52</v>
      </c>
      <c r="N1675" s="27" t="s">
        <v>33</v>
      </c>
      <c r="O1675" s="27" t="s">
        <v>53</v>
      </c>
      <c r="P1675" s="27" t="s">
        <v>187</v>
      </c>
      <c r="Q1675" s="27" t="s">
        <v>2098</v>
      </c>
      <c r="R1675" s="33">
        <v>75028</v>
      </c>
      <c r="S1675" s="34">
        <v>42159</v>
      </c>
      <c r="T1675" s="34">
        <v>42161</v>
      </c>
      <c r="U1675" s="29">
        <v>-161.47499999999999</v>
      </c>
      <c r="V1675" s="26">
        <v>1</v>
      </c>
      <c r="W1675" s="29">
        <v>97.65</v>
      </c>
      <c r="X1675" s="26">
        <v>89376</v>
      </c>
      <c r="Y1675" s="35">
        <v>5.8900000000000006</v>
      </c>
      <c r="Z1675" s="1" t="s">
        <v>3012</v>
      </c>
      <c r="AA1675" s="36">
        <v>8.9990999999999985</v>
      </c>
      <c r="AB1675" s="54">
        <v>46.872</v>
      </c>
      <c r="AC1675" s="54">
        <v>50.778000000000006</v>
      </c>
      <c r="AD1675" s="36">
        <v>230.13589999999999</v>
      </c>
    </row>
    <row r="1676" spans="1:30" s="37" customFormat="1" ht="15.75" customHeight="1" x14ac:dyDescent="0.2">
      <c r="A1676" s="26">
        <v>2391</v>
      </c>
      <c r="B1676" s="27" t="s">
        <v>2678</v>
      </c>
      <c r="C1676" s="27" t="s">
        <v>3094</v>
      </c>
      <c r="D1676" s="28">
        <v>0.05</v>
      </c>
      <c r="E1676" s="29">
        <v>6.48</v>
      </c>
      <c r="F1676" s="29">
        <v>5.14</v>
      </c>
      <c r="G1676" s="30" t="s">
        <v>87</v>
      </c>
      <c r="H1676" s="27" t="s">
        <v>94</v>
      </c>
      <c r="I1676" s="27" t="s">
        <v>49</v>
      </c>
      <c r="J1676" s="27" t="s">
        <v>88</v>
      </c>
      <c r="K1676" s="27" t="s">
        <v>73</v>
      </c>
      <c r="L1676" s="31" t="s">
        <v>1745</v>
      </c>
      <c r="M1676" s="32">
        <v>0.37</v>
      </c>
      <c r="N1676" s="27" t="s">
        <v>33</v>
      </c>
      <c r="O1676" s="27" t="s">
        <v>111</v>
      </c>
      <c r="P1676" s="27" t="s">
        <v>112</v>
      </c>
      <c r="Q1676" s="27" t="s">
        <v>2680</v>
      </c>
      <c r="R1676" s="33">
        <v>11572</v>
      </c>
      <c r="S1676" s="34">
        <v>42159</v>
      </c>
      <c r="T1676" s="34">
        <v>42160</v>
      </c>
      <c r="U1676" s="29">
        <v>-22.56</v>
      </c>
      <c r="V1676" s="26">
        <v>13</v>
      </c>
      <c r="W1676" s="29">
        <v>92.16</v>
      </c>
      <c r="X1676" s="26">
        <v>91123</v>
      </c>
      <c r="Y1676" s="35">
        <v>5.8900000000000006</v>
      </c>
      <c r="Z1676" s="1" t="s">
        <v>3014</v>
      </c>
      <c r="AA1676" s="36">
        <v>4.2120000000000006</v>
      </c>
      <c r="AB1676" s="54">
        <v>58.0608</v>
      </c>
      <c r="AC1676" s="54">
        <v>2.6230153846153845</v>
      </c>
      <c r="AD1676" s="36">
        <v>105.36799999999999</v>
      </c>
    </row>
    <row r="1677" spans="1:30" s="37" customFormat="1" ht="15.75" customHeight="1" x14ac:dyDescent="0.2">
      <c r="A1677" s="26">
        <v>2507</v>
      </c>
      <c r="B1677" s="27" t="s">
        <v>2767</v>
      </c>
      <c r="C1677" s="27" t="s">
        <v>116</v>
      </c>
      <c r="D1677" s="28">
        <v>0.06</v>
      </c>
      <c r="E1677" s="29">
        <v>699.99</v>
      </c>
      <c r="F1677" s="29">
        <v>24.49</v>
      </c>
      <c r="G1677" s="30" t="s">
        <v>87</v>
      </c>
      <c r="H1677" s="27" t="s">
        <v>71</v>
      </c>
      <c r="I1677" s="27" t="s">
        <v>41</v>
      </c>
      <c r="J1677" s="27" t="s">
        <v>64</v>
      </c>
      <c r="K1677" s="27" t="s">
        <v>65</v>
      </c>
      <c r="L1677" s="31" t="s">
        <v>313</v>
      </c>
      <c r="M1677" s="32">
        <v>0.41</v>
      </c>
      <c r="N1677" s="27" t="s">
        <v>33</v>
      </c>
      <c r="O1677" s="27" t="s">
        <v>111</v>
      </c>
      <c r="P1677" s="27" t="s">
        <v>331</v>
      </c>
      <c r="Q1677" s="27" t="s">
        <v>887</v>
      </c>
      <c r="R1677" s="33">
        <v>4401</v>
      </c>
      <c r="S1677" s="34">
        <v>42160</v>
      </c>
      <c r="T1677" s="34">
        <v>42162</v>
      </c>
      <c r="U1677" s="29">
        <v>7024.2069000000001</v>
      </c>
      <c r="V1677" s="26">
        <v>15</v>
      </c>
      <c r="W1677" s="29">
        <v>10180.01</v>
      </c>
      <c r="X1677" s="26">
        <v>87033</v>
      </c>
      <c r="Y1677" s="35">
        <v>363.16</v>
      </c>
      <c r="Z1677" s="1" t="s">
        <v>3014</v>
      </c>
      <c r="AA1677" s="36">
        <v>629.99099999999999</v>
      </c>
      <c r="AB1677" s="54">
        <v>6006.2059000000008</v>
      </c>
      <c r="AC1677" s="54">
        <v>278.25360666666666</v>
      </c>
      <c r="AD1677" s="36">
        <v>2501.3221000000003</v>
      </c>
    </row>
    <row r="1678" spans="1:30" s="37" customFormat="1" ht="15.75" customHeight="1" x14ac:dyDescent="0.2">
      <c r="A1678" s="26">
        <v>2882</v>
      </c>
      <c r="B1678" s="27" t="s">
        <v>671</v>
      </c>
      <c r="C1678" s="27" t="s">
        <v>38</v>
      </c>
      <c r="D1678" s="28">
        <v>0.09</v>
      </c>
      <c r="E1678" s="29">
        <v>363.25</v>
      </c>
      <c r="F1678" s="29">
        <v>19.989999999999998</v>
      </c>
      <c r="G1678" s="30" t="s">
        <v>39</v>
      </c>
      <c r="H1678" s="27" t="s">
        <v>40</v>
      </c>
      <c r="I1678" s="27" t="s">
        <v>49</v>
      </c>
      <c r="J1678" s="27" t="s">
        <v>95</v>
      </c>
      <c r="K1678" s="27" t="s">
        <v>73</v>
      </c>
      <c r="L1678" s="31" t="s">
        <v>199</v>
      </c>
      <c r="M1678" s="32">
        <v>0.56999999999999995</v>
      </c>
      <c r="N1678" s="27" t="s">
        <v>33</v>
      </c>
      <c r="O1678" s="27" t="s">
        <v>34</v>
      </c>
      <c r="P1678" s="27" t="s">
        <v>97</v>
      </c>
      <c r="Q1678" s="27" t="s">
        <v>673</v>
      </c>
      <c r="R1678" s="33">
        <v>28206</v>
      </c>
      <c r="S1678" s="34">
        <v>42160</v>
      </c>
      <c r="T1678" s="34">
        <v>42161</v>
      </c>
      <c r="U1678" s="29">
        <v>732.26980000000003</v>
      </c>
      <c r="V1678" s="26">
        <v>21</v>
      </c>
      <c r="W1678" s="29">
        <v>7497.05</v>
      </c>
      <c r="X1678" s="26">
        <v>21958</v>
      </c>
      <c r="Y1678" s="35">
        <v>363.16</v>
      </c>
      <c r="Z1678" s="1" t="s">
        <v>3011</v>
      </c>
      <c r="AA1678" s="36">
        <v>686.5424999999999</v>
      </c>
      <c r="AB1678" s="54">
        <v>3223.7315000000003</v>
      </c>
      <c r="AC1678" s="54">
        <v>203.49135714285714</v>
      </c>
      <c r="AD1678" s="36">
        <v>6058.2476999999999</v>
      </c>
    </row>
    <row r="1679" spans="1:30" s="37" customFormat="1" ht="15.75" customHeight="1" x14ac:dyDescent="0.2">
      <c r="A1679" s="26">
        <v>2522</v>
      </c>
      <c r="B1679" s="27" t="s">
        <v>2771</v>
      </c>
      <c r="C1679" s="27" t="s">
        <v>116</v>
      </c>
      <c r="D1679" s="28">
        <v>0.04</v>
      </c>
      <c r="E1679" s="29">
        <v>1360.14</v>
      </c>
      <c r="F1679" s="29">
        <v>14.7</v>
      </c>
      <c r="G1679" s="30" t="s">
        <v>27</v>
      </c>
      <c r="H1679" s="27" t="s">
        <v>71</v>
      </c>
      <c r="I1679" s="27" t="s">
        <v>41</v>
      </c>
      <c r="J1679" s="27" t="s">
        <v>57</v>
      </c>
      <c r="K1679" s="27" t="s">
        <v>58</v>
      </c>
      <c r="L1679" s="31" t="s">
        <v>2772</v>
      </c>
      <c r="M1679" s="32">
        <v>0.59</v>
      </c>
      <c r="N1679" s="27" t="s">
        <v>33</v>
      </c>
      <c r="O1679" s="27" t="s">
        <v>111</v>
      </c>
      <c r="P1679" s="27" t="s">
        <v>633</v>
      </c>
      <c r="Q1679" s="27" t="s">
        <v>928</v>
      </c>
      <c r="R1679" s="33">
        <v>5401</v>
      </c>
      <c r="S1679" s="34">
        <v>42160</v>
      </c>
      <c r="T1679" s="34">
        <v>42163</v>
      </c>
      <c r="U1679" s="29">
        <v>2639.01</v>
      </c>
      <c r="V1679" s="26">
        <v>6</v>
      </c>
      <c r="W1679" s="29">
        <v>7303.05</v>
      </c>
      <c r="X1679" s="26">
        <v>87033</v>
      </c>
      <c r="Y1679" s="35">
        <v>35.849999999999994</v>
      </c>
      <c r="Z1679" s="1" t="s">
        <v>3014</v>
      </c>
      <c r="AA1679" s="36">
        <v>326.43360000000007</v>
      </c>
      <c r="AB1679" s="54">
        <v>2994.2505000000001</v>
      </c>
      <c r="AC1679" s="54">
        <v>718.13324999999998</v>
      </c>
      <c r="AD1679" s="36">
        <v>4322.9063999999998</v>
      </c>
    </row>
    <row r="1680" spans="1:30" s="37" customFormat="1" ht="15.75" customHeight="1" x14ac:dyDescent="0.2">
      <c r="A1680" s="26">
        <v>2884</v>
      </c>
      <c r="B1680" s="27" t="s">
        <v>1740</v>
      </c>
      <c r="C1680" s="27" t="s">
        <v>38</v>
      </c>
      <c r="D1680" s="28">
        <v>0.09</v>
      </c>
      <c r="E1680" s="29">
        <v>363.25</v>
      </c>
      <c r="F1680" s="29">
        <v>19.989999999999998</v>
      </c>
      <c r="G1680" s="30" t="s">
        <v>39</v>
      </c>
      <c r="H1680" s="27" t="s">
        <v>40</v>
      </c>
      <c r="I1680" s="27" t="s">
        <v>49</v>
      </c>
      <c r="J1680" s="27" t="s">
        <v>95</v>
      </c>
      <c r="K1680" s="27" t="s">
        <v>73</v>
      </c>
      <c r="L1680" s="31" t="s">
        <v>199</v>
      </c>
      <c r="M1680" s="32">
        <v>0.56999999999999995</v>
      </c>
      <c r="N1680" s="27" t="s">
        <v>33</v>
      </c>
      <c r="O1680" s="27" t="s">
        <v>111</v>
      </c>
      <c r="P1680" s="27" t="s">
        <v>317</v>
      </c>
      <c r="Q1680" s="27" t="s">
        <v>1741</v>
      </c>
      <c r="R1680" s="33">
        <v>44039</v>
      </c>
      <c r="S1680" s="34">
        <v>42160</v>
      </c>
      <c r="T1680" s="34">
        <v>42161</v>
      </c>
      <c r="U1680" s="29">
        <v>1231.6569</v>
      </c>
      <c r="V1680" s="26">
        <v>5</v>
      </c>
      <c r="W1680" s="29">
        <v>1785.01</v>
      </c>
      <c r="X1680" s="26">
        <v>87633</v>
      </c>
      <c r="Y1680" s="35">
        <v>170.98</v>
      </c>
      <c r="Z1680" s="1" t="s">
        <v>3014</v>
      </c>
      <c r="AA1680" s="36">
        <v>163.46249999999998</v>
      </c>
      <c r="AB1680" s="54">
        <v>767.55430000000013</v>
      </c>
      <c r="AC1680" s="54">
        <v>203.49114</v>
      </c>
      <c r="AD1680" s="36">
        <v>369.90060000000017</v>
      </c>
    </row>
    <row r="1681" spans="1:30" s="37" customFormat="1" ht="15.75" customHeight="1" x14ac:dyDescent="0.2">
      <c r="A1681" s="26">
        <v>269</v>
      </c>
      <c r="B1681" s="27" t="s">
        <v>2760</v>
      </c>
      <c r="C1681" s="27" t="s">
        <v>48</v>
      </c>
      <c r="D1681" s="28">
        <v>0</v>
      </c>
      <c r="E1681" s="29">
        <v>170.98</v>
      </c>
      <c r="F1681" s="29">
        <v>13.99</v>
      </c>
      <c r="G1681" s="30" t="s">
        <v>39</v>
      </c>
      <c r="H1681" s="27" t="s">
        <v>71</v>
      </c>
      <c r="I1681" s="27" t="s">
        <v>29</v>
      </c>
      <c r="J1681" s="27" t="s">
        <v>126</v>
      </c>
      <c r="K1681" s="27" t="s">
        <v>144</v>
      </c>
      <c r="L1681" s="31" t="s">
        <v>2762</v>
      </c>
      <c r="M1681" s="32">
        <v>0.75</v>
      </c>
      <c r="N1681" s="27" t="s">
        <v>33</v>
      </c>
      <c r="O1681" s="27" t="s">
        <v>60</v>
      </c>
      <c r="P1681" s="27" t="s">
        <v>588</v>
      </c>
      <c r="Q1681" s="27" t="s">
        <v>2761</v>
      </c>
      <c r="R1681" s="33">
        <v>85234</v>
      </c>
      <c r="S1681" s="34">
        <v>42160</v>
      </c>
      <c r="T1681" s="34">
        <v>42167</v>
      </c>
      <c r="U1681" s="29">
        <v>888.14729999999997</v>
      </c>
      <c r="V1681" s="26">
        <v>7</v>
      </c>
      <c r="W1681" s="29">
        <v>1287.17</v>
      </c>
      <c r="X1681" s="26">
        <v>88942</v>
      </c>
      <c r="Y1681" s="35">
        <v>4.8900000000000006</v>
      </c>
      <c r="Z1681" s="1" t="s">
        <v>3013</v>
      </c>
      <c r="AA1681" s="36">
        <v>0</v>
      </c>
      <c r="AB1681" s="54">
        <v>321.79250000000002</v>
      </c>
      <c r="AC1681" s="54">
        <v>137.91107142857143</v>
      </c>
      <c r="AD1681" s="36">
        <v>385.03270000000009</v>
      </c>
    </row>
    <row r="1682" spans="1:30" s="37" customFormat="1" ht="15.75" customHeight="1" x14ac:dyDescent="0.2">
      <c r="A1682" s="26">
        <v>272</v>
      </c>
      <c r="B1682" s="27" t="s">
        <v>2053</v>
      </c>
      <c r="C1682" s="27" t="s">
        <v>48</v>
      </c>
      <c r="D1682" s="28">
        <v>0.09</v>
      </c>
      <c r="E1682" s="29">
        <v>35.94</v>
      </c>
      <c r="F1682" s="29">
        <v>6.66</v>
      </c>
      <c r="G1682" s="30" t="s">
        <v>39</v>
      </c>
      <c r="H1682" s="27" t="s">
        <v>71</v>
      </c>
      <c r="I1682" s="27" t="s">
        <v>49</v>
      </c>
      <c r="J1682" s="27" t="s">
        <v>345</v>
      </c>
      <c r="K1682" s="27" t="s">
        <v>73</v>
      </c>
      <c r="L1682" s="31" t="s">
        <v>2122</v>
      </c>
      <c r="M1682" s="32">
        <v>0.4</v>
      </c>
      <c r="N1682" s="27" t="s">
        <v>33</v>
      </c>
      <c r="O1682" s="27" t="s">
        <v>34</v>
      </c>
      <c r="P1682" s="27" t="s">
        <v>97</v>
      </c>
      <c r="Q1682" s="27" t="s">
        <v>673</v>
      </c>
      <c r="R1682" s="33">
        <v>28204</v>
      </c>
      <c r="S1682" s="34">
        <v>42160</v>
      </c>
      <c r="T1682" s="34">
        <v>42165</v>
      </c>
      <c r="U1682" s="29">
        <v>72.1858</v>
      </c>
      <c r="V1682" s="26">
        <v>24</v>
      </c>
      <c r="W1682" s="29">
        <v>836.47</v>
      </c>
      <c r="X1682" s="26">
        <v>36069</v>
      </c>
      <c r="Y1682" s="35">
        <v>35.849999999999994</v>
      </c>
      <c r="Z1682" s="1" t="s">
        <v>3011</v>
      </c>
      <c r="AA1682" s="36">
        <v>77.63039999999998</v>
      </c>
      <c r="AB1682" s="54">
        <v>501.88200000000001</v>
      </c>
      <c r="AC1682" s="54">
        <v>13.941166666666668</v>
      </c>
      <c r="AD1682" s="36">
        <v>679.99380000000008</v>
      </c>
    </row>
    <row r="1683" spans="1:30" s="37" customFormat="1" ht="15.75" customHeight="1" x14ac:dyDescent="0.2">
      <c r="A1683" s="26">
        <v>2520</v>
      </c>
      <c r="B1683" s="27" t="s">
        <v>2769</v>
      </c>
      <c r="C1683" s="27" t="s">
        <v>116</v>
      </c>
      <c r="D1683" s="28">
        <v>7.0000000000000007E-2</v>
      </c>
      <c r="E1683" s="29">
        <v>30.98</v>
      </c>
      <c r="F1683" s="29">
        <v>8.74</v>
      </c>
      <c r="G1683" s="30" t="s">
        <v>39</v>
      </c>
      <c r="H1683" s="27" t="s">
        <v>71</v>
      </c>
      <c r="I1683" s="27" t="s">
        <v>49</v>
      </c>
      <c r="J1683" s="27" t="s">
        <v>88</v>
      </c>
      <c r="K1683" s="27" t="s">
        <v>73</v>
      </c>
      <c r="L1683" s="31" t="s">
        <v>2586</v>
      </c>
      <c r="M1683" s="32">
        <v>0.4</v>
      </c>
      <c r="N1683" s="27" t="s">
        <v>33</v>
      </c>
      <c r="O1683" s="27" t="s">
        <v>111</v>
      </c>
      <c r="P1683" s="27" t="s">
        <v>584</v>
      </c>
      <c r="Q1683" s="27" t="s">
        <v>2770</v>
      </c>
      <c r="R1683" s="33">
        <v>2908</v>
      </c>
      <c r="S1683" s="34">
        <v>42160</v>
      </c>
      <c r="T1683" s="34">
        <v>42161</v>
      </c>
      <c r="U1683" s="29">
        <v>255.76920000000001</v>
      </c>
      <c r="V1683" s="26">
        <v>12</v>
      </c>
      <c r="W1683" s="29">
        <v>370.68</v>
      </c>
      <c r="X1683" s="26">
        <v>87033</v>
      </c>
      <c r="Y1683" s="35">
        <v>4.8900000000000006</v>
      </c>
      <c r="Z1683" s="1" t="s">
        <v>3014</v>
      </c>
      <c r="AA1683" s="36">
        <v>26.023200000000003</v>
      </c>
      <c r="AB1683" s="54">
        <v>222.40799999999999</v>
      </c>
      <c r="AC1683" s="54">
        <v>12.356000000000002</v>
      </c>
      <c r="AD1683" s="36">
        <v>80.147599999999954</v>
      </c>
    </row>
    <row r="1684" spans="1:30" s="37" customFormat="1" ht="15.75" customHeight="1" x14ac:dyDescent="0.2">
      <c r="A1684" s="26">
        <v>269</v>
      </c>
      <c r="B1684" s="27" t="s">
        <v>2760</v>
      </c>
      <c r="C1684" s="27" t="s">
        <v>48</v>
      </c>
      <c r="D1684" s="28">
        <v>0.09</v>
      </c>
      <c r="E1684" s="29">
        <v>35.94</v>
      </c>
      <c r="F1684" s="29">
        <v>6.66</v>
      </c>
      <c r="G1684" s="30" t="s">
        <v>39</v>
      </c>
      <c r="H1684" s="27" t="s">
        <v>71</v>
      </c>
      <c r="I1684" s="27" t="s">
        <v>49</v>
      </c>
      <c r="J1684" s="27" t="s">
        <v>345</v>
      </c>
      <c r="K1684" s="27" t="s">
        <v>73</v>
      </c>
      <c r="L1684" s="31" t="s">
        <v>2122</v>
      </c>
      <c r="M1684" s="32">
        <v>0.4</v>
      </c>
      <c r="N1684" s="27" t="s">
        <v>33</v>
      </c>
      <c r="O1684" s="27" t="s">
        <v>60</v>
      </c>
      <c r="P1684" s="27" t="s">
        <v>588</v>
      </c>
      <c r="Q1684" s="27" t="s">
        <v>2761</v>
      </c>
      <c r="R1684" s="33">
        <v>85234</v>
      </c>
      <c r="S1684" s="34">
        <v>42160</v>
      </c>
      <c r="T1684" s="34">
        <v>42165</v>
      </c>
      <c r="U1684" s="29">
        <v>144.2928</v>
      </c>
      <c r="V1684" s="26">
        <v>6</v>
      </c>
      <c r="W1684" s="29">
        <v>209.12</v>
      </c>
      <c r="X1684" s="26">
        <v>88942</v>
      </c>
      <c r="Y1684" s="35">
        <v>12.57</v>
      </c>
      <c r="Z1684" s="1" t="s">
        <v>3013</v>
      </c>
      <c r="AA1684" s="36">
        <v>19.407599999999995</v>
      </c>
      <c r="AB1684" s="54">
        <v>125.47199999999999</v>
      </c>
      <c r="AC1684" s="54">
        <v>13.941333333333333</v>
      </c>
      <c r="AD1684" s="36">
        <v>38.759600000000006</v>
      </c>
    </row>
    <row r="1685" spans="1:30" s="37" customFormat="1" ht="15.75" customHeight="1" x14ac:dyDescent="0.2">
      <c r="A1685" s="26">
        <v>518</v>
      </c>
      <c r="B1685" s="27" t="s">
        <v>2763</v>
      </c>
      <c r="C1685" s="27" t="s">
        <v>48</v>
      </c>
      <c r="D1685" s="28">
        <v>7.0000000000000007E-2</v>
      </c>
      <c r="E1685" s="29">
        <v>12.64</v>
      </c>
      <c r="F1685" s="29">
        <v>4.9800000000000004</v>
      </c>
      <c r="G1685" s="30" t="s">
        <v>39</v>
      </c>
      <c r="H1685" s="27" t="s">
        <v>71</v>
      </c>
      <c r="I1685" s="27" t="s">
        <v>29</v>
      </c>
      <c r="J1685" s="27" t="s">
        <v>126</v>
      </c>
      <c r="K1685" s="27" t="s">
        <v>43</v>
      </c>
      <c r="L1685" s="31" t="s">
        <v>1773</v>
      </c>
      <c r="M1685" s="32">
        <v>0.48</v>
      </c>
      <c r="N1685" s="27" t="s">
        <v>33</v>
      </c>
      <c r="O1685" s="27" t="s">
        <v>53</v>
      </c>
      <c r="P1685" s="27" t="s">
        <v>80</v>
      </c>
      <c r="Q1685" s="27" t="s">
        <v>1506</v>
      </c>
      <c r="R1685" s="33">
        <v>63105</v>
      </c>
      <c r="S1685" s="34">
        <v>42160</v>
      </c>
      <c r="T1685" s="34">
        <v>42167</v>
      </c>
      <c r="U1685" s="29">
        <v>113.41500000000001</v>
      </c>
      <c r="V1685" s="26">
        <v>16</v>
      </c>
      <c r="W1685" s="29">
        <v>199.76</v>
      </c>
      <c r="X1685" s="26">
        <v>90867</v>
      </c>
      <c r="Y1685" s="35">
        <v>6.4600000000000009</v>
      </c>
      <c r="Z1685" s="1" t="s">
        <v>3012</v>
      </c>
      <c r="AA1685" s="36">
        <v>14.156800000000002</v>
      </c>
      <c r="AB1685" s="54">
        <v>103.87519999999999</v>
      </c>
      <c r="AC1685" s="54">
        <v>5.9927999999999999</v>
      </c>
      <c r="AD1685" s="36">
        <v>67.208199999999977</v>
      </c>
    </row>
    <row r="1686" spans="1:30" s="37" customFormat="1" ht="15.75" customHeight="1" x14ac:dyDescent="0.2">
      <c r="A1686" s="26">
        <v>2516</v>
      </c>
      <c r="B1686" s="27" t="s">
        <v>2768</v>
      </c>
      <c r="C1686" s="27" t="s">
        <v>116</v>
      </c>
      <c r="D1686" s="28">
        <v>0.02</v>
      </c>
      <c r="E1686" s="29">
        <v>17.149999999999999</v>
      </c>
      <c r="F1686" s="29">
        <v>4.96</v>
      </c>
      <c r="G1686" s="30" t="s">
        <v>39</v>
      </c>
      <c r="H1686" s="27" t="s">
        <v>71</v>
      </c>
      <c r="I1686" s="27" t="s">
        <v>49</v>
      </c>
      <c r="J1686" s="27" t="s">
        <v>78</v>
      </c>
      <c r="K1686" s="27" t="s">
        <v>73</v>
      </c>
      <c r="L1686" s="31" t="s">
        <v>650</v>
      </c>
      <c r="M1686" s="32">
        <v>0.57999999999999996</v>
      </c>
      <c r="N1686" s="27" t="s">
        <v>33</v>
      </c>
      <c r="O1686" s="27" t="s">
        <v>111</v>
      </c>
      <c r="P1686" s="27" t="s">
        <v>397</v>
      </c>
      <c r="Q1686" s="27" t="s">
        <v>439</v>
      </c>
      <c r="R1686" s="33">
        <v>7631</v>
      </c>
      <c r="S1686" s="34">
        <v>42160</v>
      </c>
      <c r="T1686" s="34">
        <v>42162</v>
      </c>
      <c r="U1686" s="29">
        <v>36.494999999999997</v>
      </c>
      <c r="V1686" s="26">
        <v>11</v>
      </c>
      <c r="W1686" s="29">
        <v>190.85</v>
      </c>
      <c r="X1686" s="26">
        <v>87033</v>
      </c>
      <c r="Y1686" s="35">
        <v>699.93000000000006</v>
      </c>
      <c r="Z1686" s="1" t="s">
        <v>3014</v>
      </c>
      <c r="AA1686" s="36">
        <v>3.7729999999999997</v>
      </c>
      <c r="AB1686" s="54">
        <v>80.157000000000011</v>
      </c>
      <c r="AC1686" s="54">
        <v>10.062999999999999</v>
      </c>
      <c r="AD1686" s="36">
        <v>145.62200000000001</v>
      </c>
    </row>
    <row r="1687" spans="1:30" s="37" customFormat="1" ht="15.75" customHeight="1" x14ac:dyDescent="0.2">
      <c r="A1687" s="26">
        <v>272</v>
      </c>
      <c r="B1687" s="27" t="s">
        <v>2053</v>
      </c>
      <c r="C1687" s="27" t="s">
        <v>48</v>
      </c>
      <c r="D1687" s="28">
        <v>0.09</v>
      </c>
      <c r="E1687" s="29">
        <v>4.9800000000000004</v>
      </c>
      <c r="F1687" s="29">
        <v>7.44</v>
      </c>
      <c r="G1687" s="30" t="s">
        <v>39</v>
      </c>
      <c r="H1687" s="27" t="s">
        <v>71</v>
      </c>
      <c r="I1687" s="27" t="s">
        <v>49</v>
      </c>
      <c r="J1687" s="27" t="s">
        <v>88</v>
      </c>
      <c r="K1687" s="27" t="s">
        <v>73</v>
      </c>
      <c r="L1687" s="31" t="s">
        <v>2174</v>
      </c>
      <c r="M1687" s="32">
        <v>0.36</v>
      </c>
      <c r="N1687" s="27" t="s">
        <v>33</v>
      </c>
      <c r="O1687" s="27" t="s">
        <v>34</v>
      </c>
      <c r="P1687" s="27" t="s">
        <v>97</v>
      </c>
      <c r="Q1687" s="27" t="s">
        <v>673</v>
      </c>
      <c r="R1687" s="33">
        <v>28204</v>
      </c>
      <c r="S1687" s="34">
        <v>42160</v>
      </c>
      <c r="T1687" s="34">
        <v>42162</v>
      </c>
      <c r="U1687" s="29">
        <v>-122.3733</v>
      </c>
      <c r="V1687" s="26">
        <v>37</v>
      </c>
      <c r="W1687" s="29">
        <v>189.83</v>
      </c>
      <c r="X1687" s="26">
        <v>36069</v>
      </c>
      <c r="Y1687" s="35">
        <v>17.13</v>
      </c>
      <c r="Z1687" s="1" t="s">
        <v>3011</v>
      </c>
      <c r="AA1687" s="36">
        <v>16.583400000000001</v>
      </c>
      <c r="AB1687" s="54">
        <v>121.49120000000001</v>
      </c>
      <c r="AC1687" s="54">
        <v>1.8469945945945947</v>
      </c>
      <c r="AD1687" s="36">
        <v>288.17990000000003</v>
      </c>
    </row>
    <row r="1688" spans="1:30" s="37" customFormat="1" ht="15.75" customHeight="1" x14ac:dyDescent="0.2">
      <c r="A1688" s="26">
        <v>269</v>
      </c>
      <c r="B1688" s="27" t="s">
        <v>2760</v>
      </c>
      <c r="C1688" s="27" t="s">
        <v>48</v>
      </c>
      <c r="D1688" s="28">
        <v>0.09</v>
      </c>
      <c r="E1688" s="29">
        <v>4.9800000000000004</v>
      </c>
      <c r="F1688" s="29">
        <v>7.44</v>
      </c>
      <c r="G1688" s="30" t="s">
        <v>39</v>
      </c>
      <c r="H1688" s="27" t="s">
        <v>71</v>
      </c>
      <c r="I1688" s="27" t="s">
        <v>49</v>
      </c>
      <c r="J1688" s="27" t="s">
        <v>88</v>
      </c>
      <c r="K1688" s="27" t="s">
        <v>73</v>
      </c>
      <c r="L1688" s="31" t="s">
        <v>2174</v>
      </c>
      <c r="M1688" s="32">
        <v>0.36</v>
      </c>
      <c r="N1688" s="27" t="s">
        <v>33</v>
      </c>
      <c r="O1688" s="27" t="s">
        <v>60</v>
      </c>
      <c r="P1688" s="27" t="s">
        <v>588</v>
      </c>
      <c r="Q1688" s="27" t="s">
        <v>2761</v>
      </c>
      <c r="R1688" s="33">
        <v>85234</v>
      </c>
      <c r="S1688" s="34">
        <v>42160</v>
      </c>
      <c r="T1688" s="34">
        <v>42162</v>
      </c>
      <c r="U1688" s="29">
        <v>-46.005000000000003</v>
      </c>
      <c r="V1688" s="26">
        <v>9</v>
      </c>
      <c r="W1688" s="29">
        <v>46.17</v>
      </c>
      <c r="X1688" s="26">
        <v>88942</v>
      </c>
      <c r="Y1688" s="35">
        <v>30.91</v>
      </c>
      <c r="Z1688" s="1" t="s">
        <v>3013</v>
      </c>
      <c r="AA1688" s="36">
        <v>4.0338000000000003</v>
      </c>
      <c r="AB1688" s="54">
        <v>29.5488</v>
      </c>
      <c r="AC1688" s="54">
        <v>1.8468</v>
      </c>
      <c r="AD1688" s="36">
        <v>80.7012</v>
      </c>
    </row>
    <row r="1689" spans="1:30" s="37" customFormat="1" ht="15.75" customHeight="1" x14ac:dyDescent="0.2">
      <c r="A1689" s="26">
        <v>2506</v>
      </c>
      <c r="B1689" s="27" t="s">
        <v>2764</v>
      </c>
      <c r="C1689" s="27" t="s">
        <v>116</v>
      </c>
      <c r="D1689" s="28">
        <v>0.02</v>
      </c>
      <c r="E1689" s="29">
        <v>6.48</v>
      </c>
      <c r="F1689" s="29">
        <v>8.74</v>
      </c>
      <c r="G1689" s="30" t="s">
        <v>39</v>
      </c>
      <c r="H1689" s="27" t="s">
        <v>71</v>
      </c>
      <c r="I1689" s="27" t="s">
        <v>49</v>
      </c>
      <c r="J1689" s="27" t="s">
        <v>88</v>
      </c>
      <c r="K1689" s="27" t="s">
        <v>73</v>
      </c>
      <c r="L1689" s="31" t="s">
        <v>2765</v>
      </c>
      <c r="M1689" s="32">
        <v>0.36</v>
      </c>
      <c r="N1689" s="27" t="s">
        <v>33</v>
      </c>
      <c r="O1689" s="27" t="s">
        <v>111</v>
      </c>
      <c r="P1689" s="27" t="s">
        <v>248</v>
      </c>
      <c r="Q1689" s="27" t="s">
        <v>2766</v>
      </c>
      <c r="R1689" s="33">
        <v>6408</v>
      </c>
      <c r="S1689" s="34">
        <v>42160</v>
      </c>
      <c r="T1689" s="34">
        <v>42162</v>
      </c>
      <c r="U1689" s="29">
        <v>-6.835</v>
      </c>
      <c r="V1689" s="26">
        <v>1</v>
      </c>
      <c r="W1689" s="29">
        <v>10.72</v>
      </c>
      <c r="X1689" s="26">
        <v>87033</v>
      </c>
      <c r="Y1689" s="35">
        <v>1360.1000000000001</v>
      </c>
      <c r="Z1689" s="1" t="s">
        <v>3014</v>
      </c>
      <c r="AA1689" s="36">
        <v>0.12960000000000002</v>
      </c>
      <c r="AB1689" s="54">
        <v>6.8608000000000002</v>
      </c>
      <c r="AC1689" s="54">
        <v>3.8592</v>
      </c>
      <c r="AD1689" s="36">
        <v>8.6854000000000013</v>
      </c>
    </row>
    <row r="1690" spans="1:30" s="37" customFormat="1" ht="15.75" customHeight="1" x14ac:dyDescent="0.2">
      <c r="A1690" s="26">
        <v>1106</v>
      </c>
      <c r="B1690" s="27" t="s">
        <v>2581</v>
      </c>
      <c r="C1690" s="27" t="s">
        <v>3094</v>
      </c>
      <c r="D1690" s="28">
        <v>0.08</v>
      </c>
      <c r="E1690" s="29">
        <v>140.81</v>
      </c>
      <c r="F1690" s="29">
        <v>24.49</v>
      </c>
      <c r="G1690" s="30" t="s">
        <v>39</v>
      </c>
      <c r="H1690" s="27" t="s">
        <v>40</v>
      </c>
      <c r="I1690" s="27" t="s">
        <v>29</v>
      </c>
      <c r="J1690" s="27" t="s">
        <v>109</v>
      </c>
      <c r="K1690" s="27" t="s">
        <v>65</v>
      </c>
      <c r="L1690" s="31" t="s">
        <v>2784</v>
      </c>
      <c r="M1690" s="32">
        <v>0.56999999999999995</v>
      </c>
      <c r="N1690" s="27" t="s">
        <v>33</v>
      </c>
      <c r="O1690" s="27" t="s">
        <v>53</v>
      </c>
      <c r="P1690" s="27" t="s">
        <v>187</v>
      </c>
      <c r="Q1690" s="27" t="s">
        <v>554</v>
      </c>
      <c r="R1690" s="33">
        <v>75220</v>
      </c>
      <c r="S1690" s="34">
        <v>42161</v>
      </c>
      <c r="T1690" s="34">
        <v>42163</v>
      </c>
      <c r="U1690" s="29">
        <v>1232.79</v>
      </c>
      <c r="V1690" s="26">
        <v>81</v>
      </c>
      <c r="W1690" s="29">
        <v>11272.77</v>
      </c>
      <c r="X1690" s="26">
        <v>45824</v>
      </c>
      <c r="Y1690" s="35">
        <v>6.45</v>
      </c>
      <c r="Z1690" s="1" t="s">
        <v>3012</v>
      </c>
      <c r="AA1690" s="36">
        <v>912.44880000000012</v>
      </c>
      <c r="AB1690" s="54">
        <v>4847.2911000000004</v>
      </c>
      <c r="AC1690" s="54">
        <v>79.326900000000009</v>
      </c>
      <c r="AD1690" s="36">
        <v>9103.0411999999997</v>
      </c>
    </row>
    <row r="1691" spans="1:30" s="37" customFormat="1" ht="15.75" customHeight="1" x14ac:dyDescent="0.2">
      <c r="A1691" s="26">
        <v>2107</v>
      </c>
      <c r="B1691" s="27" t="s">
        <v>2779</v>
      </c>
      <c r="C1691" s="27" t="s">
        <v>116</v>
      </c>
      <c r="D1691" s="28">
        <v>0.05</v>
      </c>
      <c r="E1691" s="29">
        <v>399.98</v>
      </c>
      <c r="F1691" s="29">
        <v>12.06</v>
      </c>
      <c r="G1691" s="30" t="s">
        <v>27</v>
      </c>
      <c r="H1691" s="27" t="s">
        <v>94</v>
      </c>
      <c r="I1691" s="27" t="s">
        <v>41</v>
      </c>
      <c r="J1691" s="27" t="s">
        <v>57</v>
      </c>
      <c r="K1691" s="27" t="s">
        <v>31</v>
      </c>
      <c r="L1691" s="31" t="s">
        <v>183</v>
      </c>
      <c r="M1691" s="32">
        <v>0.56000000000000005</v>
      </c>
      <c r="N1691" s="27" t="s">
        <v>33</v>
      </c>
      <c r="O1691" s="27" t="s">
        <v>53</v>
      </c>
      <c r="P1691" s="27" t="s">
        <v>103</v>
      </c>
      <c r="Q1691" s="27" t="s">
        <v>533</v>
      </c>
      <c r="R1691" s="33">
        <v>60601</v>
      </c>
      <c r="S1691" s="34">
        <v>42161</v>
      </c>
      <c r="T1691" s="34">
        <v>42161</v>
      </c>
      <c r="U1691" s="29">
        <v>567.59</v>
      </c>
      <c r="V1691" s="26">
        <v>24</v>
      </c>
      <c r="W1691" s="29">
        <v>9666.7199999999993</v>
      </c>
      <c r="X1691" s="26">
        <v>39015</v>
      </c>
      <c r="Y1691" s="35">
        <v>2.77</v>
      </c>
      <c r="Z1691" s="1" t="s">
        <v>3012</v>
      </c>
      <c r="AA1691" s="36">
        <v>479.97600000000006</v>
      </c>
      <c r="AB1691" s="54">
        <v>4253.3567999999996</v>
      </c>
      <c r="AC1691" s="54">
        <v>225.55680000000001</v>
      </c>
      <c r="AD1691" s="36">
        <v>8607.0939999999991</v>
      </c>
    </row>
    <row r="1692" spans="1:30" s="37" customFormat="1" ht="15.75" customHeight="1" x14ac:dyDescent="0.2">
      <c r="A1692" s="26">
        <v>2848</v>
      </c>
      <c r="B1692" s="27" t="s">
        <v>2783</v>
      </c>
      <c r="C1692" s="27" t="s">
        <v>116</v>
      </c>
      <c r="D1692" s="28">
        <v>0</v>
      </c>
      <c r="E1692" s="29">
        <v>49.99</v>
      </c>
      <c r="F1692" s="29">
        <v>19.989999999999998</v>
      </c>
      <c r="G1692" s="30" t="s">
        <v>39</v>
      </c>
      <c r="H1692" s="27" t="s">
        <v>94</v>
      </c>
      <c r="I1692" s="27" t="s">
        <v>41</v>
      </c>
      <c r="J1692" s="27" t="s">
        <v>42</v>
      </c>
      <c r="K1692" s="27" t="s">
        <v>73</v>
      </c>
      <c r="L1692" s="31" t="s">
        <v>1288</v>
      </c>
      <c r="M1692" s="32">
        <v>0.41</v>
      </c>
      <c r="N1692" s="27" t="s">
        <v>33</v>
      </c>
      <c r="O1692" s="27" t="s">
        <v>34</v>
      </c>
      <c r="P1692" s="27" t="s">
        <v>400</v>
      </c>
      <c r="Q1692" s="27" t="s">
        <v>1637</v>
      </c>
      <c r="R1692" s="33">
        <v>38401</v>
      </c>
      <c r="S1692" s="34">
        <v>42161</v>
      </c>
      <c r="T1692" s="34">
        <v>42163</v>
      </c>
      <c r="U1692" s="29">
        <v>38.886000000000003</v>
      </c>
      <c r="V1692" s="26">
        <v>16</v>
      </c>
      <c r="W1692" s="29">
        <v>832.97</v>
      </c>
      <c r="X1692" s="26">
        <v>85929</v>
      </c>
      <c r="Y1692" s="35">
        <v>2.77</v>
      </c>
      <c r="Z1692" s="1" t="s">
        <v>3011</v>
      </c>
      <c r="AA1692" s="36">
        <v>0</v>
      </c>
      <c r="AB1692" s="54">
        <v>491.45230000000009</v>
      </c>
      <c r="AC1692" s="54">
        <v>21.344856249999999</v>
      </c>
      <c r="AD1692" s="36">
        <v>774.09400000000005</v>
      </c>
    </row>
    <row r="1693" spans="1:30" s="37" customFormat="1" ht="15.75" customHeight="1" x14ac:dyDescent="0.2">
      <c r="A1693" s="26">
        <v>1340</v>
      </c>
      <c r="B1693" s="27" t="s">
        <v>1084</v>
      </c>
      <c r="C1693" s="27" t="s">
        <v>3094</v>
      </c>
      <c r="D1693" s="28">
        <v>7.0000000000000007E-2</v>
      </c>
      <c r="E1693" s="29">
        <v>3.98</v>
      </c>
      <c r="F1693" s="29">
        <v>0.83</v>
      </c>
      <c r="G1693" s="30" t="s">
        <v>39</v>
      </c>
      <c r="H1693" s="27" t="s">
        <v>71</v>
      </c>
      <c r="I1693" s="27" t="s">
        <v>49</v>
      </c>
      <c r="J1693" s="27" t="s">
        <v>50</v>
      </c>
      <c r="K1693" s="27" t="s">
        <v>51</v>
      </c>
      <c r="L1693" s="31" t="s">
        <v>2785</v>
      </c>
      <c r="M1693" s="32">
        <v>0.51</v>
      </c>
      <c r="N1693" s="27" t="s">
        <v>33</v>
      </c>
      <c r="O1693" s="27" t="s">
        <v>111</v>
      </c>
      <c r="P1693" s="27" t="s">
        <v>112</v>
      </c>
      <c r="Q1693" s="27" t="s">
        <v>113</v>
      </c>
      <c r="R1693" s="33">
        <v>10170</v>
      </c>
      <c r="S1693" s="34">
        <v>42161</v>
      </c>
      <c r="T1693" s="34">
        <v>42164</v>
      </c>
      <c r="U1693" s="29">
        <v>27.38</v>
      </c>
      <c r="V1693" s="26">
        <v>76</v>
      </c>
      <c r="W1693" s="29">
        <v>282.85000000000002</v>
      </c>
      <c r="X1693" s="26">
        <v>24455</v>
      </c>
      <c r="Y1693" s="35">
        <v>6.48</v>
      </c>
      <c r="Z1693" s="1" t="s">
        <v>3014</v>
      </c>
      <c r="AA1693" s="36">
        <v>21.1736</v>
      </c>
      <c r="AB1693" s="54">
        <v>138.59650000000002</v>
      </c>
      <c r="AC1693" s="54">
        <v>1.898072368421053</v>
      </c>
      <c r="AD1693" s="36">
        <v>233.46640000000002</v>
      </c>
    </row>
    <row r="1694" spans="1:30" s="37" customFormat="1" ht="15.75" customHeight="1" x14ac:dyDescent="0.2">
      <c r="A1694" s="26">
        <v>1142</v>
      </c>
      <c r="B1694" s="27" t="s">
        <v>198</v>
      </c>
      <c r="C1694" s="27" t="s">
        <v>116</v>
      </c>
      <c r="D1694" s="28">
        <v>0.01</v>
      </c>
      <c r="E1694" s="29">
        <v>18.97</v>
      </c>
      <c r="F1694" s="29">
        <v>9.5399999999999991</v>
      </c>
      <c r="G1694" s="30" t="s">
        <v>39</v>
      </c>
      <c r="H1694" s="27" t="s">
        <v>71</v>
      </c>
      <c r="I1694" s="27" t="s">
        <v>49</v>
      </c>
      <c r="J1694" s="27" t="s">
        <v>88</v>
      </c>
      <c r="K1694" s="27" t="s">
        <v>73</v>
      </c>
      <c r="L1694" s="31" t="s">
        <v>479</v>
      </c>
      <c r="M1694" s="32">
        <v>0.37</v>
      </c>
      <c r="N1694" s="27" t="s">
        <v>33</v>
      </c>
      <c r="O1694" s="27" t="s">
        <v>53</v>
      </c>
      <c r="P1694" s="27" t="s">
        <v>187</v>
      </c>
      <c r="Q1694" s="27" t="s">
        <v>200</v>
      </c>
      <c r="R1694" s="33">
        <v>76706</v>
      </c>
      <c r="S1694" s="34">
        <v>42161</v>
      </c>
      <c r="T1694" s="34">
        <v>42164</v>
      </c>
      <c r="U1694" s="29">
        <v>85.875</v>
      </c>
      <c r="V1694" s="26">
        <v>11</v>
      </c>
      <c r="W1694" s="29">
        <v>227.67</v>
      </c>
      <c r="X1694" s="26">
        <v>86575</v>
      </c>
      <c r="Y1694" s="35">
        <v>18.959999999999997</v>
      </c>
      <c r="Z1694" s="1" t="s">
        <v>3012</v>
      </c>
      <c r="AA1694" s="36">
        <v>2.0866999999999996</v>
      </c>
      <c r="AB1694" s="54">
        <v>143.43209999999999</v>
      </c>
      <c r="AC1694" s="54">
        <v>7.6579909090909082</v>
      </c>
      <c r="AD1694" s="36">
        <v>130.16829999999999</v>
      </c>
    </row>
    <row r="1695" spans="1:30" s="37" customFormat="1" ht="15.75" customHeight="1" x14ac:dyDescent="0.2">
      <c r="A1695" s="26">
        <v>699</v>
      </c>
      <c r="B1695" s="27" t="s">
        <v>861</v>
      </c>
      <c r="C1695" s="27" t="s">
        <v>26</v>
      </c>
      <c r="D1695" s="28">
        <v>0.02</v>
      </c>
      <c r="E1695" s="29">
        <v>6.47</v>
      </c>
      <c r="F1695" s="29">
        <v>1.22</v>
      </c>
      <c r="G1695" s="30" t="s">
        <v>39</v>
      </c>
      <c r="H1695" s="27" t="s">
        <v>40</v>
      </c>
      <c r="I1695" s="27" t="s">
        <v>49</v>
      </c>
      <c r="J1695" s="27" t="s">
        <v>50</v>
      </c>
      <c r="K1695" s="27" t="s">
        <v>51</v>
      </c>
      <c r="L1695" s="31" t="s">
        <v>2773</v>
      </c>
      <c r="M1695" s="32">
        <v>0.4</v>
      </c>
      <c r="N1695" s="27" t="s">
        <v>33</v>
      </c>
      <c r="O1695" s="27" t="s">
        <v>60</v>
      </c>
      <c r="P1695" s="27" t="s">
        <v>90</v>
      </c>
      <c r="Q1695" s="27" t="s">
        <v>100</v>
      </c>
      <c r="R1695" s="33">
        <v>90041</v>
      </c>
      <c r="S1695" s="34">
        <v>42161</v>
      </c>
      <c r="T1695" s="34">
        <v>42162</v>
      </c>
      <c r="U1695" s="29">
        <v>40.200000000000003</v>
      </c>
      <c r="V1695" s="26">
        <v>30</v>
      </c>
      <c r="W1695" s="29">
        <v>193.95</v>
      </c>
      <c r="X1695" s="26">
        <v>55392</v>
      </c>
      <c r="Y1695" s="35">
        <v>399.93</v>
      </c>
      <c r="Z1695" s="1" t="s">
        <v>3013</v>
      </c>
      <c r="AA1695" s="36">
        <v>3.8819999999999997</v>
      </c>
      <c r="AB1695" s="54">
        <v>116.36999999999999</v>
      </c>
      <c r="AC1695" s="54">
        <v>2.5860000000000003</v>
      </c>
      <c r="AD1695" s="36">
        <v>148.648</v>
      </c>
    </row>
    <row r="1696" spans="1:30" s="37" customFormat="1" ht="15.75" customHeight="1" x14ac:dyDescent="0.2">
      <c r="A1696" s="26">
        <v>699</v>
      </c>
      <c r="B1696" s="27" t="s">
        <v>861</v>
      </c>
      <c r="C1696" s="27" t="s">
        <v>26</v>
      </c>
      <c r="D1696" s="28">
        <v>7.0000000000000007E-2</v>
      </c>
      <c r="E1696" s="29">
        <v>2.84</v>
      </c>
      <c r="F1696" s="29">
        <v>0.93</v>
      </c>
      <c r="G1696" s="30" t="s">
        <v>39</v>
      </c>
      <c r="H1696" s="27" t="s">
        <v>40</v>
      </c>
      <c r="I1696" s="27" t="s">
        <v>49</v>
      </c>
      <c r="J1696" s="27" t="s">
        <v>50</v>
      </c>
      <c r="K1696" s="27" t="s">
        <v>51</v>
      </c>
      <c r="L1696" s="31" t="s">
        <v>292</v>
      </c>
      <c r="M1696" s="32">
        <v>0.54</v>
      </c>
      <c r="N1696" s="27" t="s">
        <v>33</v>
      </c>
      <c r="O1696" s="27" t="s">
        <v>60</v>
      </c>
      <c r="P1696" s="27" t="s">
        <v>90</v>
      </c>
      <c r="Q1696" s="27" t="s">
        <v>100</v>
      </c>
      <c r="R1696" s="33">
        <v>90041</v>
      </c>
      <c r="S1696" s="34">
        <v>42161</v>
      </c>
      <c r="T1696" s="34">
        <v>42163</v>
      </c>
      <c r="U1696" s="29">
        <v>3.21</v>
      </c>
      <c r="V1696" s="26">
        <v>59</v>
      </c>
      <c r="W1696" s="29">
        <v>158.80000000000001</v>
      </c>
      <c r="X1696" s="26">
        <v>55392</v>
      </c>
      <c r="Y1696" s="35">
        <v>6.41</v>
      </c>
      <c r="Z1696" s="1" t="s">
        <v>3013</v>
      </c>
      <c r="AA1696" s="36">
        <v>11.729200000000001</v>
      </c>
      <c r="AB1696" s="54">
        <v>73.048000000000002</v>
      </c>
      <c r="AC1696" s="54">
        <v>1.4534237288135596</v>
      </c>
      <c r="AD1696" s="36">
        <v>142.9308</v>
      </c>
    </row>
    <row r="1697" spans="1:30" s="37" customFormat="1" ht="15.75" customHeight="1" x14ac:dyDescent="0.2">
      <c r="A1697" s="26">
        <v>2107</v>
      </c>
      <c r="B1697" s="27" t="s">
        <v>2779</v>
      </c>
      <c r="C1697" s="27" t="s">
        <v>116</v>
      </c>
      <c r="D1697" s="28">
        <v>7.0000000000000007E-2</v>
      </c>
      <c r="E1697" s="29">
        <v>6.48</v>
      </c>
      <c r="F1697" s="29">
        <v>5.74</v>
      </c>
      <c r="G1697" s="30" t="s">
        <v>39</v>
      </c>
      <c r="H1697" s="27" t="s">
        <v>94</v>
      </c>
      <c r="I1697" s="27" t="s">
        <v>49</v>
      </c>
      <c r="J1697" s="27" t="s">
        <v>88</v>
      </c>
      <c r="K1697" s="27" t="s">
        <v>73</v>
      </c>
      <c r="L1697" s="31" t="s">
        <v>2780</v>
      </c>
      <c r="M1697" s="32">
        <v>0.37</v>
      </c>
      <c r="N1697" s="27" t="s">
        <v>33</v>
      </c>
      <c r="O1697" s="27" t="s">
        <v>53</v>
      </c>
      <c r="P1697" s="27" t="s">
        <v>103</v>
      </c>
      <c r="Q1697" s="27" t="s">
        <v>533</v>
      </c>
      <c r="R1697" s="33">
        <v>60601</v>
      </c>
      <c r="S1697" s="34">
        <v>42161</v>
      </c>
      <c r="T1697" s="34">
        <v>42161</v>
      </c>
      <c r="U1697" s="29">
        <v>-28.45</v>
      </c>
      <c r="V1697" s="26">
        <v>20</v>
      </c>
      <c r="W1697" s="29">
        <v>134.58000000000001</v>
      </c>
      <c r="X1697" s="26">
        <v>39015</v>
      </c>
      <c r="Y1697" s="35">
        <v>6.41</v>
      </c>
      <c r="Z1697" s="1" t="s">
        <v>3012</v>
      </c>
      <c r="AA1697" s="36">
        <v>9.072000000000001</v>
      </c>
      <c r="AB1697" s="54">
        <v>84.78540000000001</v>
      </c>
      <c r="AC1697" s="54">
        <v>2.4897300000000002</v>
      </c>
      <c r="AD1697" s="36">
        <v>148.21800000000002</v>
      </c>
    </row>
    <row r="1698" spans="1:30" s="37" customFormat="1" ht="15.75" customHeight="1" x14ac:dyDescent="0.2">
      <c r="A1698" s="26">
        <v>1341</v>
      </c>
      <c r="B1698" s="27" t="s">
        <v>1086</v>
      </c>
      <c r="C1698" s="27" t="s">
        <v>3094</v>
      </c>
      <c r="D1698" s="28">
        <v>0</v>
      </c>
      <c r="E1698" s="29">
        <v>20.89</v>
      </c>
      <c r="F1698" s="29">
        <v>1.99</v>
      </c>
      <c r="G1698" s="30" t="s">
        <v>39</v>
      </c>
      <c r="H1698" s="27" t="s">
        <v>71</v>
      </c>
      <c r="I1698" s="27" t="s">
        <v>41</v>
      </c>
      <c r="J1698" s="27" t="s">
        <v>42</v>
      </c>
      <c r="K1698" s="27" t="s">
        <v>43</v>
      </c>
      <c r="L1698" s="31" t="s">
        <v>2786</v>
      </c>
      <c r="M1698" s="32">
        <v>0.48</v>
      </c>
      <c r="N1698" s="27" t="s">
        <v>33</v>
      </c>
      <c r="O1698" s="27" t="s">
        <v>111</v>
      </c>
      <c r="P1698" s="27" t="s">
        <v>320</v>
      </c>
      <c r="Q1698" s="27" t="s">
        <v>1087</v>
      </c>
      <c r="R1698" s="33">
        <v>17201</v>
      </c>
      <c r="S1698" s="34">
        <v>42161</v>
      </c>
      <c r="T1698" s="34">
        <v>42163</v>
      </c>
      <c r="U1698" s="29">
        <v>-5.2949999999999999</v>
      </c>
      <c r="V1698" s="26">
        <v>4</v>
      </c>
      <c r="W1698" s="29">
        <v>84.56</v>
      </c>
      <c r="X1698" s="26">
        <v>91245</v>
      </c>
      <c r="Y1698" s="35">
        <v>49.99</v>
      </c>
      <c r="Z1698" s="1" t="s">
        <v>3014</v>
      </c>
      <c r="AA1698" s="36">
        <v>0</v>
      </c>
      <c r="AB1698" s="54">
        <v>43.971200000000003</v>
      </c>
      <c r="AC1698" s="54">
        <v>10.1472</v>
      </c>
      <c r="AD1698" s="36">
        <v>87.865000000000009</v>
      </c>
    </row>
    <row r="1699" spans="1:30" s="37" customFormat="1" ht="15.75" customHeight="1" x14ac:dyDescent="0.2">
      <c r="A1699" s="26">
        <v>3045</v>
      </c>
      <c r="B1699" s="27" t="s">
        <v>2776</v>
      </c>
      <c r="C1699" s="27" t="s">
        <v>38</v>
      </c>
      <c r="D1699" s="28">
        <v>0</v>
      </c>
      <c r="E1699" s="29">
        <v>6.48</v>
      </c>
      <c r="F1699" s="29">
        <v>5.19</v>
      </c>
      <c r="G1699" s="30" t="s">
        <v>39</v>
      </c>
      <c r="H1699" s="27" t="s">
        <v>3095</v>
      </c>
      <c r="I1699" s="27" t="s">
        <v>49</v>
      </c>
      <c r="J1699" s="27" t="s">
        <v>88</v>
      </c>
      <c r="K1699" s="27" t="s">
        <v>73</v>
      </c>
      <c r="L1699" s="31" t="s">
        <v>2777</v>
      </c>
      <c r="M1699" s="32">
        <v>0.37</v>
      </c>
      <c r="N1699" s="27" t="s">
        <v>33</v>
      </c>
      <c r="O1699" s="27" t="s">
        <v>53</v>
      </c>
      <c r="P1699" s="27" t="s">
        <v>537</v>
      </c>
      <c r="Q1699" s="27" t="s">
        <v>2778</v>
      </c>
      <c r="R1699" s="33">
        <v>66048</v>
      </c>
      <c r="S1699" s="34">
        <v>42161</v>
      </c>
      <c r="T1699" s="34">
        <v>42162</v>
      </c>
      <c r="U1699" s="29">
        <v>-14.074999999999999</v>
      </c>
      <c r="V1699" s="26">
        <v>12</v>
      </c>
      <c r="W1699" s="29">
        <v>84.04</v>
      </c>
      <c r="X1699" s="26">
        <v>86104</v>
      </c>
      <c r="Y1699" s="35">
        <v>140.72999999999999</v>
      </c>
      <c r="Z1699" s="1" t="s">
        <v>3012</v>
      </c>
      <c r="AA1699" s="36">
        <v>0</v>
      </c>
      <c r="AB1699" s="54">
        <v>52.945200000000007</v>
      </c>
      <c r="AC1699" s="54">
        <v>2.5912333333333333</v>
      </c>
      <c r="AD1699" s="36">
        <v>92.925000000000011</v>
      </c>
    </row>
    <row r="1700" spans="1:30" s="37" customFormat="1" ht="15.75" customHeight="1" x14ac:dyDescent="0.2">
      <c r="A1700" s="26">
        <v>1341</v>
      </c>
      <c r="B1700" s="27" t="s">
        <v>1086</v>
      </c>
      <c r="C1700" s="27" t="s">
        <v>3094</v>
      </c>
      <c r="D1700" s="28">
        <v>7.0000000000000007E-2</v>
      </c>
      <c r="E1700" s="29">
        <v>3.98</v>
      </c>
      <c r="F1700" s="29">
        <v>0.83</v>
      </c>
      <c r="G1700" s="30" t="s">
        <v>39</v>
      </c>
      <c r="H1700" s="27" t="s">
        <v>71</v>
      </c>
      <c r="I1700" s="27" t="s">
        <v>49</v>
      </c>
      <c r="J1700" s="27" t="s">
        <v>50</v>
      </c>
      <c r="K1700" s="27" t="s">
        <v>51</v>
      </c>
      <c r="L1700" s="31" t="s">
        <v>2785</v>
      </c>
      <c r="M1700" s="32">
        <v>0.51</v>
      </c>
      <c r="N1700" s="27" t="s">
        <v>33</v>
      </c>
      <c r="O1700" s="27" t="s">
        <v>111</v>
      </c>
      <c r="P1700" s="27" t="s">
        <v>320</v>
      </c>
      <c r="Q1700" s="27" t="s">
        <v>1087</v>
      </c>
      <c r="R1700" s="33">
        <v>17201</v>
      </c>
      <c r="S1700" s="34">
        <v>42161</v>
      </c>
      <c r="T1700" s="34">
        <v>42164</v>
      </c>
      <c r="U1700" s="29">
        <v>41.07</v>
      </c>
      <c r="V1700" s="26">
        <v>19</v>
      </c>
      <c r="W1700" s="29">
        <v>70.709999999999994</v>
      </c>
      <c r="X1700" s="26">
        <v>91245</v>
      </c>
      <c r="Y1700" s="35">
        <v>3.91</v>
      </c>
      <c r="Z1700" s="1" t="s">
        <v>3014</v>
      </c>
      <c r="AA1700" s="36">
        <v>5.2934000000000001</v>
      </c>
      <c r="AB1700" s="54">
        <v>34.647899999999993</v>
      </c>
      <c r="AC1700" s="54">
        <v>1.8980052631578945</v>
      </c>
      <c r="AD1700" s="36">
        <v>23.516599999999997</v>
      </c>
    </row>
    <row r="1701" spans="1:30" s="37" customFormat="1" ht="15.75" customHeight="1" x14ac:dyDescent="0.2">
      <c r="A1701" s="26">
        <v>711</v>
      </c>
      <c r="B1701" s="27" t="s">
        <v>2774</v>
      </c>
      <c r="C1701" s="27" t="s">
        <v>26</v>
      </c>
      <c r="D1701" s="28">
        <v>7.0000000000000007E-2</v>
      </c>
      <c r="E1701" s="29">
        <v>2.84</v>
      </c>
      <c r="F1701" s="29">
        <v>0.93</v>
      </c>
      <c r="G1701" s="30" t="s">
        <v>39</v>
      </c>
      <c r="H1701" s="27" t="s">
        <v>40</v>
      </c>
      <c r="I1701" s="27" t="s">
        <v>49</v>
      </c>
      <c r="J1701" s="27" t="s">
        <v>50</v>
      </c>
      <c r="K1701" s="27" t="s">
        <v>51</v>
      </c>
      <c r="L1701" s="31" t="s">
        <v>292</v>
      </c>
      <c r="M1701" s="32">
        <v>0.54</v>
      </c>
      <c r="N1701" s="27" t="s">
        <v>33</v>
      </c>
      <c r="O1701" s="27" t="s">
        <v>111</v>
      </c>
      <c r="P1701" s="27" t="s">
        <v>403</v>
      </c>
      <c r="Q1701" s="27" t="s">
        <v>2775</v>
      </c>
      <c r="R1701" s="33">
        <v>2152</v>
      </c>
      <c r="S1701" s="34">
        <v>42161</v>
      </c>
      <c r="T1701" s="34">
        <v>42163</v>
      </c>
      <c r="U1701" s="29">
        <v>3.8519999999999999</v>
      </c>
      <c r="V1701" s="26">
        <v>15</v>
      </c>
      <c r="W1701" s="29">
        <v>40.369999999999997</v>
      </c>
      <c r="X1701" s="26">
        <v>87978</v>
      </c>
      <c r="Y1701" s="35">
        <v>20.89</v>
      </c>
      <c r="Z1701" s="1" t="s">
        <v>3014</v>
      </c>
      <c r="AA1701" s="36">
        <v>2.9820000000000002</v>
      </c>
      <c r="AB1701" s="54">
        <v>18.570199999999996</v>
      </c>
      <c r="AC1701" s="54">
        <v>1.4533199999999999</v>
      </c>
      <c r="AD1701" s="36">
        <v>32.605999999999995</v>
      </c>
    </row>
    <row r="1702" spans="1:30" s="37" customFormat="1" ht="15.75" customHeight="1" x14ac:dyDescent="0.2">
      <c r="A1702" s="26">
        <v>2432</v>
      </c>
      <c r="B1702" s="27" t="s">
        <v>2571</v>
      </c>
      <c r="C1702" s="27" t="s">
        <v>3094</v>
      </c>
      <c r="D1702" s="28">
        <v>0.09</v>
      </c>
      <c r="E1702" s="29">
        <v>5.4</v>
      </c>
      <c r="F1702" s="29">
        <v>7.78</v>
      </c>
      <c r="G1702" s="30" t="s">
        <v>87</v>
      </c>
      <c r="H1702" s="27" t="s">
        <v>40</v>
      </c>
      <c r="I1702" s="27" t="s">
        <v>49</v>
      </c>
      <c r="J1702" s="27" t="s">
        <v>72</v>
      </c>
      <c r="K1702" s="27" t="s">
        <v>73</v>
      </c>
      <c r="L1702" s="31" t="s">
        <v>1484</v>
      </c>
      <c r="M1702" s="32">
        <v>0.37</v>
      </c>
      <c r="N1702" s="27" t="s">
        <v>33</v>
      </c>
      <c r="O1702" s="27" t="s">
        <v>53</v>
      </c>
      <c r="P1702" s="27" t="s">
        <v>207</v>
      </c>
      <c r="Q1702" s="27" t="s">
        <v>2572</v>
      </c>
      <c r="R1702" s="33">
        <v>73110</v>
      </c>
      <c r="S1702" s="34">
        <v>42161</v>
      </c>
      <c r="T1702" s="34">
        <v>42163</v>
      </c>
      <c r="U1702" s="29">
        <v>-34.764499999999998</v>
      </c>
      <c r="V1702" s="26">
        <v>6</v>
      </c>
      <c r="W1702" s="29">
        <v>37.380000000000003</v>
      </c>
      <c r="X1702" s="26">
        <v>89097</v>
      </c>
      <c r="Y1702" s="35">
        <v>3.91</v>
      </c>
      <c r="Z1702" s="1" t="s">
        <v>3012</v>
      </c>
      <c r="AA1702" s="36">
        <v>2.9159999999999999</v>
      </c>
      <c r="AB1702" s="54">
        <v>23.549400000000002</v>
      </c>
      <c r="AC1702" s="54">
        <v>2.3050999999999999</v>
      </c>
      <c r="AD1702" s="36">
        <v>61.448499999999996</v>
      </c>
    </row>
    <row r="1703" spans="1:30" s="37" customFormat="1" ht="15.75" customHeight="1" x14ac:dyDescent="0.2">
      <c r="A1703" s="26">
        <v>2108</v>
      </c>
      <c r="B1703" s="27" t="s">
        <v>2781</v>
      </c>
      <c r="C1703" s="27" t="s">
        <v>116</v>
      </c>
      <c r="D1703" s="28">
        <v>7.0000000000000007E-2</v>
      </c>
      <c r="E1703" s="29">
        <v>6.48</v>
      </c>
      <c r="F1703" s="29">
        <v>5.74</v>
      </c>
      <c r="G1703" s="30" t="s">
        <v>39</v>
      </c>
      <c r="H1703" s="27" t="s">
        <v>94</v>
      </c>
      <c r="I1703" s="27" t="s">
        <v>49</v>
      </c>
      <c r="J1703" s="27" t="s">
        <v>88</v>
      </c>
      <c r="K1703" s="27" t="s">
        <v>73</v>
      </c>
      <c r="L1703" s="31" t="s">
        <v>2780</v>
      </c>
      <c r="M1703" s="32">
        <v>0.37</v>
      </c>
      <c r="N1703" s="27" t="s">
        <v>33</v>
      </c>
      <c r="O1703" s="27" t="s">
        <v>53</v>
      </c>
      <c r="P1703" s="27" t="s">
        <v>80</v>
      </c>
      <c r="Q1703" s="27" t="s">
        <v>2782</v>
      </c>
      <c r="R1703" s="33">
        <v>63129</v>
      </c>
      <c r="S1703" s="34">
        <v>42161</v>
      </c>
      <c r="T1703" s="34">
        <v>42161</v>
      </c>
      <c r="U1703" s="29">
        <v>-14.225</v>
      </c>
      <c r="V1703" s="26">
        <v>5</v>
      </c>
      <c r="W1703" s="29">
        <v>33.65</v>
      </c>
      <c r="X1703" s="26">
        <v>87862</v>
      </c>
      <c r="Y1703" s="35">
        <v>5.3100000000000005</v>
      </c>
      <c r="Z1703" s="1" t="s">
        <v>3012</v>
      </c>
      <c r="AA1703" s="36">
        <v>2.2680000000000002</v>
      </c>
      <c r="AB1703" s="54">
        <v>21.1995</v>
      </c>
      <c r="AC1703" s="54">
        <v>2.4901</v>
      </c>
      <c r="AD1703" s="36">
        <v>39.866999999999997</v>
      </c>
    </row>
    <row r="1704" spans="1:30" s="37" customFormat="1" ht="15.75" customHeight="1" x14ac:dyDescent="0.2">
      <c r="A1704" s="26">
        <v>3397</v>
      </c>
      <c r="B1704" s="27" t="s">
        <v>1584</v>
      </c>
      <c r="C1704" s="27" t="s">
        <v>48</v>
      </c>
      <c r="D1704" s="28">
        <v>0</v>
      </c>
      <c r="E1704" s="29">
        <v>1270.99</v>
      </c>
      <c r="F1704" s="29">
        <v>19.989999999999998</v>
      </c>
      <c r="G1704" s="30" t="s">
        <v>39</v>
      </c>
      <c r="H1704" s="27" t="s">
        <v>3095</v>
      </c>
      <c r="I1704" s="27" t="s">
        <v>49</v>
      </c>
      <c r="J1704" s="27" t="s">
        <v>72</v>
      </c>
      <c r="K1704" s="27" t="s">
        <v>73</v>
      </c>
      <c r="L1704" s="31" t="s">
        <v>652</v>
      </c>
      <c r="M1704" s="32">
        <v>0.35</v>
      </c>
      <c r="N1704" s="27" t="s">
        <v>33</v>
      </c>
      <c r="O1704" s="27" t="s">
        <v>53</v>
      </c>
      <c r="P1704" s="27" t="s">
        <v>103</v>
      </c>
      <c r="Q1704" s="27" t="s">
        <v>1586</v>
      </c>
      <c r="R1704" s="33">
        <v>61832</v>
      </c>
      <c r="S1704" s="34">
        <v>42162</v>
      </c>
      <c r="T1704" s="34">
        <v>42164</v>
      </c>
      <c r="U1704" s="29">
        <v>6384.4389000000001</v>
      </c>
      <c r="V1704" s="26">
        <v>7</v>
      </c>
      <c r="W1704" s="29">
        <v>9252.81</v>
      </c>
      <c r="X1704" s="26">
        <v>87535</v>
      </c>
      <c r="Y1704" s="35">
        <v>43.949999999999996</v>
      </c>
      <c r="Z1704" s="1" t="s">
        <v>3012</v>
      </c>
      <c r="AA1704" s="36">
        <v>0</v>
      </c>
      <c r="AB1704" s="54">
        <v>6014.3265000000001</v>
      </c>
      <c r="AC1704" s="54">
        <v>462.64049999999992</v>
      </c>
      <c r="AD1704" s="36">
        <v>2848.3810999999996</v>
      </c>
    </row>
    <row r="1705" spans="1:30" s="37" customFormat="1" ht="15.75" customHeight="1" x14ac:dyDescent="0.2">
      <c r="A1705" s="26">
        <v>1384</v>
      </c>
      <c r="B1705" s="27" t="s">
        <v>2791</v>
      </c>
      <c r="C1705" s="27" t="s">
        <v>48</v>
      </c>
      <c r="D1705" s="28">
        <v>0.02</v>
      </c>
      <c r="E1705" s="29">
        <v>70.97</v>
      </c>
      <c r="F1705" s="29">
        <v>3.5</v>
      </c>
      <c r="G1705" s="30" t="s">
        <v>39</v>
      </c>
      <c r="H1705" s="27" t="s">
        <v>40</v>
      </c>
      <c r="I1705" s="27" t="s">
        <v>49</v>
      </c>
      <c r="J1705" s="27" t="s">
        <v>95</v>
      </c>
      <c r="K1705" s="27" t="s">
        <v>73</v>
      </c>
      <c r="L1705" s="31" t="s">
        <v>2177</v>
      </c>
      <c r="M1705" s="32">
        <v>0.59</v>
      </c>
      <c r="N1705" s="27" t="s">
        <v>33</v>
      </c>
      <c r="O1705" s="27" t="s">
        <v>34</v>
      </c>
      <c r="P1705" s="27" t="s">
        <v>242</v>
      </c>
      <c r="Q1705" s="27" t="s">
        <v>2732</v>
      </c>
      <c r="R1705" s="33">
        <v>22304</v>
      </c>
      <c r="S1705" s="34">
        <v>42162</v>
      </c>
      <c r="T1705" s="34">
        <v>42169</v>
      </c>
      <c r="U1705" s="29">
        <v>23.616</v>
      </c>
      <c r="V1705" s="26">
        <v>21</v>
      </c>
      <c r="W1705" s="29">
        <v>1533.59</v>
      </c>
      <c r="X1705" s="26">
        <v>89408</v>
      </c>
      <c r="Y1705" s="35">
        <v>4.6899999999999995</v>
      </c>
      <c r="Z1705" s="1" t="s">
        <v>3011</v>
      </c>
      <c r="AA1705" s="36">
        <v>29.807400000000001</v>
      </c>
      <c r="AB1705" s="54">
        <v>628.77189999999996</v>
      </c>
      <c r="AC1705" s="54">
        <v>43.086576190476187</v>
      </c>
      <c r="AD1705" s="36">
        <v>1476.6666</v>
      </c>
    </row>
    <row r="1706" spans="1:30" s="37" customFormat="1" ht="15.75" customHeight="1" x14ac:dyDescent="0.2">
      <c r="A1706" s="26">
        <v>2583</v>
      </c>
      <c r="B1706" s="27" t="s">
        <v>2794</v>
      </c>
      <c r="C1706" s="27" t="s">
        <v>116</v>
      </c>
      <c r="D1706" s="28">
        <v>0.04</v>
      </c>
      <c r="E1706" s="29">
        <v>510.14</v>
      </c>
      <c r="F1706" s="29">
        <v>14.7</v>
      </c>
      <c r="G1706" s="30" t="s">
        <v>27</v>
      </c>
      <c r="H1706" s="27" t="s">
        <v>71</v>
      </c>
      <c r="I1706" s="27" t="s">
        <v>41</v>
      </c>
      <c r="J1706" s="27" t="s">
        <v>57</v>
      </c>
      <c r="K1706" s="27" t="s">
        <v>58</v>
      </c>
      <c r="L1706" s="31" t="s">
        <v>2795</v>
      </c>
      <c r="M1706" s="32">
        <v>0.56000000000000005</v>
      </c>
      <c r="N1706" s="27" t="s">
        <v>33</v>
      </c>
      <c r="O1706" s="27" t="s">
        <v>53</v>
      </c>
      <c r="P1706" s="27" t="s">
        <v>289</v>
      </c>
      <c r="Q1706" s="27" t="s">
        <v>2796</v>
      </c>
      <c r="R1706" s="33">
        <v>49423</v>
      </c>
      <c r="S1706" s="34">
        <v>42162</v>
      </c>
      <c r="T1706" s="34">
        <v>42164</v>
      </c>
      <c r="U1706" s="29">
        <v>-251.40389999999999</v>
      </c>
      <c r="V1706" s="26">
        <v>3</v>
      </c>
      <c r="W1706" s="29">
        <v>1527.97</v>
      </c>
      <c r="X1706" s="26">
        <v>89657</v>
      </c>
      <c r="Y1706" s="35">
        <v>48.019999999999996</v>
      </c>
      <c r="Z1706" s="1" t="s">
        <v>3012</v>
      </c>
      <c r="AA1706" s="36">
        <v>61.216799999999999</v>
      </c>
      <c r="AB1706" s="54">
        <v>672.30679999999995</v>
      </c>
      <c r="AC1706" s="54">
        <v>285.22106666666667</v>
      </c>
      <c r="AD1706" s="36">
        <v>1703.4571000000001</v>
      </c>
    </row>
    <row r="1707" spans="1:30" s="37" customFormat="1" ht="15.75" customHeight="1" x14ac:dyDescent="0.2">
      <c r="A1707" s="26">
        <v>2920</v>
      </c>
      <c r="B1707" s="27" t="s">
        <v>2798</v>
      </c>
      <c r="C1707" s="27" t="s">
        <v>116</v>
      </c>
      <c r="D1707" s="28">
        <v>0.05</v>
      </c>
      <c r="E1707" s="29">
        <v>535.64</v>
      </c>
      <c r="F1707" s="29">
        <v>14.7</v>
      </c>
      <c r="G1707" s="30" t="s">
        <v>27</v>
      </c>
      <c r="H1707" s="27" t="s">
        <v>71</v>
      </c>
      <c r="I1707" s="27" t="s">
        <v>41</v>
      </c>
      <c r="J1707" s="27" t="s">
        <v>57</v>
      </c>
      <c r="K1707" s="27" t="s">
        <v>58</v>
      </c>
      <c r="L1707" s="31" t="s">
        <v>1466</v>
      </c>
      <c r="M1707" s="32">
        <v>0.59</v>
      </c>
      <c r="N1707" s="27" t="s">
        <v>33</v>
      </c>
      <c r="O1707" s="27" t="s">
        <v>53</v>
      </c>
      <c r="P1707" s="27" t="s">
        <v>103</v>
      </c>
      <c r="Q1707" s="27" t="s">
        <v>533</v>
      </c>
      <c r="R1707" s="33">
        <v>60603</v>
      </c>
      <c r="S1707" s="34">
        <v>42162</v>
      </c>
      <c r="T1707" s="34">
        <v>42164</v>
      </c>
      <c r="U1707" s="29">
        <v>-1220.9145000000001</v>
      </c>
      <c r="V1707" s="26">
        <v>2</v>
      </c>
      <c r="W1707" s="29">
        <v>1068.5999999999999</v>
      </c>
      <c r="X1707" s="26">
        <v>59365</v>
      </c>
      <c r="Y1707" s="35">
        <v>70.95</v>
      </c>
      <c r="Z1707" s="1" t="s">
        <v>3012</v>
      </c>
      <c r="AA1707" s="36">
        <v>53.564</v>
      </c>
      <c r="AB1707" s="54">
        <v>438.12599999999998</v>
      </c>
      <c r="AC1707" s="54">
        <v>315.23699999999997</v>
      </c>
      <c r="AD1707" s="36">
        <v>2221.2505000000001</v>
      </c>
    </row>
    <row r="1708" spans="1:30" s="37" customFormat="1" ht="15.75" customHeight="1" x14ac:dyDescent="0.2">
      <c r="A1708" s="26">
        <v>1672</v>
      </c>
      <c r="B1708" s="27" t="s">
        <v>2792</v>
      </c>
      <c r="C1708" s="27" t="s">
        <v>48</v>
      </c>
      <c r="D1708" s="28">
        <v>0.08</v>
      </c>
      <c r="E1708" s="29">
        <v>55.48</v>
      </c>
      <c r="F1708" s="29">
        <v>14.3</v>
      </c>
      <c r="G1708" s="30" t="s">
        <v>39</v>
      </c>
      <c r="H1708" s="27" t="s">
        <v>3095</v>
      </c>
      <c r="I1708" s="27" t="s">
        <v>49</v>
      </c>
      <c r="J1708" s="27" t="s">
        <v>88</v>
      </c>
      <c r="K1708" s="27" t="s">
        <v>73</v>
      </c>
      <c r="L1708" s="31" t="s">
        <v>847</v>
      </c>
      <c r="M1708" s="32">
        <v>0.37</v>
      </c>
      <c r="N1708" s="27" t="s">
        <v>33</v>
      </c>
      <c r="O1708" s="27" t="s">
        <v>34</v>
      </c>
      <c r="P1708" s="27" t="s">
        <v>242</v>
      </c>
      <c r="Q1708" s="27" t="s">
        <v>2793</v>
      </c>
      <c r="R1708" s="33">
        <v>22901</v>
      </c>
      <c r="S1708" s="34">
        <v>42162</v>
      </c>
      <c r="T1708" s="34">
        <v>42164</v>
      </c>
      <c r="U1708" s="29">
        <v>-225.56379999999999</v>
      </c>
      <c r="V1708" s="26">
        <v>17</v>
      </c>
      <c r="W1708" s="29">
        <v>942.53</v>
      </c>
      <c r="X1708" s="26">
        <v>86723</v>
      </c>
      <c r="Y1708" s="35">
        <v>284.96000000000004</v>
      </c>
      <c r="Z1708" s="1" t="s">
        <v>3011</v>
      </c>
      <c r="AA1708" s="36">
        <v>75.452799999999996</v>
      </c>
      <c r="AB1708" s="54">
        <v>593.79390000000001</v>
      </c>
      <c r="AC1708" s="54">
        <v>20.513888235294115</v>
      </c>
      <c r="AD1708" s="36">
        <v>1078.3409999999999</v>
      </c>
    </row>
    <row r="1709" spans="1:30" s="37" customFormat="1" ht="15.75" customHeight="1" x14ac:dyDescent="0.2">
      <c r="A1709" s="26">
        <v>1672</v>
      </c>
      <c r="B1709" s="27" t="s">
        <v>2792</v>
      </c>
      <c r="C1709" s="27" t="s">
        <v>48</v>
      </c>
      <c r="D1709" s="28">
        <v>0.02</v>
      </c>
      <c r="E1709" s="29">
        <v>284.98</v>
      </c>
      <c r="F1709" s="29">
        <v>69.55</v>
      </c>
      <c r="G1709" s="30" t="s">
        <v>27</v>
      </c>
      <c r="H1709" s="27" t="s">
        <v>3095</v>
      </c>
      <c r="I1709" s="27" t="s">
        <v>29</v>
      </c>
      <c r="J1709" s="27" t="s">
        <v>109</v>
      </c>
      <c r="K1709" s="27" t="s">
        <v>58</v>
      </c>
      <c r="L1709" s="31" t="s">
        <v>1415</v>
      </c>
      <c r="M1709" s="32">
        <v>0.6</v>
      </c>
      <c r="N1709" s="27" t="s">
        <v>33</v>
      </c>
      <c r="O1709" s="27" t="s">
        <v>34</v>
      </c>
      <c r="P1709" s="27" t="s">
        <v>242</v>
      </c>
      <c r="Q1709" s="27" t="s">
        <v>2793</v>
      </c>
      <c r="R1709" s="33">
        <v>22901</v>
      </c>
      <c r="S1709" s="34">
        <v>42162</v>
      </c>
      <c r="T1709" s="34">
        <v>42167</v>
      </c>
      <c r="U1709" s="29">
        <v>15.528</v>
      </c>
      <c r="V1709" s="26">
        <v>3</v>
      </c>
      <c r="W1709" s="29">
        <v>926.3</v>
      </c>
      <c r="X1709" s="26">
        <v>86723</v>
      </c>
      <c r="Y1709" s="35">
        <v>55.4</v>
      </c>
      <c r="Z1709" s="1" t="s">
        <v>3011</v>
      </c>
      <c r="AA1709" s="36">
        <v>17.098800000000001</v>
      </c>
      <c r="AB1709" s="54">
        <v>370.52</v>
      </c>
      <c r="AC1709" s="54">
        <v>185.26</v>
      </c>
      <c r="AD1709" s="36">
        <v>824.1232</v>
      </c>
    </row>
    <row r="1710" spans="1:30" s="37" customFormat="1" ht="15.75" customHeight="1" x14ac:dyDescent="0.2">
      <c r="A1710" s="26">
        <v>737</v>
      </c>
      <c r="B1710" s="27" t="s">
        <v>2789</v>
      </c>
      <c r="C1710" s="27" t="s">
        <v>48</v>
      </c>
      <c r="D1710" s="28">
        <v>0.02</v>
      </c>
      <c r="E1710" s="29">
        <v>48.04</v>
      </c>
      <c r="F1710" s="29">
        <v>5.79</v>
      </c>
      <c r="G1710" s="30" t="s">
        <v>39</v>
      </c>
      <c r="H1710" s="27" t="s">
        <v>40</v>
      </c>
      <c r="I1710" s="27" t="s">
        <v>49</v>
      </c>
      <c r="J1710" s="27" t="s">
        <v>88</v>
      </c>
      <c r="K1710" s="27" t="s">
        <v>73</v>
      </c>
      <c r="L1710" s="31" t="s">
        <v>2201</v>
      </c>
      <c r="M1710" s="32">
        <v>0.37</v>
      </c>
      <c r="N1710" s="27" t="s">
        <v>33</v>
      </c>
      <c r="O1710" s="27" t="s">
        <v>111</v>
      </c>
      <c r="P1710" s="27" t="s">
        <v>397</v>
      </c>
      <c r="Q1710" s="27" t="s">
        <v>2790</v>
      </c>
      <c r="R1710" s="33">
        <v>7003</v>
      </c>
      <c r="S1710" s="34">
        <v>42162</v>
      </c>
      <c r="T1710" s="34">
        <v>42169</v>
      </c>
      <c r="U1710" s="29">
        <v>422.45249999999999</v>
      </c>
      <c r="V1710" s="26">
        <v>12</v>
      </c>
      <c r="W1710" s="29">
        <v>612.25</v>
      </c>
      <c r="X1710" s="26">
        <v>90360</v>
      </c>
      <c r="Y1710" s="35">
        <v>1270.99</v>
      </c>
      <c r="Z1710" s="1" t="s">
        <v>3014</v>
      </c>
      <c r="AA1710" s="36">
        <v>11.5296</v>
      </c>
      <c r="AB1710" s="54">
        <v>385.71750000000003</v>
      </c>
      <c r="AC1710" s="54">
        <v>18.877708333333334</v>
      </c>
      <c r="AD1710" s="36">
        <v>172.47789999999998</v>
      </c>
    </row>
    <row r="1711" spans="1:30" s="37" customFormat="1" ht="15.75" customHeight="1" x14ac:dyDescent="0.2">
      <c r="A1711" s="26">
        <v>92</v>
      </c>
      <c r="B1711" s="27" t="s">
        <v>2543</v>
      </c>
      <c r="C1711" s="27" t="s">
        <v>116</v>
      </c>
      <c r="D1711" s="28">
        <v>0.04</v>
      </c>
      <c r="E1711" s="29">
        <v>12.98</v>
      </c>
      <c r="F1711" s="29">
        <v>3.14</v>
      </c>
      <c r="G1711" s="30" t="s">
        <v>87</v>
      </c>
      <c r="H1711" s="27" t="s">
        <v>94</v>
      </c>
      <c r="I1711" s="27" t="s">
        <v>49</v>
      </c>
      <c r="J1711" s="27" t="s">
        <v>568</v>
      </c>
      <c r="K1711" s="27" t="s">
        <v>43</v>
      </c>
      <c r="L1711" s="31" t="s">
        <v>569</v>
      </c>
      <c r="M1711" s="32">
        <v>0.6</v>
      </c>
      <c r="N1711" s="27" t="s">
        <v>33</v>
      </c>
      <c r="O1711" s="27" t="s">
        <v>34</v>
      </c>
      <c r="P1711" s="27" t="s">
        <v>168</v>
      </c>
      <c r="Q1711" s="27" t="s">
        <v>2545</v>
      </c>
      <c r="R1711" s="33">
        <v>70056</v>
      </c>
      <c r="S1711" s="34">
        <v>42162</v>
      </c>
      <c r="T1711" s="34">
        <v>42164</v>
      </c>
      <c r="U1711" s="29">
        <v>22.818000000000001</v>
      </c>
      <c r="V1711" s="26">
        <v>16</v>
      </c>
      <c r="W1711" s="29">
        <v>216.04</v>
      </c>
      <c r="X1711" s="26">
        <v>87178</v>
      </c>
      <c r="Y1711" s="35">
        <v>12.940000000000001</v>
      </c>
      <c r="Z1711" s="1" t="s">
        <v>3011</v>
      </c>
      <c r="AA1711" s="36">
        <v>8.3071999999999999</v>
      </c>
      <c r="AB1711" s="54">
        <v>86.415999999999997</v>
      </c>
      <c r="AC1711" s="54">
        <v>8.1014999999999997</v>
      </c>
      <c r="AD1711" s="36">
        <v>181.7748</v>
      </c>
    </row>
    <row r="1712" spans="1:30" s="37" customFormat="1" ht="15.75" customHeight="1" x14ac:dyDescent="0.2">
      <c r="A1712" s="26">
        <v>2583</v>
      </c>
      <c r="B1712" s="27" t="s">
        <v>2794</v>
      </c>
      <c r="C1712" s="27" t="s">
        <v>116</v>
      </c>
      <c r="D1712" s="28">
        <v>0</v>
      </c>
      <c r="E1712" s="29">
        <v>4.76</v>
      </c>
      <c r="F1712" s="29">
        <v>3.01</v>
      </c>
      <c r="G1712" s="30" t="s">
        <v>39</v>
      </c>
      <c r="H1712" s="27" t="s">
        <v>71</v>
      </c>
      <c r="I1712" s="27" t="s">
        <v>49</v>
      </c>
      <c r="J1712" s="27" t="s">
        <v>88</v>
      </c>
      <c r="K1712" s="27" t="s">
        <v>51</v>
      </c>
      <c r="L1712" s="31" t="s">
        <v>2797</v>
      </c>
      <c r="M1712" s="32">
        <v>0.36</v>
      </c>
      <c r="N1712" s="27" t="s">
        <v>33</v>
      </c>
      <c r="O1712" s="27" t="s">
        <v>53</v>
      </c>
      <c r="P1712" s="27" t="s">
        <v>289</v>
      </c>
      <c r="Q1712" s="27" t="s">
        <v>2796</v>
      </c>
      <c r="R1712" s="33">
        <v>49423</v>
      </c>
      <c r="S1712" s="34">
        <v>42162</v>
      </c>
      <c r="T1712" s="34">
        <v>42164</v>
      </c>
      <c r="U1712" s="29">
        <v>-2.3450000000000002</v>
      </c>
      <c r="V1712" s="26">
        <v>23</v>
      </c>
      <c r="W1712" s="29">
        <v>110.86</v>
      </c>
      <c r="X1712" s="26">
        <v>89657</v>
      </c>
      <c r="Y1712" s="35">
        <v>510.09999999999997</v>
      </c>
      <c r="Z1712" s="1" t="s">
        <v>3012</v>
      </c>
      <c r="AA1712" s="36">
        <v>0</v>
      </c>
      <c r="AB1712" s="54">
        <v>70.950400000000002</v>
      </c>
      <c r="AC1712" s="54">
        <v>1.7352000000000001</v>
      </c>
      <c r="AD1712" s="36">
        <v>110.19499999999999</v>
      </c>
    </row>
    <row r="1713" spans="1:30" s="37" customFormat="1" ht="15.75" customHeight="1" x14ac:dyDescent="0.2">
      <c r="A1713" s="26">
        <v>1374</v>
      </c>
      <c r="B1713" s="27" t="s">
        <v>2787</v>
      </c>
      <c r="C1713" s="27" t="s">
        <v>26</v>
      </c>
      <c r="D1713" s="28">
        <v>0.06</v>
      </c>
      <c r="E1713" s="29">
        <v>44.01</v>
      </c>
      <c r="F1713" s="29">
        <v>3.5</v>
      </c>
      <c r="G1713" s="30" t="s">
        <v>39</v>
      </c>
      <c r="H1713" s="27" t="s">
        <v>71</v>
      </c>
      <c r="I1713" s="27" t="s">
        <v>49</v>
      </c>
      <c r="J1713" s="27" t="s">
        <v>95</v>
      </c>
      <c r="K1713" s="27" t="s">
        <v>73</v>
      </c>
      <c r="L1713" s="31" t="s">
        <v>2788</v>
      </c>
      <c r="M1713" s="32">
        <v>0.59</v>
      </c>
      <c r="N1713" s="27" t="s">
        <v>33</v>
      </c>
      <c r="O1713" s="27" t="s">
        <v>60</v>
      </c>
      <c r="P1713" s="27" t="s">
        <v>90</v>
      </c>
      <c r="Q1713" s="27" t="s">
        <v>2533</v>
      </c>
      <c r="R1713" s="33">
        <v>95207</v>
      </c>
      <c r="S1713" s="34">
        <v>42162</v>
      </c>
      <c r="T1713" s="34">
        <v>42163</v>
      </c>
      <c r="U1713" s="29">
        <v>-21.231999999999999</v>
      </c>
      <c r="V1713" s="26">
        <v>1</v>
      </c>
      <c r="W1713" s="29">
        <v>46.94</v>
      </c>
      <c r="X1713" s="26">
        <v>88212</v>
      </c>
      <c r="Y1713" s="35">
        <v>4.76</v>
      </c>
      <c r="Z1713" s="1" t="s">
        <v>3013</v>
      </c>
      <c r="AA1713" s="36">
        <v>2.6405999999999996</v>
      </c>
      <c r="AB1713" s="54">
        <v>19.2454</v>
      </c>
      <c r="AC1713" s="54">
        <v>27.694599999999998</v>
      </c>
      <c r="AD1713" s="36">
        <v>62.031399999999998</v>
      </c>
    </row>
    <row r="1714" spans="1:30" s="37" customFormat="1" ht="15.75" customHeight="1" x14ac:dyDescent="0.2">
      <c r="A1714" s="26">
        <v>2794</v>
      </c>
      <c r="B1714" s="27" t="s">
        <v>1769</v>
      </c>
      <c r="C1714" s="27" t="s">
        <v>38</v>
      </c>
      <c r="D1714" s="28">
        <v>7.0000000000000007E-2</v>
      </c>
      <c r="E1714" s="29">
        <v>4.76</v>
      </c>
      <c r="F1714" s="29">
        <v>0.88</v>
      </c>
      <c r="G1714" s="30" t="s">
        <v>39</v>
      </c>
      <c r="H1714" s="27" t="s">
        <v>94</v>
      </c>
      <c r="I1714" s="27" t="s">
        <v>49</v>
      </c>
      <c r="J1714" s="27" t="s">
        <v>88</v>
      </c>
      <c r="K1714" s="27" t="s">
        <v>51</v>
      </c>
      <c r="L1714" s="31" t="s">
        <v>2442</v>
      </c>
      <c r="M1714" s="32">
        <v>0.39</v>
      </c>
      <c r="N1714" s="27" t="s">
        <v>33</v>
      </c>
      <c r="O1714" s="27" t="s">
        <v>53</v>
      </c>
      <c r="P1714" s="27" t="s">
        <v>213</v>
      </c>
      <c r="Q1714" s="27" t="s">
        <v>1770</v>
      </c>
      <c r="R1714" s="33">
        <v>50158</v>
      </c>
      <c r="S1714" s="34">
        <v>42162</v>
      </c>
      <c r="T1714" s="34">
        <v>42162</v>
      </c>
      <c r="U1714" s="29">
        <v>15.8148</v>
      </c>
      <c r="V1714" s="26">
        <v>5</v>
      </c>
      <c r="W1714" s="29">
        <v>22.92</v>
      </c>
      <c r="X1714" s="26">
        <v>87555</v>
      </c>
      <c r="Y1714" s="35">
        <v>535.59</v>
      </c>
      <c r="Z1714" s="1" t="s">
        <v>3012</v>
      </c>
      <c r="AA1714" s="36">
        <v>1.6659999999999999</v>
      </c>
      <c r="AB1714" s="54">
        <v>13.981200000000001</v>
      </c>
      <c r="AC1714" s="54">
        <v>1.7877600000000002</v>
      </c>
      <c r="AD1714" s="36">
        <v>4.5592000000000006</v>
      </c>
    </row>
    <row r="1715" spans="1:30" s="37" customFormat="1" ht="15.75" customHeight="1" x14ac:dyDescent="0.2">
      <c r="A1715" s="26">
        <v>3137</v>
      </c>
      <c r="B1715" s="27" t="s">
        <v>2802</v>
      </c>
      <c r="C1715" s="27" t="s">
        <v>3094</v>
      </c>
      <c r="D1715" s="28">
        <v>0.09</v>
      </c>
      <c r="E1715" s="29">
        <v>304.99</v>
      </c>
      <c r="F1715" s="29">
        <v>19.989999999999998</v>
      </c>
      <c r="G1715" s="30" t="s">
        <v>39</v>
      </c>
      <c r="H1715" s="27" t="s">
        <v>94</v>
      </c>
      <c r="I1715" s="27" t="s">
        <v>49</v>
      </c>
      <c r="J1715" s="27" t="s">
        <v>72</v>
      </c>
      <c r="K1715" s="27" t="s">
        <v>73</v>
      </c>
      <c r="L1715" s="31" t="s">
        <v>2803</v>
      </c>
      <c r="M1715" s="32">
        <v>0.4</v>
      </c>
      <c r="N1715" s="27" t="s">
        <v>33</v>
      </c>
      <c r="O1715" s="27" t="s">
        <v>111</v>
      </c>
      <c r="P1715" s="27" t="s">
        <v>1356</v>
      </c>
      <c r="Q1715" s="27" t="s">
        <v>2804</v>
      </c>
      <c r="R1715" s="33">
        <v>3246</v>
      </c>
      <c r="S1715" s="34">
        <v>42163</v>
      </c>
      <c r="T1715" s="34">
        <v>42164</v>
      </c>
      <c r="U1715" s="29">
        <v>1623.9494999999999</v>
      </c>
      <c r="V1715" s="26">
        <v>8</v>
      </c>
      <c r="W1715" s="29">
        <v>2353.5500000000002</v>
      </c>
      <c r="X1715" s="26">
        <v>86795</v>
      </c>
      <c r="Y1715" s="35">
        <v>122.94</v>
      </c>
      <c r="Z1715" s="1" t="s">
        <v>3014</v>
      </c>
      <c r="AA1715" s="36">
        <v>219.59280000000001</v>
      </c>
      <c r="AB1715" s="54">
        <v>1412.13</v>
      </c>
      <c r="AC1715" s="54">
        <v>117.67750000000001</v>
      </c>
      <c r="AD1715" s="36">
        <v>490.01770000000033</v>
      </c>
    </row>
    <row r="1716" spans="1:30" s="37" customFormat="1" ht="15.75" customHeight="1" x14ac:dyDescent="0.2">
      <c r="A1716" s="26">
        <v>3005</v>
      </c>
      <c r="B1716" s="27" t="s">
        <v>2799</v>
      </c>
      <c r="C1716" s="27" t="s">
        <v>26</v>
      </c>
      <c r="D1716" s="28">
        <v>0.05</v>
      </c>
      <c r="E1716" s="29">
        <v>122.99</v>
      </c>
      <c r="F1716" s="29">
        <v>19.989999999999998</v>
      </c>
      <c r="G1716" s="30" t="s">
        <v>87</v>
      </c>
      <c r="H1716" s="27" t="s">
        <v>94</v>
      </c>
      <c r="I1716" s="27" t="s">
        <v>49</v>
      </c>
      <c r="J1716" s="27" t="s">
        <v>72</v>
      </c>
      <c r="K1716" s="27" t="s">
        <v>73</v>
      </c>
      <c r="L1716" s="31" t="s">
        <v>2424</v>
      </c>
      <c r="M1716" s="32">
        <v>0.37</v>
      </c>
      <c r="N1716" s="27" t="s">
        <v>33</v>
      </c>
      <c r="O1716" s="27" t="s">
        <v>60</v>
      </c>
      <c r="P1716" s="27" t="s">
        <v>490</v>
      </c>
      <c r="Q1716" s="27" t="s">
        <v>1508</v>
      </c>
      <c r="R1716" s="33">
        <v>83814</v>
      </c>
      <c r="S1716" s="34">
        <v>42163</v>
      </c>
      <c r="T1716" s="34">
        <v>42166</v>
      </c>
      <c r="U1716" s="29">
        <v>1039.7541000000001</v>
      </c>
      <c r="V1716" s="26">
        <v>12</v>
      </c>
      <c r="W1716" s="29">
        <v>1506.89</v>
      </c>
      <c r="X1716" s="26">
        <v>91389</v>
      </c>
      <c r="Y1716" s="35">
        <v>100.92</v>
      </c>
      <c r="Z1716" s="1" t="s">
        <v>3013</v>
      </c>
      <c r="AA1716" s="36">
        <v>73.793999999999997</v>
      </c>
      <c r="AB1716" s="54">
        <v>949.34070000000008</v>
      </c>
      <c r="AC1716" s="54">
        <v>46.46244166666667</v>
      </c>
      <c r="AD1716" s="36">
        <v>373.35189999999989</v>
      </c>
    </row>
    <row r="1717" spans="1:30" s="37" customFormat="1" ht="15.75" customHeight="1" x14ac:dyDescent="0.2">
      <c r="A1717" s="26">
        <v>2638</v>
      </c>
      <c r="B1717" s="27" t="s">
        <v>2800</v>
      </c>
      <c r="C1717" s="27" t="s">
        <v>48</v>
      </c>
      <c r="D1717" s="28">
        <v>0.05</v>
      </c>
      <c r="E1717" s="29">
        <v>100.97</v>
      </c>
      <c r="F1717" s="29">
        <v>7.18</v>
      </c>
      <c r="G1717" s="30" t="s">
        <v>87</v>
      </c>
      <c r="H1717" s="27" t="s">
        <v>40</v>
      </c>
      <c r="I1717" s="27" t="s">
        <v>41</v>
      </c>
      <c r="J1717" s="27" t="s">
        <v>42</v>
      </c>
      <c r="K1717" s="27" t="s">
        <v>73</v>
      </c>
      <c r="L1717" s="31" t="s">
        <v>2801</v>
      </c>
      <c r="M1717" s="32">
        <v>0.46</v>
      </c>
      <c r="N1717" s="27" t="s">
        <v>33</v>
      </c>
      <c r="O1717" s="27" t="s">
        <v>60</v>
      </c>
      <c r="P1717" s="27" t="s">
        <v>490</v>
      </c>
      <c r="Q1717" s="27" t="s">
        <v>2579</v>
      </c>
      <c r="R1717" s="33">
        <v>83704</v>
      </c>
      <c r="S1717" s="34">
        <v>42163</v>
      </c>
      <c r="T1717" s="34">
        <v>42163</v>
      </c>
      <c r="U1717" s="29">
        <v>881.46810000000005</v>
      </c>
      <c r="V1717" s="26">
        <v>13</v>
      </c>
      <c r="W1717" s="29">
        <v>1277.49</v>
      </c>
      <c r="X1717" s="26">
        <v>90951</v>
      </c>
      <c r="Y1717" s="35">
        <v>304.90000000000003</v>
      </c>
      <c r="Z1717" s="1" t="s">
        <v>3013</v>
      </c>
      <c r="AA1717" s="36">
        <v>65.630500000000012</v>
      </c>
      <c r="AB1717" s="54">
        <v>689.84460000000001</v>
      </c>
      <c r="AC1717" s="54">
        <v>45.203492307692308</v>
      </c>
      <c r="AD1717" s="36">
        <v>323.21140000000003</v>
      </c>
    </row>
    <row r="1718" spans="1:30" s="37" customFormat="1" ht="15.75" customHeight="1" x14ac:dyDescent="0.2">
      <c r="A1718" s="26">
        <v>218</v>
      </c>
      <c r="B1718" s="27" t="s">
        <v>2809</v>
      </c>
      <c r="C1718" s="27" t="s">
        <v>116</v>
      </c>
      <c r="D1718" s="28">
        <v>0.05</v>
      </c>
      <c r="E1718" s="29">
        <v>119.99</v>
      </c>
      <c r="F1718" s="29">
        <v>56.14</v>
      </c>
      <c r="G1718" s="30" t="s">
        <v>27</v>
      </c>
      <c r="H1718" s="27" t="s">
        <v>40</v>
      </c>
      <c r="I1718" s="27" t="s">
        <v>41</v>
      </c>
      <c r="J1718" s="27" t="s">
        <v>57</v>
      </c>
      <c r="K1718" s="27" t="s">
        <v>31</v>
      </c>
      <c r="L1718" s="31" t="s">
        <v>587</v>
      </c>
      <c r="M1718" s="32">
        <v>0.39</v>
      </c>
      <c r="N1718" s="27" t="s">
        <v>33</v>
      </c>
      <c r="O1718" s="27" t="s">
        <v>60</v>
      </c>
      <c r="P1718" s="27" t="s">
        <v>146</v>
      </c>
      <c r="Q1718" s="27" t="s">
        <v>949</v>
      </c>
      <c r="R1718" s="33">
        <v>84107</v>
      </c>
      <c r="S1718" s="34">
        <v>42164</v>
      </c>
      <c r="T1718" s="34">
        <v>42166</v>
      </c>
      <c r="U1718" s="29">
        <v>-102.5121</v>
      </c>
      <c r="V1718" s="26">
        <v>6</v>
      </c>
      <c r="W1718" s="29">
        <v>730.37</v>
      </c>
      <c r="X1718" s="26">
        <v>88048</v>
      </c>
      <c r="Y1718" s="35">
        <v>8.34</v>
      </c>
      <c r="Z1718" s="1" t="s">
        <v>3013</v>
      </c>
      <c r="AA1718" s="36">
        <v>35.997</v>
      </c>
      <c r="AB1718" s="54">
        <v>445.52569999999997</v>
      </c>
      <c r="AC1718" s="54">
        <v>47.474050000000005</v>
      </c>
      <c r="AD1718" s="36">
        <v>740.74509999999998</v>
      </c>
    </row>
    <row r="1719" spans="1:30" s="37" customFormat="1" ht="15.75" customHeight="1" x14ac:dyDescent="0.2">
      <c r="A1719" s="26">
        <v>349</v>
      </c>
      <c r="B1719" s="27" t="s">
        <v>125</v>
      </c>
      <c r="C1719" s="27" t="s">
        <v>26</v>
      </c>
      <c r="D1719" s="28">
        <v>0</v>
      </c>
      <c r="E1719" s="29">
        <v>8.34</v>
      </c>
      <c r="F1719" s="29">
        <v>2.64</v>
      </c>
      <c r="G1719" s="30" t="s">
        <v>87</v>
      </c>
      <c r="H1719" s="27" t="s">
        <v>71</v>
      </c>
      <c r="I1719" s="27" t="s">
        <v>49</v>
      </c>
      <c r="J1719" s="27" t="s">
        <v>568</v>
      </c>
      <c r="K1719" s="27" t="s">
        <v>43</v>
      </c>
      <c r="L1719" s="31" t="s">
        <v>883</v>
      </c>
      <c r="M1719" s="32">
        <v>0.59</v>
      </c>
      <c r="N1719" s="27" t="s">
        <v>33</v>
      </c>
      <c r="O1719" s="27" t="s">
        <v>34</v>
      </c>
      <c r="P1719" s="27" t="s">
        <v>123</v>
      </c>
      <c r="Q1719" s="27" t="s">
        <v>128</v>
      </c>
      <c r="R1719" s="33">
        <v>33132</v>
      </c>
      <c r="S1719" s="34">
        <v>42164</v>
      </c>
      <c r="T1719" s="34">
        <v>42166</v>
      </c>
      <c r="U1719" s="29">
        <v>5.8624999999999998</v>
      </c>
      <c r="V1719" s="26">
        <v>23</v>
      </c>
      <c r="W1719" s="29">
        <v>212.89</v>
      </c>
      <c r="X1719" s="26">
        <v>17446</v>
      </c>
      <c r="Y1719" s="35">
        <v>8.34</v>
      </c>
      <c r="Z1719" s="1" t="s">
        <v>3011</v>
      </c>
      <c r="AA1719" s="36">
        <v>0</v>
      </c>
      <c r="AB1719" s="54">
        <v>87.284900000000007</v>
      </c>
      <c r="AC1719" s="54">
        <v>5.4610913043478249</v>
      </c>
      <c r="AD1719" s="36">
        <v>204.38749999999999</v>
      </c>
    </row>
    <row r="1720" spans="1:30" s="37" customFormat="1" ht="15.75" customHeight="1" x14ac:dyDescent="0.2">
      <c r="A1720" s="26">
        <v>2584</v>
      </c>
      <c r="B1720" s="27" t="s">
        <v>2805</v>
      </c>
      <c r="C1720" s="27" t="s">
        <v>26</v>
      </c>
      <c r="D1720" s="28">
        <v>0.04</v>
      </c>
      <c r="E1720" s="29">
        <v>6.3</v>
      </c>
      <c r="F1720" s="29">
        <v>0.5</v>
      </c>
      <c r="G1720" s="30" t="s">
        <v>39</v>
      </c>
      <c r="H1720" s="27" t="s">
        <v>71</v>
      </c>
      <c r="I1720" s="27" t="s">
        <v>49</v>
      </c>
      <c r="J1720" s="27" t="s">
        <v>152</v>
      </c>
      <c r="K1720" s="27" t="s">
        <v>73</v>
      </c>
      <c r="L1720" s="31" t="s">
        <v>826</v>
      </c>
      <c r="M1720" s="32">
        <v>0.39</v>
      </c>
      <c r="N1720" s="27" t="s">
        <v>33</v>
      </c>
      <c r="O1720" s="27" t="s">
        <v>53</v>
      </c>
      <c r="P1720" s="27" t="s">
        <v>289</v>
      </c>
      <c r="Q1720" s="27" t="s">
        <v>2806</v>
      </c>
      <c r="R1720" s="33">
        <v>48141</v>
      </c>
      <c r="S1720" s="34">
        <v>42164</v>
      </c>
      <c r="T1720" s="34">
        <v>42166</v>
      </c>
      <c r="U1720" s="29">
        <v>67.606200000000001</v>
      </c>
      <c r="V1720" s="26">
        <v>15</v>
      </c>
      <c r="W1720" s="29">
        <v>97.98</v>
      </c>
      <c r="X1720" s="26">
        <v>89658</v>
      </c>
      <c r="Y1720" s="35">
        <v>6.26</v>
      </c>
      <c r="Z1720" s="1" t="s">
        <v>3012</v>
      </c>
      <c r="AA1720" s="36">
        <v>3.7800000000000002</v>
      </c>
      <c r="AB1720" s="54">
        <v>59.767800000000001</v>
      </c>
      <c r="AC1720" s="54">
        <v>2.5474800000000002</v>
      </c>
      <c r="AD1720" s="36">
        <v>26.093800000000002</v>
      </c>
    </row>
    <row r="1721" spans="1:30" s="37" customFormat="1" ht="15.75" customHeight="1" x14ac:dyDescent="0.2">
      <c r="A1721" s="26">
        <v>3361</v>
      </c>
      <c r="B1721" s="27" t="s">
        <v>810</v>
      </c>
      <c r="C1721" s="27" t="s">
        <v>116</v>
      </c>
      <c r="D1721" s="28">
        <v>0.03</v>
      </c>
      <c r="E1721" s="29">
        <v>4.9800000000000004</v>
      </c>
      <c r="F1721" s="29">
        <v>4.95</v>
      </c>
      <c r="G1721" s="30" t="s">
        <v>39</v>
      </c>
      <c r="H1721" s="27" t="s">
        <v>71</v>
      </c>
      <c r="I1721" s="27" t="s">
        <v>49</v>
      </c>
      <c r="J1721" s="27" t="s">
        <v>72</v>
      </c>
      <c r="K1721" s="27" t="s">
        <v>73</v>
      </c>
      <c r="L1721" s="31" t="s">
        <v>2619</v>
      </c>
      <c r="M1721" s="32">
        <v>0.37</v>
      </c>
      <c r="N1721" s="27" t="s">
        <v>33</v>
      </c>
      <c r="O1721" s="27" t="s">
        <v>53</v>
      </c>
      <c r="P1721" s="27" t="s">
        <v>357</v>
      </c>
      <c r="Q1721" s="27" t="s">
        <v>812</v>
      </c>
      <c r="R1721" s="33">
        <v>53095</v>
      </c>
      <c r="S1721" s="34">
        <v>42164</v>
      </c>
      <c r="T1721" s="34">
        <v>42166</v>
      </c>
      <c r="U1721" s="29">
        <v>-47.995249999999999</v>
      </c>
      <c r="V1721" s="26">
        <v>19</v>
      </c>
      <c r="W1721" s="29">
        <v>95</v>
      </c>
      <c r="X1721" s="26">
        <v>91438</v>
      </c>
      <c r="Y1721" s="35">
        <v>7.54</v>
      </c>
      <c r="Z1721" s="1" t="s">
        <v>3012</v>
      </c>
      <c r="AA1721" s="36">
        <v>2.8386</v>
      </c>
      <c r="AB1721" s="54">
        <v>59.85</v>
      </c>
      <c r="AC1721" s="54">
        <v>1.85</v>
      </c>
      <c r="AD1721" s="36">
        <v>135.20665</v>
      </c>
    </row>
    <row r="1722" spans="1:30" s="37" customFormat="1" ht="15.75" customHeight="1" x14ac:dyDescent="0.2">
      <c r="A1722" s="26">
        <v>351</v>
      </c>
      <c r="B1722" s="27" t="s">
        <v>129</v>
      </c>
      <c r="C1722" s="27" t="s">
        <v>26</v>
      </c>
      <c r="D1722" s="28">
        <v>0</v>
      </c>
      <c r="E1722" s="29">
        <v>8.34</v>
      </c>
      <c r="F1722" s="29">
        <v>2.64</v>
      </c>
      <c r="G1722" s="30" t="s">
        <v>87</v>
      </c>
      <c r="H1722" s="27" t="s">
        <v>71</v>
      </c>
      <c r="I1722" s="27" t="s">
        <v>49</v>
      </c>
      <c r="J1722" s="27" t="s">
        <v>568</v>
      </c>
      <c r="K1722" s="27" t="s">
        <v>43</v>
      </c>
      <c r="L1722" s="31" t="s">
        <v>883</v>
      </c>
      <c r="M1722" s="32">
        <v>0.59</v>
      </c>
      <c r="N1722" s="27" t="s">
        <v>33</v>
      </c>
      <c r="O1722" s="27" t="s">
        <v>111</v>
      </c>
      <c r="P1722" s="27" t="s">
        <v>112</v>
      </c>
      <c r="Q1722" s="27" t="s">
        <v>130</v>
      </c>
      <c r="R1722" s="33">
        <v>13601</v>
      </c>
      <c r="S1722" s="34">
        <v>42164</v>
      </c>
      <c r="T1722" s="34">
        <v>42166</v>
      </c>
      <c r="U1722" s="29">
        <v>10.5</v>
      </c>
      <c r="V1722" s="26">
        <v>6</v>
      </c>
      <c r="W1722" s="29">
        <v>55.54</v>
      </c>
      <c r="X1722" s="26">
        <v>88685</v>
      </c>
      <c r="Y1722" s="35">
        <v>119.94</v>
      </c>
      <c r="Z1722" s="1" t="s">
        <v>3014</v>
      </c>
      <c r="AA1722" s="36">
        <v>0</v>
      </c>
      <c r="AB1722" s="54">
        <v>22.7714</v>
      </c>
      <c r="AC1722" s="54">
        <v>5.4614333333333329</v>
      </c>
      <c r="AD1722" s="36">
        <v>42.4</v>
      </c>
    </row>
    <row r="1723" spans="1:30" s="37" customFormat="1" ht="15.75" customHeight="1" x14ac:dyDescent="0.2">
      <c r="A1723" s="26">
        <v>326</v>
      </c>
      <c r="B1723" s="27" t="s">
        <v>2810</v>
      </c>
      <c r="C1723" s="27" t="s">
        <v>3094</v>
      </c>
      <c r="D1723" s="28">
        <v>0.06</v>
      </c>
      <c r="E1723" s="29">
        <v>7.99</v>
      </c>
      <c r="F1723" s="29">
        <v>5.03</v>
      </c>
      <c r="G1723" s="30" t="s">
        <v>39</v>
      </c>
      <c r="H1723" s="27" t="s">
        <v>40</v>
      </c>
      <c r="I1723" s="27" t="s">
        <v>41</v>
      </c>
      <c r="J1723" s="27" t="s">
        <v>135</v>
      </c>
      <c r="K1723" s="27" t="s">
        <v>144</v>
      </c>
      <c r="L1723" s="31" t="s">
        <v>465</v>
      </c>
      <c r="M1723" s="32">
        <v>0.6</v>
      </c>
      <c r="N1723" s="27" t="s">
        <v>33</v>
      </c>
      <c r="O1723" s="27" t="s">
        <v>53</v>
      </c>
      <c r="P1723" s="27" t="s">
        <v>103</v>
      </c>
      <c r="Q1723" s="27" t="s">
        <v>2195</v>
      </c>
      <c r="R1723" s="33">
        <v>60510</v>
      </c>
      <c r="S1723" s="34">
        <v>42164</v>
      </c>
      <c r="T1723" s="34">
        <v>42165</v>
      </c>
      <c r="U1723" s="29">
        <v>-29.172000000000001</v>
      </c>
      <c r="V1723" s="26">
        <v>4</v>
      </c>
      <c r="W1723" s="29">
        <v>28.46</v>
      </c>
      <c r="X1723" s="26">
        <v>90973</v>
      </c>
      <c r="Y1723" s="35">
        <v>4.95</v>
      </c>
      <c r="Z1723" s="1" t="s">
        <v>3012</v>
      </c>
      <c r="AA1723" s="36">
        <v>1.9176</v>
      </c>
      <c r="AB1723" s="54">
        <v>11.384</v>
      </c>
      <c r="AC1723" s="54">
        <v>4.2690000000000001</v>
      </c>
      <c r="AD1723" s="36">
        <v>50.684399999999997</v>
      </c>
    </row>
    <row r="1724" spans="1:30" s="37" customFormat="1" ht="15.75" customHeight="1" x14ac:dyDescent="0.2">
      <c r="A1724" s="26">
        <v>1151</v>
      </c>
      <c r="B1724" s="27" t="s">
        <v>2807</v>
      </c>
      <c r="C1724" s="27" t="s">
        <v>48</v>
      </c>
      <c r="D1724" s="28">
        <v>0.05</v>
      </c>
      <c r="E1724" s="29">
        <v>7.59</v>
      </c>
      <c r="F1724" s="29">
        <v>4</v>
      </c>
      <c r="G1724" s="30" t="s">
        <v>39</v>
      </c>
      <c r="H1724" s="27" t="s">
        <v>94</v>
      </c>
      <c r="I1724" s="27" t="s">
        <v>29</v>
      </c>
      <c r="J1724" s="27" t="s">
        <v>126</v>
      </c>
      <c r="K1724" s="27" t="s">
        <v>51</v>
      </c>
      <c r="L1724" s="31" t="s">
        <v>1687</v>
      </c>
      <c r="M1724" s="32">
        <v>0.42</v>
      </c>
      <c r="N1724" s="27" t="s">
        <v>33</v>
      </c>
      <c r="O1724" s="27" t="s">
        <v>111</v>
      </c>
      <c r="P1724" s="27" t="s">
        <v>403</v>
      </c>
      <c r="Q1724" s="27" t="s">
        <v>2808</v>
      </c>
      <c r="R1724" s="33">
        <v>1075</v>
      </c>
      <c r="S1724" s="34">
        <v>42164</v>
      </c>
      <c r="T1724" s="34">
        <v>42164</v>
      </c>
      <c r="U1724" s="29">
        <v>6.0926999999999998</v>
      </c>
      <c r="V1724" s="26">
        <v>1</v>
      </c>
      <c r="W1724" s="29">
        <v>8.83</v>
      </c>
      <c r="X1724" s="26">
        <v>91344</v>
      </c>
      <c r="Y1724" s="35">
        <v>7.9300000000000006</v>
      </c>
      <c r="Z1724" s="1" t="s">
        <v>3014</v>
      </c>
      <c r="AA1724" s="36">
        <v>0.3795</v>
      </c>
      <c r="AB1724" s="54">
        <v>5.1214000000000004</v>
      </c>
      <c r="AC1724" s="54">
        <v>3.7085999999999997</v>
      </c>
      <c r="AD1724" s="36">
        <v>-1.6422000000000008</v>
      </c>
    </row>
    <row r="1725" spans="1:30" s="37" customFormat="1" ht="15.75" customHeight="1" x14ac:dyDescent="0.2">
      <c r="A1725" s="26">
        <v>254</v>
      </c>
      <c r="B1725" s="27" t="s">
        <v>2814</v>
      </c>
      <c r="C1725" s="27" t="s">
        <v>116</v>
      </c>
      <c r="D1725" s="28">
        <v>0.1</v>
      </c>
      <c r="E1725" s="29">
        <v>280.98</v>
      </c>
      <c r="F1725" s="29">
        <v>35.67</v>
      </c>
      <c r="G1725" s="30" t="s">
        <v>27</v>
      </c>
      <c r="H1725" s="27" t="s">
        <v>71</v>
      </c>
      <c r="I1725" s="27" t="s">
        <v>29</v>
      </c>
      <c r="J1725" s="27" t="s">
        <v>30</v>
      </c>
      <c r="K1725" s="27" t="s">
        <v>31</v>
      </c>
      <c r="L1725" s="31" t="s">
        <v>2815</v>
      </c>
      <c r="M1725" s="32">
        <v>0.66</v>
      </c>
      <c r="N1725" s="27" t="s">
        <v>33</v>
      </c>
      <c r="O1725" s="27" t="s">
        <v>60</v>
      </c>
      <c r="P1725" s="27" t="s">
        <v>61</v>
      </c>
      <c r="Q1725" s="27" t="s">
        <v>2816</v>
      </c>
      <c r="R1725" s="33">
        <v>80126</v>
      </c>
      <c r="S1725" s="34">
        <v>42165</v>
      </c>
      <c r="T1725" s="34">
        <v>42166</v>
      </c>
      <c r="U1725" s="29">
        <v>-53.744999999999997</v>
      </c>
      <c r="V1725" s="26">
        <v>5</v>
      </c>
      <c r="W1725" s="29">
        <v>1332.82</v>
      </c>
      <c r="X1725" s="26">
        <v>86268</v>
      </c>
      <c r="Y1725" s="35">
        <v>2.21</v>
      </c>
      <c r="Z1725" s="1" t="s">
        <v>3013</v>
      </c>
      <c r="AA1725" s="36">
        <v>140.49</v>
      </c>
      <c r="AB1725" s="54">
        <v>453.15879999999993</v>
      </c>
      <c r="AC1725" s="54">
        <v>175.93223999999998</v>
      </c>
      <c r="AD1725" s="36">
        <v>1210.405</v>
      </c>
    </row>
    <row r="1726" spans="1:30" s="37" customFormat="1" ht="15.75" customHeight="1" x14ac:dyDescent="0.2">
      <c r="A1726" s="26">
        <v>2431</v>
      </c>
      <c r="B1726" s="27" t="s">
        <v>2570</v>
      </c>
      <c r="C1726" s="27" t="s">
        <v>3094</v>
      </c>
      <c r="D1726" s="28">
        <v>0.05</v>
      </c>
      <c r="E1726" s="29">
        <v>8.85</v>
      </c>
      <c r="F1726" s="29">
        <v>5.6</v>
      </c>
      <c r="G1726" s="30" t="s">
        <v>39</v>
      </c>
      <c r="H1726" s="27" t="s">
        <v>40</v>
      </c>
      <c r="I1726" s="27" t="s">
        <v>49</v>
      </c>
      <c r="J1726" s="27" t="s">
        <v>72</v>
      </c>
      <c r="K1726" s="27" t="s">
        <v>73</v>
      </c>
      <c r="L1726" s="31" t="s">
        <v>2818</v>
      </c>
      <c r="M1726" s="32">
        <v>0.36</v>
      </c>
      <c r="N1726" s="27" t="s">
        <v>33</v>
      </c>
      <c r="O1726" s="27" t="s">
        <v>60</v>
      </c>
      <c r="P1726" s="27" t="s">
        <v>90</v>
      </c>
      <c r="Q1726" s="27" t="s">
        <v>100</v>
      </c>
      <c r="R1726" s="33">
        <v>90004</v>
      </c>
      <c r="S1726" s="34">
        <v>42165</v>
      </c>
      <c r="T1726" s="34">
        <v>42166</v>
      </c>
      <c r="U1726" s="29">
        <v>-9.1769999999999996</v>
      </c>
      <c r="V1726" s="26">
        <v>21</v>
      </c>
      <c r="W1726" s="29">
        <v>199.08</v>
      </c>
      <c r="X1726" s="26">
        <v>24869</v>
      </c>
      <c r="Y1726" s="35">
        <v>7.28</v>
      </c>
      <c r="Z1726" s="1" t="s">
        <v>3013</v>
      </c>
      <c r="AA1726" s="36">
        <v>9.2925000000000004</v>
      </c>
      <c r="AB1726" s="54">
        <v>127.41120000000001</v>
      </c>
      <c r="AC1726" s="54">
        <v>3.4127999999999998</v>
      </c>
      <c r="AD1726" s="36">
        <v>193.36450000000002</v>
      </c>
    </row>
    <row r="1727" spans="1:30" s="37" customFormat="1" ht="15.75" customHeight="1" x14ac:dyDescent="0.2">
      <c r="A1727" s="26">
        <v>597</v>
      </c>
      <c r="B1727" s="27" t="s">
        <v>2817</v>
      </c>
      <c r="C1727" s="27" t="s">
        <v>3094</v>
      </c>
      <c r="D1727" s="28">
        <v>0.1</v>
      </c>
      <c r="E1727" s="29">
        <v>6.48</v>
      </c>
      <c r="F1727" s="29">
        <v>5.9</v>
      </c>
      <c r="G1727" s="30" t="s">
        <v>39</v>
      </c>
      <c r="H1727" s="27" t="s">
        <v>3095</v>
      </c>
      <c r="I1727" s="27" t="s">
        <v>49</v>
      </c>
      <c r="J1727" s="27" t="s">
        <v>88</v>
      </c>
      <c r="K1727" s="27" t="s">
        <v>73</v>
      </c>
      <c r="L1727" s="31" t="s">
        <v>1751</v>
      </c>
      <c r="M1727" s="32">
        <v>0.37</v>
      </c>
      <c r="N1727" s="27" t="s">
        <v>33</v>
      </c>
      <c r="O1727" s="27" t="s">
        <v>53</v>
      </c>
      <c r="P1727" s="27" t="s">
        <v>54</v>
      </c>
      <c r="Q1727" s="27" t="s">
        <v>1483</v>
      </c>
      <c r="R1727" s="33">
        <v>47201</v>
      </c>
      <c r="S1727" s="34">
        <v>42165</v>
      </c>
      <c r="T1727" s="34">
        <v>42165</v>
      </c>
      <c r="U1727" s="29">
        <v>-51.634999999999998</v>
      </c>
      <c r="V1727" s="26">
        <v>19</v>
      </c>
      <c r="W1727" s="29">
        <v>116.8</v>
      </c>
      <c r="X1727" s="26">
        <v>86310</v>
      </c>
      <c r="Y1727" s="35">
        <v>280.88</v>
      </c>
      <c r="Z1727" s="1" t="s">
        <v>3012</v>
      </c>
      <c r="AA1727" s="36">
        <v>12.312000000000003</v>
      </c>
      <c r="AB1727" s="54">
        <v>73.584000000000003</v>
      </c>
      <c r="AC1727" s="54">
        <v>2.2745263157894735</v>
      </c>
      <c r="AD1727" s="36">
        <v>150.22299999999998</v>
      </c>
    </row>
    <row r="1728" spans="1:30" s="37" customFormat="1" ht="15.75" customHeight="1" x14ac:dyDescent="0.2">
      <c r="A1728" s="26">
        <v>3079</v>
      </c>
      <c r="B1728" s="27" t="s">
        <v>319</v>
      </c>
      <c r="C1728" s="27" t="s">
        <v>26</v>
      </c>
      <c r="D1728" s="28">
        <v>0</v>
      </c>
      <c r="E1728" s="29">
        <v>2.21</v>
      </c>
      <c r="F1728" s="29">
        <v>1</v>
      </c>
      <c r="G1728" s="30" t="s">
        <v>87</v>
      </c>
      <c r="H1728" s="27" t="s">
        <v>3095</v>
      </c>
      <c r="I1728" s="27" t="s">
        <v>49</v>
      </c>
      <c r="J1728" s="27" t="s">
        <v>50</v>
      </c>
      <c r="K1728" s="27" t="s">
        <v>51</v>
      </c>
      <c r="L1728" s="31" t="s">
        <v>2811</v>
      </c>
      <c r="M1728" s="32">
        <v>0.38</v>
      </c>
      <c r="N1728" s="27" t="s">
        <v>33</v>
      </c>
      <c r="O1728" s="27" t="s">
        <v>111</v>
      </c>
      <c r="P1728" s="27" t="s">
        <v>320</v>
      </c>
      <c r="Q1728" s="27" t="s">
        <v>321</v>
      </c>
      <c r="R1728" s="33">
        <v>19112</v>
      </c>
      <c r="S1728" s="34">
        <v>42165</v>
      </c>
      <c r="T1728" s="34">
        <v>42166</v>
      </c>
      <c r="U1728" s="29">
        <v>10.01</v>
      </c>
      <c r="V1728" s="26">
        <v>33</v>
      </c>
      <c r="W1728" s="29">
        <v>87.18</v>
      </c>
      <c r="X1728" s="26">
        <v>48483</v>
      </c>
      <c r="Y1728" s="35">
        <v>6.3800000000000008</v>
      </c>
      <c r="Z1728" s="1" t="s">
        <v>3014</v>
      </c>
      <c r="AA1728" s="36">
        <v>0</v>
      </c>
      <c r="AB1728" s="54">
        <v>54.051600000000001</v>
      </c>
      <c r="AC1728" s="54">
        <v>1.0038909090909092</v>
      </c>
      <c r="AD1728" s="36">
        <v>76.17</v>
      </c>
    </row>
    <row r="1729" spans="1:30" s="37" customFormat="1" ht="15.75" customHeight="1" x14ac:dyDescent="0.2">
      <c r="A1729" s="26">
        <v>2433</v>
      </c>
      <c r="B1729" s="27" t="s">
        <v>2819</v>
      </c>
      <c r="C1729" s="27" t="s">
        <v>3094</v>
      </c>
      <c r="D1729" s="28">
        <v>0.05</v>
      </c>
      <c r="E1729" s="29">
        <v>8.85</v>
      </c>
      <c r="F1729" s="29">
        <v>5.6</v>
      </c>
      <c r="G1729" s="30" t="s">
        <v>39</v>
      </c>
      <c r="H1729" s="27" t="s">
        <v>40</v>
      </c>
      <c r="I1729" s="27" t="s">
        <v>49</v>
      </c>
      <c r="J1729" s="27" t="s">
        <v>72</v>
      </c>
      <c r="K1729" s="27" t="s">
        <v>73</v>
      </c>
      <c r="L1729" s="31" t="s">
        <v>2818</v>
      </c>
      <c r="M1729" s="32">
        <v>0.36</v>
      </c>
      <c r="N1729" s="27" t="s">
        <v>33</v>
      </c>
      <c r="O1729" s="27" t="s">
        <v>53</v>
      </c>
      <c r="P1729" s="27" t="s">
        <v>207</v>
      </c>
      <c r="Q1729" s="27" t="s">
        <v>611</v>
      </c>
      <c r="R1729" s="33">
        <v>73160</v>
      </c>
      <c r="S1729" s="34">
        <v>42165</v>
      </c>
      <c r="T1729" s="34">
        <v>42166</v>
      </c>
      <c r="U1729" s="29">
        <v>-7.3415999999999997</v>
      </c>
      <c r="V1729" s="26">
        <v>5</v>
      </c>
      <c r="W1729" s="29">
        <v>47.4</v>
      </c>
      <c r="X1729" s="26">
        <v>89095</v>
      </c>
      <c r="Y1729" s="35">
        <v>8.7999999999999989</v>
      </c>
      <c r="Z1729" s="1" t="s">
        <v>3012</v>
      </c>
      <c r="AA1729" s="36">
        <v>2.2124999999999999</v>
      </c>
      <c r="AB1729" s="54">
        <v>30.335999999999999</v>
      </c>
      <c r="AC1729" s="54">
        <v>3.4127999999999998</v>
      </c>
      <c r="AD1729" s="36">
        <v>46.929099999999998</v>
      </c>
    </row>
    <row r="1730" spans="1:30" s="37" customFormat="1" ht="15.75" customHeight="1" x14ac:dyDescent="0.2">
      <c r="A1730" s="26">
        <v>3243</v>
      </c>
      <c r="B1730" s="27" t="s">
        <v>2812</v>
      </c>
      <c r="C1730" s="27" t="s">
        <v>38</v>
      </c>
      <c r="D1730" s="28">
        <v>0</v>
      </c>
      <c r="E1730" s="29">
        <v>7.28</v>
      </c>
      <c r="F1730" s="29">
        <v>3.52</v>
      </c>
      <c r="G1730" s="30" t="s">
        <v>39</v>
      </c>
      <c r="H1730" s="27" t="s">
        <v>3095</v>
      </c>
      <c r="I1730" s="27" t="s">
        <v>41</v>
      </c>
      <c r="J1730" s="27" t="s">
        <v>42</v>
      </c>
      <c r="K1730" s="27" t="s">
        <v>43</v>
      </c>
      <c r="L1730" s="31" t="s">
        <v>2813</v>
      </c>
      <c r="M1730" s="32">
        <v>0.68</v>
      </c>
      <c r="N1730" s="27" t="s">
        <v>33</v>
      </c>
      <c r="O1730" s="27" t="s">
        <v>111</v>
      </c>
      <c r="P1730" s="27" t="s">
        <v>248</v>
      </c>
      <c r="Q1730" s="27" t="s">
        <v>249</v>
      </c>
      <c r="R1730" s="33">
        <v>6010</v>
      </c>
      <c r="S1730" s="34">
        <v>42165</v>
      </c>
      <c r="T1730" s="34">
        <v>42165</v>
      </c>
      <c r="U1730" s="29">
        <v>-25.103999999999999</v>
      </c>
      <c r="V1730" s="26">
        <v>3</v>
      </c>
      <c r="W1730" s="29">
        <v>24.44</v>
      </c>
      <c r="X1730" s="26">
        <v>88329</v>
      </c>
      <c r="Y1730" s="35">
        <v>8.7999999999999989</v>
      </c>
      <c r="Z1730" s="1" t="s">
        <v>3014</v>
      </c>
      <c r="AA1730" s="36">
        <v>0</v>
      </c>
      <c r="AB1730" s="54">
        <v>7.8207999999999993</v>
      </c>
      <c r="AC1730" s="54">
        <v>5.5397333333333334</v>
      </c>
      <c r="AD1730" s="36">
        <v>46.024000000000001</v>
      </c>
    </row>
    <row r="1731" spans="1:30" s="37" customFormat="1" ht="15.75" customHeight="1" x14ac:dyDescent="0.2">
      <c r="A1731" s="26">
        <v>3079</v>
      </c>
      <c r="B1731" s="27" t="s">
        <v>319</v>
      </c>
      <c r="C1731" s="27" t="s">
        <v>3094</v>
      </c>
      <c r="D1731" s="28">
        <v>0.01</v>
      </c>
      <c r="E1731" s="29">
        <v>193.17</v>
      </c>
      <c r="F1731" s="29">
        <v>19.989999999999998</v>
      </c>
      <c r="G1731" s="30" t="s">
        <v>87</v>
      </c>
      <c r="H1731" s="27" t="s">
        <v>3095</v>
      </c>
      <c r="I1731" s="27" t="s">
        <v>49</v>
      </c>
      <c r="J1731" s="27" t="s">
        <v>78</v>
      </c>
      <c r="K1731" s="27" t="s">
        <v>73</v>
      </c>
      <c r="L1731" s="31" t="s">
        <v>1582</v>
      </c>
      <c r="M1731" s="32">
        <v>0.71</v>
      </c>
      <c r="N1731" s="27" t="s">
        <v>33</v>
      </c>
      <c r="O1731" s="27" t="s">
        <v>111</v>
      </c>
      <c r="P1731" s="27" t="s">
        <v>320</v>
      </c>
      <c r="Q1731" s="27" t="s">
        <v>321</v>
      </c>
      <c r="R1731" s="33">
        <v>19112</v>
      </c>
      <c r="S1731" s="34">
        <v>42166</v>
      </c>
      <c r="T1731" s="34">
        <v>42166</v>
      </c>
      <c r="U1731" s="29">
        <v>1141.07</v>
      </c>
      <c r="V1731" s="26">
        <v>63</v>
      </c>
      <c r="W1731" s="29">
        <v>12190.98</v>
      </c>
      <c r="X1731" s="26">
        <v>53476</v>
      </c>
      <c r="Y1731" s="35">
        <v>5.23</v>
      </c>
      <c r="Z1731" s="1" t="s">
        <v>3014</v>
      </c>
      <c r="AA1731" s="36">
        <v>121.69709999999999</v>
      </c>
      <c r="AB1731" s="54">
        <v>3535.3842000000004</v>
      </c>
      <c r="AC1731" s="54">
        <v>137.39040952380952</v>
      </c>
      <c r="AD1731" s="36">
        <v>10908.222899999999</v>
      </c>
    </row>
    <row r="1732" spans="1:30" s="37" customFormat="1" ht="15.75" customHeight="1" x14ac:dyDescent="0.2">
      <c r="A1732" s="26">
        <v>2543</v>
      </c>
      <c r="B1732" s="27" t="s">
        <v>2827</v>
      </c>
      <c r="C1732" s="27" t="s">
        <v>116</v>
      </c>
      <c r="D1732" s="28">
        <v>0.02</v>
      </c>
      <c r="E1732" s="29">
        <v>195.99</v>
      </c>
      <c r="F1732" s="29">
        <v>4.2</v>
      </c>
      <c r="G1732" s="30" t="s">
        <v>39</v>
      </c>
      <c r="H1732" s="27" t="s">
        <v>3095</v>
      </c>
      <c r="I1732" s="27" t="s">
        <v>41</v>
      </c>
      <c r="J1732" s="27" t="s">
        <v>135</v>
      </c>
      <c r="K1732" s="27" t="s">
        <v>73</v>
      </c>
      <c r="L1732" s="31" t="s">
        <v>2828</v>
      </c>
      <c r="M1732" s="32">
        <v>0.56000000000000005</v>
      </c>
      <c r="N1732" s="27" t="s">
        <v>33</v>
      </c>
      <c r="O1732" s="27" t="s">
        <v>34</v>
      </c>
      <c r="P1732" s="27" t="s">
        <v>242</v>
      </c>
      <c r="Q1732" s="27" t="s">
        <v>2432</v>
      </c>
      <c r="R1732" s="33">
        <v>23223</v>
      </c>
      <c r="S1732" s="34">
        <v>42166</v>
      </c>
      <c r="T1732" s="34">
        <v>42167</v>
      </c>
      <c r="U1732" s="29">
        <v>40.283999999999999</v>
      </c>
      <c r="V1732" s="26">
        <v>19</v>
      </c>
      <c r="W1732" s="29">
        <v>3194.99</v>
      </c>
      <c r="X1732" s="26">
        <v>87917</v>
      </c>
      <c r="Y1732" s="35">
        <v>35.980000000000004</v>
      </c>
      <c r="Z1732" s="1" t="s">
        <v>3011</v>
      </c>
      <c r="AA1732" s="36">
        <v>74.476200000000006</v>
      </c>
      <c r="AB1732" s="54">
        <v>1405.7955999999997</v>
      </c>
      <c r="AC1732" s="54">
        <v>94.168126315789465</v>
      </c>
      <c r="AD1732" s="36">
        <v>3076.0297999999998</v>
      </c>
    </row>
    <row r="1733" spans="1:30" s="37" customFormat="1" ht="15.75" customHeight="1" x14ac:dyDescent="0.2">
      <c r="A1733" s="26">
        <v>3079</v>
      </c>
      <c r="B1733" s="27" t="s">
        <v>319</v>
      </c>
      <c r="C1733" s="27" t="s">
        <v>3094</v>
      </c>
      <c r="D1733" s="28">
        <v>0.04</v>
      </c>
      <c r="E1733" s="29">
        <v>35.44</v>
      </c>
      <c r="F1733" s="29">
        <v>5.09</v>
      </c>
      <c r="G1733" s="30" t="s">
        <v>39</v>
      </c>
      <c r="H1733" s="27" t="s">
        <v>3095</v>
      </c>
      <c r="I1733" s="27" t="s">
        <v>49</v>
      </c>
      <c r="J1733" s="27" t="s">
        <v>88</v>
      </c>
      <c r="K1733" s="27" t="s">
        <v>73</v>
      </c>
      <c r="L1733" s="31" t="s">
        <v>2078</v>
      </c>
      <c r="M1733" s="32">
        <v>0.38</v>
      </c>
      <c r="N1733" s="27" t="s">
        <v>33</v>
      </c>
      <c r="O1733" s="27" t="s">
        <v>111</v>
      </c>
      <c r="P1733" s="27" t="s">
        <v>320</v>
      </c>
      <c r="Q1733" s="27" t="s">
        <v>321</v>
      </c>
      <c r="R1733" s="33">
        <v>19112</v>
      </c>
      <c r="S1733" s="34">
        <v>42166</v>
      </c>
      <c r="T1733" s="34">
        <v>42166</v>
      </c>
      <c r="U1733" s="29">
        <v>150.72</v>
      </c>
      <c r="V1733" s="26">
        <v>21</v>
      </c>
      <c r="W1733" s="29">
        <v>722.1</v>
      </c>
      <c r="X1733" s="26">
        <v>53476</v>
      </c>
      <c r="Y1733" s="35">
        <v>5.2600000000000007</v>
      </c>
      <c r="Z1733" s="1" t="s">
        <v>3014</v>
      </c>
      <c r="AA1733" s="36">
        <v>29.769600000000001</v>
      </c>
      <c r="AB1733" s="54">
        <v>447.702</v>
      </c>
      <c r="AC1733" s="54">
        <v>13.066571428571429</v>
      </c>
      <c r="AD1733" s="36">
        <v>536.5204</v>
      </c>
    </row>
    <row r="1734" spans="1:30" s="37" customFormat="1" ht="15.75" customHeight="1" x14ac:dyDescent="0.2">
      <c r="A1734" s="26">
        <v>1466</v>
      </c>
      <c r="B1734" s="27" t="s">
        <v>2825</v>
      </c>
      <c r="C1734" s="27" t="s">
        <v>38</v>
      </c>
      <c r="D1734" s="28">
        <v>0</v>
      </c>
      <c r="E1734" s="29">
        <v>65.989999999999995</v>
      </c>
      <c r="F1734" s="29">
        <v>8.99</v>
      </c>
      <c r="G1734" s="30" t="s">
        <v>39</v>
      </c>
      <c r="H1734" s="27" t="s">
        <v>3095</v>
      </c>
      <c r="I1734" s="27" t="s">
        <v>41</v>
      </c>
      <c r="J1734" s="27" t="s">
        <v>135</v>
      </c>
      <c r="K1734" s="27" t="s">
        <v>73</v>
      </c>
      <c r="L1734" s="31" t="s">
        <v>2594</v>
      </c>
      <c r="M1734" s="32">
        <v>0.56000000000000005</v>
      </c>
      <c r="N1734" s="27" t="s">
        <v>33</v>
      </c>
      <c r="O1734" s="27" t="s">
        <v>53</v>
      </c>
      <c r="P1734" s="27" t="s">
        <v>133</v>
      </c>
      <c r="Q1734" s="27" t="s">
        <v>1483</v>
      </c>
      <c r="R1734" s="33">
        <v>68601</v>
      </c>
      <c r="S1734" s="34">
        <v>42166</v>
      </c>
      <c r="T1734" s="34">
        <v>42168</v>
      </c>
      <c r="U1734" s="29">
        <v>253.3032</v>
      </c>
      <c r="V1734" s="26">
        <v>10</v>
      </c>
      <c r="W1734" s="29">
        <v>575.07000000000005</v>
      </c>
      <c r="X1734" s="26">
        <v>91115</v>
      </c>
      <c r="Y1734" s="35">
        <v>5.2600000000000007</v>
      </c>
      <c r="Z1734" s="1" t="s">
        <v>3012</v>
      </c>
      <c r="AA1734" s="36">
        <v>0</v>
      </c>
      <c r="AB1734" s="54">
        <v>253.0308</v>
      </c>
      <c r="AC1734" s="54">
        <v>32.203920000000004</v>
      </c>
      <c r="AD1734" s="36">
        <v>312.77680000000004</v>
      </c>
    </row>
    <row r="1735" spans="1:30" s="37" customFormat="1" ht="15.75" customHeight="1" x14ac:dyDescent="0.2">
      <c r="A1735" s="26">
        <v>3251</v>
      </c>
      <c r="B1735" s="27" t="s">
        <v>2824</v>
      </c>
      <c r="C1735" s="27" t="s">
        <v>26</v>
      </c>
      <c r="D1735" s="28">
        <v>0.02</v>
      </c>
      <c r="E1735" s="29">
        <v>5.28</v>
      </c>
      <c r="F1735" s="29">
        <v>6.26</v>
      </c>
      <c r="G1735" s="30" t="s">
        <v>39</v>
      </c>
      <c r="H1735" s="27" t="s">
        <v>94</v>
      </c>
      <c r="I1735" s="27" t="s">
        <v>49</v>
      </c>
      <c r="J1735" s="27" t="s">
        <v>88</v>
      </c>
      <c r="K1735" s="27" t="s">
        <v>73</v>
      </c>
      <c r="L1735" s="31" t="s">
        <v>2458</v>
      </c>
      <c r="M1735" s="32">
        <v>0.4</v>
      </c>
      <c r="N1735" s="27" t="s">
        <v>33</v>
      </c>
      <c r="O1735" s="27" t="s">
        <v>111</v>
      </c>
      <c r="P1735" s="27" t="s">
        <v>112</v>
      </c>
      <c r="Q1735" s="27" t="s">
        <v>113</v>
      </c>
      <c r="R1735" s="33">
        <v>10112</v>
      </c>
      <c r="S1735" s="34">
        <v>42166</v>
      </c>
      <c r="T1735" s="34">
        <v>42167</v>
      </c>
      <c r="U1735" s="29">
        <v>-131.16</v>
      </c>
      <c r="V1735" s="26">
        <v>76</v>
      </c>
      <c r="W1735" s="29">
        <v>412.72</v>
      </c>
      <c r="X1735" s="26">
        <v>39076</v>
      </c>
      <c r="Y1735" s="35">
        <v>65.989999999999995</v>
      </c>
      <c r="Z1735" s="1" t="s">
        <v>3014</v>
      </c>
      <c r="AA1735" s="36">
        <v>8.0256000000000007</v>
      </c>
      <c r="AB1735" s="54">
        <v>247.63200000000001</v>
      </c>
      <c r="AC1735" s="54">
        <v>2.1722105263157898</v>
      </c>
      <c r="AD1735" s="36">
        <v>529.59440000000006</v>
      </c>
    </row>
    <row r="1736" spans="1:30" s="37" customFormat="1" ht="15.75" customHeight="1" x14ac:dyDescent="0.2">
      <c r="A1736" s="26">
        <v>2779</v>
      </c>
      <c r="B1736" s="27" t="s">
        <v>2822</v>
      </c>
      <c r="C1736" s="27" t="s">
        <v>26</v>
      </c>
      <c r="D1736" s="28">
        <v>0.01</v>
      </c>
      <c r="E1736" s="29">
        <v>35.99</v>
      </c>
      <c r="F1736" s="29">
        <v>5.99</v>
      </c>
      <c r="G1736" s="30" t="s">
        <v>39</v>
      </c>
      <c r="H1736" s="27" t="s">
        <v>94</v>
      </c>
      <c r="I1736" s="27" t="s">
        <v>41</v>
      </c>
      <c r="J1736" s="27" t="s">
        <v>135</v>
      </c>
      <c r="K1736" s="27" t="s">
        <v>51</v>
      </c>
      <c r="L1736" s="31" t="s">
        <v>1372</v>
      </c>
      <c r="M1736" s="32">
        <v>0.38</v>
      </c>
      <c r="N1736" s="27" t="s">
        <v>33</v>
      </c>
      <c r="O1736" s="27" t="s">
        <v>34</v>
      </c>
      <c r="P1736" s="27" t="s">
        <v>97</v>
      </c>
      <c r="Q1736" s="27" t="s">
        <v>2823</v>
      </c>
      <c r="R1736" s="33">
        <v>27893</v>
      </c>
      <c r="S1736" s="34">
        <v>42166</v>
      </c>
      <c r="T1736" s="34">
        <v>42167</v>
      </c>
      <c r="U1736" s="29">
        <v>-60.704000000000001</v>
      </c>
      <c r="V1736" s="26">
        <v>11</v>
      </c>
      <c r="W1736" s="29">
        <v>345.07</v>
      </c>
      <c r="X1736" s="26">
        <v>87161</v>
      </c>
      <c r="Y1736" s="35">
        <v>39.97</v>
      </c>
      <c r="Z1736" s="1" t="s">
        <v>3011</v>
      </c>
      <c r="AA1736" s="36">
        <v>3.9589000000000008</v>
      </c>
      <c r="AB1736" s="54">
        <v>213.9434</v>
      </c>
      <c r="AC1736" s="54">
        <v>11.9206</v>
      </c>
      <c r="AD1736" s="36">
        <v>395.82510000000002</v>
      </c>
    </row>
    <row r="1737" spans="1:30" s="37" customFormat="1" ht="15.75" customHeight="1" x14ac:dyDescent="0.2">
      <c r="A1737" s="26">
        <v>2840</v>
      </c>
      <c r="B1737" s="27" t="s">
        <v>1737</v>
      </c>
      <c r="C1737" s="27" t="s">
        <v>116</v>
      </c>
      <c r="D1737" s="28">
        <v>0</v>
      </c>
      <c r="E1737" s="29">
        <v>14.98</v>
      </c>
      <c r="F1737" s="29">
        <v>8.99</v>
      </c>
      <c r="G1737" s="30" t="s">
        <v>39</v>
      </c>
      <c r="H1737" s="27" t="s">
        <v>94</v>
      </c>
      <c r="I1737" s="27" t="s">
        <v>29</v>
      </c>
      <c r="J1737" s="27" t="s">
        <v>126</v>
      </c>
      <c r="K1737" s="27" t="s">
        <v>43</v>
      </c>
      <c r="L1737" s="31" t="s">
        <v>1486</v>
      </c>
      <c r="M1737" s="32">
        <v>0.39</v>
      </c>
      <c r="N1737" s="27" t="s">
        <v>33</v>
      </c>
      <c r="O1737" s="27" t="s">
        <v>34</v>
      </c>
      <c r="P1737" s="27" t="s">
        <v>123</v>
      </c>
      <c r="Q1737" s="27" t="s">
        <v>1739</v>
      </c>
      <c r="R1737" s="33">
        <v>33161</v>
      </c>
      <c r="S1737" s="34">
        <v>42166</v>
      </c>
      <c r="T1737" s="34">
        <v>42167</v>
      </c>
      <c r="U1737" s="29">
        <v>-40.604199999999999</v>
      </c>
      <c r="V1737" s="26">
        <v>18</v>
      </c>
      <c r="W1737" s="29">
        <v>273.79000000000002</v>
      </c>
      <c r="X1737" s="26">
        <v>87885</v>
      </c>
      <c r="Y1737" s="35">
        <v>12.27</v>
      </c>
      <c r="Z1737" s="1" t="s">
        <v>3011</v>
      </c>
      <c r="AA1737" s="36">
        <v>0</v>
      </c>
      <c r="AB1737" s="54">
        <v>167.0119</v>
      </c>
      <c r="AC1737" s="54">
        <v>5.9321166666666674</v>
      </c>
      <c r="AD1737" s="36">
        <v>305.4042</v>
      </c>
    </row>
    <row r="1738" spans="1:30" s="37" customFormat="1" ht="15.75" customHeight="1" x14ac:dyDescent="0.2">
      <c r="A1738" s="26">
        <v>2840</v>
      </c>
      <c r="B1738" s="27" t="s">
        <v>1737</v>
      </c>
      <c r="C1738" s="27" t="s">
        <v>116</v>
      </c>
      <c r="D1738" s="28">
        <v>0.05</v>
      </c>
      <c r="E1738" s="29">
        <v>15.68</v>
      </c>
      <c r="F1738" s="29">
        <v>3.73</v>
      </c>
      <c r="G1738" s="30" t="s">
        <v>39</v>
      </c>
      <c r="H1738" s="27" t="s">
        <v>94</v>
      </c>
      <c r="I1738" s="27" t="s">
        <v>29</v>
      </c>
      <c r="J1738" s="27" t="s">
        <v>126</v>
      </c>
      <c r="K1738" s="27" t="s">
        <v>43</v>
      </c>
      <c r="L1738" s="31" t="s">
        <v>2727</v>
      </c>
      <c r="M1738" s="32">
        <v>0.46</v>
      </c>
      <c r="N1738" s="27" t="s">
        <v>33</v>
      </c>
      <c r="O1738" s="27" t="s">
        <v>34</v>
      </c>
      <c r="P1738" s="27" t="s">
        <v>123</v>
      </c>
      <c r="Q1738" s="27" t="s">
        <v>1739</v>
      </c>
      <c r="R1738" s="33">
        <v>33161</v>
      </c>
      <c r="S1738" s="34">
        <v>42166</v>
      </c>
      <c r="T1738" s="34">
        <v>42168</v>
      </c>
      <c r="U1738" s="29">
        <v>1166.6279999999999</v>
      </c>
      <c r="V1738" s="26">
        <v>17</v>
      </c>
      <c r="W1738" s="29">
        <v>260.01</v>
      </c>
      <c r="X1738" s="26">
        <v>87885</v>
      </c>
      <c r="Y1738" s="35">
        <v>15.629999999999999</v>
      </c>
      <c r="Z1738" s="1" t="s">
        <v>3011</v>
      </c>
      <c r="AA1738" s="36">
        <v>13.328000000000001</v>
      </c>
      <c r="AB1738" s="54">
        <v>140.40540000000001</v>
      </c>
      <c r="AC1738" s="54">
        <v>7.0355647058823534</v>
      </c>
      <c r="AD1738" s="36">
        <v>-923.67599999999993</v>
      </c>
    </row>
    <row r="1739" spans="1:30" s="37" customFormat="1" ht="15.75" customHeight="1" x14ac:dyDescent="0.2">
      <c r="A1739" s="26">
        <v>2543</v>
      </c>
      <c r="B1739" s="27" t="s">
        <v>2827</v>
      </c>
      <c r="C1739" s="27" t="s">
        <v>116</v>
      </c>
      <c r="D1739" s="28">
        <v>0.05</v>
      </c>
      <c r="E1739" s="29">
        <v>15.68</v>
      </c>
      <c r="F1739" s="29">
        <v>3.73</v>
      </c>
      <c r="G1739" s="30" t="s">
        <v>39</v>
      </c>
      <c r="H1739" s="27" t="s">
        <v>3095</v>
      </c>
      <c r="I1739" s="27" t="s">
        <v>29</v>
      </c>
      <c r="J1739" s="27" t="s">
        <v>126</v>
      </c>
      <c r="K1739" s="27" t="s">
        <v>43</v>
      </c>
      <c r="L1739" s="31" t="s">
        <v>2727</v>
      </c>
      <c r="M1739" s="32">
        <v>0.46</v>
      </c>
      <c r="N1739" s="27" t="s">
        <v>33</v>
      </c>
      <c r="O1739" s="27" t="s">
        <v>34</v>
      </c>
      <c r="P1739" s="27" t="s">
        <v>242</v>
      </c>
      <c r="Q1739" s="27" t="s">
        <v>2432</v>
      </c>
      <c r="R1739" s="33">
        <v>23223</v>
      </c>
      <c r="S1739" s="34">
        <v>42166</v>
      </c>
      <c r="T1739" s="34">
        <v>42167</v>
      </c>
      <c r="U1739" s="29">
        <v>3.54</v>
      </c>
      <c r="V1739" s="26">
        <v>17</v>
      </c>
      <c r="W1739" s="29">
        <v>257.48</v>
      </c>
      <c r="X1739" s="26">
        <v>87917</v>
      </c>
      <c r="Y1739" s="35">
        <v>195.97</v>
      </c>
      <c r="Z1739" s="1" t="s">
        <v>3011</v>
      </c>
      <c r="AA1739" s="36">
        <v>13.328000000000001</v>
      </c>
      <c r="AB1739" s="54">
        <v>139.03920000000002</v>
      </c>
      <c r="AC1739" s="54">
        <v>6.9671058823529419</v>
      </c>
      <c r="AD1739" s="36">
        <v>236.88200000000001</v>
      </c>
    </row>
    <row r="1740" spans="1:30" s="37" customFormat="1" ht="15.75" customHeight="1" x14ac:dyDescent="0.2">
      <c r="A1740" s="26">
        <v>2649</v>
      </c>
      <c r="B1740" s="27" t="s">
        <v>2826</v>
      </c>
      <c r="C1740" s="27" t="s">
        <v>38</v>
      </c>
      <c r="D1740" s="28">
        <v>0.01</v>
      </c>
      <c r="E1740" s="29">
        <v>39.979999999999997</v>
      </c>
      <c r="F1740" s="29">
        <v>4</v>
      </c>
      <c r="G1740" s="30" t="s">
        <v>39</v>
      </c>
      <c r="H1740" s="27" t="s">
        <v>94</v>
      </c>
      <c r="I1740" s="27" t="s">
        <v>41</v>
      </c>
      <c r="J1740" s="27" t="s">
        <v>42</v>
      </c>
      <c r="K1740" s="27" t="s">
        <v>73</v>
      </c>
      <c r="L1740" s="31" t="s">
        <v>1927</v>
      </c>
      <c r="M1740" s="32">
        <v>0.7</v>
      </c>
      <c r="N1740" s="27" t="s">
        <v>33</v>
      </c>
      <c r="O1740" s="27" t="s">
        <v>111</v>
      </c>
      <c r="P1740" s="27" t="s">
        <v>418</v>
      </c>
      <c r="Q1740" s="27" t="s">
        <v>2330</v>
      </c>
      <c r="R1740" s="33">
        <v>21040</v>
      </c>
      <c r="S1740" s="34">
        <v>42166</v>
      </c>
      <c r="T1740" s="34">
        <v>42167</v>
      </c>
      <c r="U1740" s="29">
        <v>-30.808</v>
      </c>
      <c r="V1740" s="26">
        <v>5</v>
      </c>
      <c r="W1740" s="29">
        <v>203.29</v>
      </c>
      <c r="X1740" s="26">
        <v>88814</v>
      </c>
      <c r="Y1740" s="35">
        <v>15.629999999999999</v>
      </c>
      <c r="Z1740" s="1" t="s">
        <v>3014</v>
      </c>
      <c r="AA1740" s="36">
        <v>1.9989999999999999</v>
      </c>
      <c r="AB1740" s="54">
        <v>60.987000000000009</v>
      </c>
      <c r="AC1740" s="54">
        <v>28.460599999999999</v>
      </c>
      <c r="AD1740" s="36">
        <v>228.09899999999999</v>
      </c>
    </row>
    <row r="1741" spans="1:30" s="37" customFormat="1" ht="15.75" customHeight="1" x14ac:dyDescent="0.2">
      <c r="A1741" s="26">
        <v>3078</v>
      </c>
      <c r="B1741" s="27" t="s">
        <v>2830</v>
      </c>
      <c r="C1741" s="27" t="s">
        <v>3094</v>
      </c>
      <c r="D1741" s="28">
        <v>0.04</v>
      </c>
      <c r="E1741" s="29">
        <v>35.44</v>
      </c>
      <c r="F1741" s="29">
        <v>5.09</v>
      </c>
      <c r="G1741" s="30" t="s">
        <v>39</v>
      </c>
      <c r="H1741" s="27" t="s">
        <v>3095</v>
      </c>
      <c r="I1741" s="27" t="s">
        <v>49</v>
      </c>
      <c r="J1741" s="27" t="s">
        <v>88</v>
      </c>
      <c r="K1741" s="27" t="s">
        <v>73</v>
      </c>
      <c r="L1741" s="31" t="s">
        <v>2078</v>
      </c>
      <c r="M1741" s="32">
        <v>0.38</v>
      </c>
      <c r="N1741" s="27" t="s">
        <v>33</v>
      </c>
      <c r="O1741" s="27" t="s">
        <v>111</v>
      </c>
      <c r="P1741" s="27" t="s">
        <v>317</v>
      </c>
      <c r="Q1741" s="27" t="s">
        <v>2831</v>
      </c>
      <c r="R1741" s="33">
        <v>43615</v>
      </c>
      <c r="S1741" s="34">
        <v>42166</v>
      </c>
      <c r="T1741" s="34">
        <v>42166</v>
      </c>
      <c r="U1741" s="29">
        <v>118.6317</v>
      </c>
      <c r="V1741" s="26">
        <v>5</v>
      </c>
      <c r="W1741" s="29">
        <v>171.93</v>
      </c>
      <c r="X1741" s="26">
        <v>88240</v>
      </c>
      <c r="Y1741" s="35">
        <v>14.98</v>
      </c>
      <c r="Z1741" s="1" t="s">
        <v>3014</v>
      </c>
      <c r="AA1741" s="36">
        <v>7.0880000000000001</v>
      </c>
      <c r="AB1741" s="54">
        <v>106.59660000000001</v>
      </c>
      <c r="AC1741" s="54">
        <v>13.066680000000002</v>
      </c>
      <c r="AD1741" s="36">
        <v>41.120300000000015</v>
      </c>
    </row>
    <row r="1742" spans="1:30" s="37" customFormat="1" ht="15.75" customHeight="1" x14ac:dyDescent="0.2">
      <c r="A1742" s="26">
        <v>3008</v>
      </c>
      <c r="B1742" s="27" t="s">
        <v>1518</v>
      </c>
      <c r="C1742" s="27" t="s">
        <v>38</v>
      </c>
      <c r="D1742" s="28">
        <v>0.01</v>
      </c>
      <c r="E1742" s="29">
        <v>12.28</v>
      </c>
      <c r="F1742" s="29">
        <v>6.47</v>
      </c>
      <c r="G1742" s="30" t="s">
        <v>39</v>
      </c>
      <c r="H1742" s="27" t="s">
        <v>71</v>
      </c>
      <c r="I1742" s="27" t="s">
        <v>49</v>
      </c>
      <c r="J1742" s="27" t="s">
        <v>88</v>
      </c>
      <c r="K1742" s="27" t="s">
        <v>73</v>
      </c>
      <c r="L1742" s="31" t="s">
        <v>2558</v>
      </c>
      <c r="M1742" s="32">
        <v>0.38</v>
      </c>
      <c r="N1742" s="27" t="s">
        <v>33</v>
      </c>
      <c r="O1742" s="27" t="s">
        <v>53</v>
      </c>
      <c r="P1742" s="27" t="s">
        <v>84</v>
      </c>
      <c r="Q1742" s="27" t="s">
        <v>1520</v>
      </c>
      <c r="R1742" s="33">
        <v>55343</v>
      </c>
      <c r="S1742" s="34">
        <v>42166</v>
      </c>
      <c r="T1742" s="34">
        <v>42167</v>
      </c>
      <c r="U1742" s="29">
        <v>47.61</v>
      </c>
      <c r="V1742" s="26">
        <v>12</v>
      </c>
      <c r="W1742" s="29">
        <v>160.66</v>
      </c>
      <c r="X1742" s="26">
        <v>89415</v>
      </c>
      <c r="Y1742" s="35">
        <v>38.739999999999995</v>
      </c>
      <c r="Z1742" s="1" t="s">
        <v>3012</v>
      </c>
      <c r="AA1742" s="36">
        <v>1.4735999999999998</v>
      </c>
      <c r="AB1742" s="54">
        <v>99.609200000000001</v>
      </c>
      <c r="AC1742" s="54">
        <v>5.0875666666666666</v>
      </c>
      <c r="AD1742" s="36">
        <v>105.10640000000001</v>
      </c>
    </row>
    <row r="1743" spans="1:30" s="37" customFormat="1" ht="15.75" customHeight="1" x14ac:dyDescent="0.2">
      <c r="A1743" s="26">
        <v>3079</v>
      </c>
      <c r="B1743" s="27" t="s">
        <v>319</v>
      </c>
      <c r="C1743" s="27" t="s">
        <v>3094</v>
      </c>
      <c r="D1743" s="28">
        <v>0.08</v>
      </c>
      <c r="E1743" s="29">
        <v>3.98</v>
      </c>
      <c r="F1743" s="29">
        <v>0.7</v>
      </c>
      <c r="G1743" s="30" t="s">
        <v>39</v>
      </c>
      <c r="H1743" s="27" t="s">
        <v>3095</v>
      </c>
      <c r="I1743" s="27" t="s">
        <v>49</v>
      </c>
      <c r="J1743" s="27" t="s">
        <v>50</v>
      </c>
      <c r="K1743" s="27" t="s">
        <v>51</v>
      </c>
      <c r="L1743" s="31" t="s">
        <v>348</v>
      </c>
      <c r="M1743" s="32">
        <v>0.52</v>
      </c>
      <c r="N1743" s="27" t="s">
        <v>33</v>
      </c>
      <c r="O1743" s="27" t="s">
        <v>111</v>
      </c>
      <c r="P1743" s="27" t="s">
        <v>320</v>
      </c>
      <c r="Q1743" s="27" t="s">
        <v>321</v>
      </c>
      <c r="R1743" s="33">
        <v>19112</v>
      </c>
      <c r="S1743" s="34">
        <v>42166</v>
      </c>
      <c r="T1743" s="34">
        <v>42169</v>
      </c>
      <c r="U1743" s="29">
        <v>19.420000000000002</v>
      </c>
      <c r="V1743" s="26">
        <v>36</v>
      </c>
      <c r="W1743" s="29">
        <v>140.78</v>
      </c>
      <c r="X1743" s="26">
        <v>53476</v>
      </c>
      <c r="Y1743" s="35">
        <v>35.4</v>
      </c>
      <c r="Z1743" s="1" t="s">
        <v>3014</v>
      </c>
      <c r="AA1743" s="36">
        <v>11.462400000000001</v>
      </c>
      <c r="AB1743" s="54">
        <v>67.574399999999997</v>
      </c>
      <c r="AC1743" s="54">
        <v>2.0334888888888889</v>
      </c>
      <c r="AD1743" s="36">
        <v>109.19759999999999</v>
      </c>
    </row>
    <row r="1744" spans="1:30" s="37" customFormat="1" ht="15.75" customHeight="1" x14ac:dyDescent="0.2">
      <c r="A1744" s="26">
        <v>3079</v>
      </c>
      <c r="B1744" s="27" t="s">
        <v>319</v>
      </c>
      <c r="C1744" s="27" t="s">
        <v>3094</v>
      </c>
      <c r="D1744" s="28">
        <v>0.01</v>
      </c>
      <c r="E1744" s="29">
        <v>1.76</v>
      </c>
      <c r="F1744" s="29">
        <v>0.7</v>
      </c>
      <c r="G1744" s="30" t="s">
        <v>39</v>
      </c>
      <c r="H1744" s="27" t="s">
        <v>3095</v>
      </c>
      <c r="I1744" s="27" t="s">
        <v>49</v>
      </c>
      <c r="J1744" s="27" t="s">
        <v>50</v>
      </c>
      <c r="K1744" s="27" t="s">
        <v>51</v>
      </c>
      <c r="L1744" s="31" t="s">
        <v>1663</v>
      </c>
      <c r="M1744" s="32">
        <v>0.56000000000000005</v>
      </c>
      <c r="N1744" s="27" t="s">
        <v>33</v>
      </c>
      <c r="O1744" s="27" t="s">
        <v>111</v>
      </c>
      <c r="P1744" s="27" t="s">
        <v>320</v>
      </c>
      <c r="Q1744" s="27" t="s">
        <v>321</v>
      </c>
      <c r="R1744" s="33">
        <v>19112</v>
      </c>
      <c r="S1744" s="34">
        <v>42166</v>
      </c>
      <c r="T1744" s="34">
        <v>42167</v>
      </c>
      <c r="U1744" s="29">
        <v>3.13</v>
      </c>
      <c r="V1744" s="26">
        <v>71</v>
      </c>
      <c r="W1744" s="29">
        <v>129.72</v>
      </c>
      <c r="X1744" s="26">
        <v>53476</v>
      </c>
      <c r="Y1744" s="35">
        <v>3.9</v>
      </c>
      <c r="Z1744" s="1" t="s">
        <v>3014</v>
      </c>
      <c r="AA1744" s="36">
        <v>1.2496</v>
      </c>
      <c r="AB1744" s="54">
        <v>57.076799999999992</v>
      </c>
      <c r="AC1744" s="54">
        <v>1.023143661971831</v>
      </c>
      <c r="AD1744" s="36">
        <v>124.6404</v>
      </c>
    </row>
    <row r="1745" spans="1:30" s="37" customFormat="1" ht="15.75" customHeight="1" x14ac:dyDescent="0.2">
      <c r="A1745" s="26">
        <v>3252</v>
      </c>
      <c r="B1745" s="27" t="s">
        <v>1923</v>
      </c>
      <c r="C1745" s="27" t="s">
        <v>26</v>
      </c>
      <c r="D1745" s="28">
        <v>0.02</v>
      </c>
      <c r="E1745" s="29">
        <v>5.28</v>
      </c>
      <c r="F1745" s="29">
        <v>6.26</v>
      </c>
      <c r="G1745" s="30" t="s">
        <v>39</v>
      </c>
      <c r="H1745" s="27" t="s">
        <v>94</v>
      </c>
      <c r="I1745" s="27" t="s">
        <v>49</v>
      </c>
      <c r="J1745" s="27" t="s">
        <v>88</v>
      </c>
      <c r="K1745" s="27" t="s">
        <v>73</v>
      </c>
      <c r="L1745" s="31" t="s">
        <v>2458</v>
      </c>
      <c r="M1745" s="32">
        <v>0.4</v>
      </c>
      <c r="N1745" s="27" t="s">
        <v>33</v>
      </c>
      <c r="O1745" s="27" t="s">
        <v>111</v>
      </c>
      <c r="P1745" s="27" t="s">
        <v>112</v>
      </c>
      <c r="Q1745" s="27" t="s">
        <v>1924</v>
      </c>
      <c r="R1745" s="33">
        <v>12306</v>
      </c>
      <c r="S1745" s="34">
        <v>42166</v>
      </c>
      <c r="T1745" s="34">
        <v>42167</v>
      </c>
      <c r="U1745" s="29">
        <v>-65.58</v>
      </c>
      <c r="V1745" s="26">
        <v>19</v>
      </c>
      <c r="W1745" s="29">
        <v>103.18</v>
      </c>
      <c r="X1745" s="26">
        <v>87299</v>
      </c>
      <c r="Y1745" s="35">
        <v>35.4</v>
      </c>
      <c r="Z1745" s="1" t="s">
        <v>3014</v>
      </c>
      <c r="AA1745" s="36">
        <v>2.0064000000000002</v>
      </c>
      <c r="AB1745" s="54">
        <v>61.908000000000001</v>
      </c>
      <c r="AC1745" s="54">
        <v>2.1722105263157898</v>
      </c>
      <c r="AD1745" s="36">
        <v>160.49360000000001</v>
      </c>
    </row>
    <row r="1746" spans="1:30" s="37" customFormat="1" ht="15.75" customHeight="1" x14ac:dyDescent="0.2">
      <c r="A1746" s="26">
        <v>2840</v>
      </c>
      <c r="B1746" s="27" t="s">
        <v>1737</v>
      </c>
      <c r="C1746" s="27" t="s">
        <v>116</v>
      </c>
      <c r="D1746" s="28">
        <v>0.02</v>
      </c>
      <c r="E1746" s="29">
        <v>38.76</v>
      </c>
      <c r="F1746" s="29">
        <v>13.26</v>
      </c>
      <c r="G1746" s="30" t="s">
        <v>39</v>
      </c>
      <c r="H1746" s="27" t="s">
        <v>94</v>
      </c>
      <c r="I1746" s="27" t="s">
        <v>49</v>
      </c>
      <c r="J1746" s="27" t="s">
        <v>88</v>
      </c>
      <c r="K1746" s="27" t="s">
        <v>73</v>
      </c>
      <c r="L1746" s="31" t="s">
        <v>2829</v>
      </c>
      <c r="M1746" s="32">
        <v>0.36</v>
      </c>
      <c r="N1746" s="27" t="s">
        <v>33</v>
      </c>
      <c r="O1746" s="27" t="s">
        <v>34</v>
      </c>
      <c r="P1746" s="27" t="s">
        <v>123</v>
      </c>
      <c r="Q1746" s="27" t="s">
        <v>1739</v>
      </c>
      <c r="R1746" s="33">
        <v>33161</v>
      </c>
      <c r="S1746" s="34">
        <v>42166</v>
      </c>
      <c r="T1746" s="34">
        <v>42167</v>
      </c>
      <c r="U1746" s="29">
        <v>-294.084</v>
      </c>
      <c r="V1746" s="26">
        <v>1</v>
      </c>
      <c r="W1746" s="29">
        <v>44.62</v>
      </c>
      <c r="X1746" s="26">
        <v>87885</v>
      </c>
      <c r="Y1746" s="35">
        <v>3.9</v>
      </c>
      <c r="Z1746" s="1" t="s">
        <v>3011</v>
      </c>
      <c r="AA1746" s="36">
        <v>0.7752</v>
      </c>
      <c r="AB1746" s="54">
        <v>28.556799999999999</v>
      </c>
      <c r="AC1746" s="54">
        <v>16.063199999999998</v>
      </c>
      <c r="AD1746" s="36">
        <v>324.66880000000003</v>
      </c>
    </row>
    <row r="1747" spans="1:30" s="37" customFormat="1" ht="15.75" customHeight="1" x14ac:dyDescent="0.2">
      <c r="A1747" s="26">
        <v>3078</v>
      </c>
      <c r="B1747" s="27" t="s">
        <v>2830</v>
      </c>
      <c r="C1747" s="27" t="s">
        <v>3094</v>
      </c>
      <c r="D1747" s="28">
        <v>0.08</v>
      </c>
      <c r="E1747" s="29">
        <v>3.98</v>
      </c>
      <c r="F1747" s="29">
        <v>0.7</v>
      </c>
      <c r="G1747" s="30" t="s">
        <v>39</v>
      </c>
      <c r="H1747" s="27" t="s">
        <v>3095</v>
      </c>
      <c r="I1747" s="27" t="s">
        <v>49</v>
      </c>
      <c r="J1747" s="27" t="s">
        <v>50</v>
      </c>
      <c r="K1747" s="27" t="s">
        <v>51</v>
      </c>
      <c r="L1747" s="31" t="s">
        <v>348</v>
      </c>
      <c r="M1747" s="32">
        <v>0.52</v>
      </c>
      <c r="N1747" s="27" t="s">
        <v>33</v>
      </c>
      <c r="O1747" s="27" t="s">
        <v>111</v>
      </c>
      <c r="P1747" s="27" t="s">
        <v>317</v>
      </c>
      <c r="Q1747" s="27" t="s">
        <v>2831</v>
      </c>
      <c r="R1747" s="33">
        <v>43615</v>
      </c>
      <c r="S1747" s="34">
        <v>42166</v>
      </c>
      <c r="T1747" s="34">
        <v>42169</v>
      </c>
      <c r="U1747" s="29">
        <v>23.303999999999998</v>
      </c>
      <c r="V1747" s="26">
        <v>9</v>
      </c>
      <c r="W1747" s="29">
        <v>35.19</v>
      </c>
      <c r="X1747" s="26">
        <v>88240</v>
      </c>
      <c r="Y1747" s="35">
        <v>1.75</v>
      </c>
      <c r="Z1747" s="1" t="s">
        <v>3014</v>
      </c>
      <c r="AA1747" s="36">
        <v>2.8656000000000001</v>
      </c>
      <c r="AB1747" s="54">
        <v>16.891199999999998</v>
      </c>
      <c r="AC1747" s="54">
        <v>2.0331999999999999</v>
      </c>
      <c r="AD1747" s="36">
        <v>8.3203999999999994</v>
      </c>
    </row>
    <row r="1748" spans="1:30" s="37" customFormat="1" ht="15.75" customHeight="1" x14ac:dyDescent="0.2">
      <c r="A1748" s="26">
        <v>1265</v>
      </c>
      <c r="B1748" s="27" t="s">
        <v>2820</v>
      </c>
      <c r="C1748" s="27" t="s">
        <v>26</v>
      </c>
      <c r="D1748" s="28">
        <v>0.05</v>
      </c>
      <c r="E1748" s="29">
        <v>5.28</v>
      </c>
      <c r="F1748" s="29">
        <v>6.26</v>
      </c>
      <c r="G1748" s="30" t="s">
        <v>39</v>
      </c>
      <c r="H1748" s="27" t="s">
        <v>71</v>
      </c>
      <c r="I1748" s="27" t="s">
        <v>49</v>
      </c>
      <c r="J1748" s="27" t="s">
        <v>88</v>
      </c>
      <c r="K1748" s="27" t="s">
        <v>73</v>
      </c>
      <c r="L1748" s="31" t="s">
        <v>2458</v>
      </c>
      <c r="M1748" s="32">
        <v>0.4</v>
      </c>
      <c r="N1748" s="27" t="s">
        <v>33</v>
      </c>
      <c r="O1748" s="27" t="s">
        <v>53</v>
      </c>
      <c r="P1748" s="27" t="s">
        <v>207</v>
      </c>
      <c r="Q1748" s="27" t="s">
        <v>2821</v>
      </c>
      <c r="R1748" s="33">
        <v>73521</v>
      </c>
      <c r="S1748" s="34">
        <v>42166</v>
      </c>
      <c r="T1748" s="34">
        <v>42167</v>
      </c>
      <c r="U1748" s="29">
        <v>-11.375999999999999</v>
      </c>
      <c r="V1748" s="26">
        <v>1</v>
      </c>
      <c r="W1748" s="29">
        <v>7.15</v>
      </c>
      <c r="X1748" s="26">
        <v>89729</v>
      </c>
      <c r="Y1748" s="35">
        <v>193.16</v>
      </c>
      <c r="Z1748" s="1" t="s">
        <v>3012</v>
      </c>
      <c r="AA1748" s="36">
        <v>0.26400000000000001</v>
      </c>
      <c r="AB1748" s="54">
        <v>4.29</v>
      </c>
      <c r="AC1748" s="54">
        <v>2.8600000000000003</v>
      </c>
      <c r="AD1748" s="36">
        <v>12.001999999999999</v>
      </c>
    </row>
    <row r="1749" spans="1:30" s="37" customFormat="1" ht="15.75" customHeight="1" x14ac:dyDescent="0.2">
      <c r="A1749" s="26">
        <v>2046</v>
      </c>
      <c r="B1749" s="27" t="s">
        <v>2832</v>
      </c>
      <c r="C1749" s="27" t="s">
        <v>26</v>
      </c>
      <c r="D1749" s="28">
        <v>0.06</v>
      </c>
      <c r="E1749" s="29">
        <v>424.21</v>
      </c>
      <c r="F1749" s="29">
        <v>110.2</v>
      </c>
      <c r="G1749" s="30" t="s">
        <v>27</v>
      </c>
      <c r="H1749" s="27" t="s">
        <v>94</v>
      </c>
      <c r="I1749" s="27" t="s">
        <v>29</v>
      </c>
      <c r="J1749" s="27" t="s">
        <v>30</v>
      </c>
      <c r="K1749" s="27" t="s">
        <v>31</v>
      </c>
      <c r="L1749" s="31" t="s">
        <v>915</v>
      </c>
      <c r="M1749" s="32">
        <v>0.67</v>
      </c>
      <c r="N1749" s="27" t="s">
        <v>33</v>
      </c>
      <c r="O1749" s="27" t="s">
        <v>53</v>
      </c>
      <c r="P1749" s="27" t="s">
        <v>537</v>
      </c>
      <c r="Q1749" s="27" t="s">
        <v>2834</v>
      </c>
      <c r="R1749" s="33">
        <v>67901</v>
      </c>
      <c r="S1749" s="34">
        <v>42167</v>
      </c>
      <c r="T1749" s="34">
        <v>42168</v>
      </c>
      <c r="U1749" s="29">
        <v>682.53</v>
      </c>
      <c r="V1749" s="26">
        <v>17</v>
      </c>
      <c r="W1749" s="29">
        <v>7304.03</v>
      </c>
      <c r="X1749" s="26">
        <v>88219</v>
      </c>
      <c r="Y1749" s="35">
        <v>4.24</v>
      </c>
      <c r="Z1749" s="1" t="s">
        <v>3012</v>
      </c>
      <c r="AA1749" s="36">
        <v>432.69419999999997</v>
      </c>
      <c r="AB1749" s="54">
        <v>2410.3298999999997</v>
      </c>
      <c r="AC1749" s="54">
        <v>287.86471176470587</v>
      </c>
      <c r="AD1749" s="36">
        <v>6078.6057999999994</v>
      </c>
    </row>
    <row r="1750" spans="1:30" s="37" customFormat="1" ht="15.75" customHeight="1" x14ac:dyDescent="0.2">
      <c r="A1750" s="26">
        <v>550</v>
      </c>
      <c r="B1750" s="27" t="s">
        <v>872</v>
      </c>
      <c r="C1750" s="27" t="s">
        <v>116</v>
      </c>
      <c r="D1750" s="28">
        <v>0.06</v>
      </c>
      <c r="E1750" s="29">
        <v>549.99</v>
      </c>
      <c r="F1750" s="29">
        <v>49</v>
      </c>
      <c r="G1750" s="30" t="s">
        <v>27</v>
      </c>
      <c r="H1750" s="27" t="s">
        <v>94</v>
      </c>
      <c r="I1750" s="27" t="s">
        <v>41</v>
      </c>
      <c r="J1750" s="27" t="s">
        <v>64</v>
      </c>
      <c r="K1750" s="27" t="s">
        <v>58</v>
      </c>
      <c r="L1750" s="31" t="s">
        <v>1244</v>
      </c>
      <c r="M1750" s="32">
        <v>0.35</v>
      </c>
      <c r="N1750" s="27" t="s">
        <v>33</v>
      </c>
      <c r="O1750" s="27" t="s">
        <v>53</v>
      </c>
      <c r="P1750" s="27" t="s">
        <v>187</v>
      </c>
      <c r="Q1750" s="27" t="s">
        <v>873</v>
      </c>
      <c r="R1750" s="33">
        <v>78155</v>
      </c>
      <c r="S1750" s="34">
        <v>42167</v>
      </c>
      <c r="T1750" s="34">
        <v>42168</v>
      </c>
      <c r="U1750" s="29">
        <v>4637.4071999999996</v>
      </c>
      <c r="V1750" s="26">
        <v>13</v>
      </c>
      <c r="W1750" s="29">
        <v>6720.88</v>
      </c>
      <c r="X1750" s="26">
        <v>90910</v>
      </c>
      <c r="Y1750" s="35">
        <v>376.07</v>
      </c>
      <c r="Z1750" s="1" t="s">
        <v>3012</v>
      </c>
      <c r="AA1750" s="36">
        <v>428.99220000000003</v>
      </c>
      <c r="AB1750" s="54">
        <v>4368.5720000000001</v>
      </c>
      <c r="AC1750" s="54">
        <v>180.94676923076923</v>
      </c>
      <c r="AD1750" s="36">
        <v>1605.4806000000008</v>
      </c>
    </row>
    <row r="1751" spans="1:30" s="37" customFormat="1" ht="15.75" customHeight="1" x14ac:dyDescent="0.2">
      <c r="A1751" s="26">
        <v>2046</v>
      </c>
      <c r="B1751" s="27" t="s">
        <v>2832</v>
      </c>
      <c r="C1751" s="27" t="s">
        <v>26</v>
      </c>
      <c r="D1751" s="28">
        <v>0.06</v>
      </c>
      <c r="E1751" s="29">
        <v>376.13</v>
      </c>
      <c r="F1751" s="29">
        <v>85.63</v>
      </c>
      <c r="G1751" s="30" t="s">
        <v>27</v>
      </c>
      <c r="H1751" s="27" t="s">
        <v>94</v>
      </c>
      <c r="I1751" s="27" t="s">
        <v>29</v>
      </c>
      <c r="J1751" s="27" t="s">
        <v>30</v>
      </c>
      <c r="K1751" s="27" t="s">
        <v>31</v>
      </c>
      <c r="L1751" s="31" t="s">
        <v>2835</v>
      </c>
      <c r="M1751" s="32">
        <v>0.74</v>
      </c>
      <c r="N1751" s="27" t="s">
        <v>33</v>
      </c>
      <c r="O1751" s="27" t="s">
        <v>53</v>
      </c>
      <c r="P1751" s="27" t="s">
        <v>537</v>
      </c>
      <c r="Q1751" s="27" t="s">
        <v>2834</v>
      </c>
      <c r="R1751" s="33">
        <v>67901</v>
      </c>
      <c r="S1751" s="34">
        <v>42167</v>
      </c>
      <c r="T1751" s="34">
        <v>42169</v>
      </c>
      <c r="U1751" s="29">
        <v>-435.75749999999999</v>
      </c>
      <c r="V1751" s="26">
        <v>13</v>
      </c>
      <c r="W1751" s="29">
        <v>4634.6899999999996</v>
      </c>
      <c r="X1751" s="26">
        <v>88219</v>
      </c>
      <c r="Y1751" s="35">
        <v>424.15</v>
      </c>
      <c r="Z1751" s="1" t="s">
        <v>3012</v>
      </c>
      <c r="AA1751" s="36">
        <v>293.38139999999999</v>
      </c>
      <c r="AB1751" s="54">
        <v>1205.0193999999999</v>
      </c>
      <c r="AC1751" s="54">
        <v>263.82081538461534</v>
      </c>
      <c r="AD1751" s="36">
        <v>4691.4360999999999</v>
      </c>
    </row>
    <row r="1752" spans="1:30" s="37" customFormat="1" ht="15.75" customHeight="1" x14ac:dyDescent="0.2">
      <c r="A1752" s="26">
        <v>1466</v>
      </c>
      <c r="B1752" s="27" t="s">
        <v>2825</v>
      </c>
      <c r="C1752" s="27" t="s">
        <v>48</v>
      </c>
      <c r="D1752" s="28">
        <v>0.04</v>
      </c>
      <c r="E1752" s="29">
        <v>130.97999999999999</v>
      </c>
      <c r="F1752" s="29">
        <v>54.74</v>
      </c>
      <c r="G1752" s="30" t="s">
        <v>27</v>
      </c>
      <c r="H1752" s="27" t="s">
        <v>3095</v>
      </c>
      <c r="I1752" s="27" t="s">
        <v>29</v>
      </c>
      <c r="J1752" s="27" t="s">
        <v>117</v>
      </c>
      <c r="K1752" s="27" t="s">
        <v>31</v>
      </c>
      <c r="L1752" s="31" t="s">
        <v>1403</v>
      </c>
      <c r="M1752" s="32">
        <v>0.69</v>
      </c>
      <c r="N1752" s="27" t="s">
        <v>33</v>
      </c>
      <c r="O1752" s="27" t="s">
        <v>53</v>
      </c>
      <c r="P1752" s="27" t="s">
        <v>133</v>
      </c>
      <c r="Q1752" s="27" t="s">
        <v>1483</v>
      </c>
      <c r="R1752" s="33">
        <v>68601</v>
      </c>
      <c r="S1752" s="34">
        <v>42167</v>
      </c>
      <c r="T1752" s="34">
        <v>42167</v>
      </c>
      <c r="U1752" s="29">
        <v>-723.78399999999999</v>
      </c>
      <c r="V1752" s="26">
        <v>14</v>
      </c>
      <c r="W1752" s="29">
        <v>1781.66</v>
      </c>
      <c r="X1752" s="26">
        <v>91116</v>
      </c>
      <c r="Y1752" s="35">
        <v>195.93</v>
      </c>
      <c r="Z1752" s="1" t="s">
        <v>3012</v>
      </c>
      <c r="AA1752" s="36">
        <v>73.348799999999997</v>
      </c>
      <c r="AB1752" s="54">
        <v>552.31460000000015</v>
      </c>
      <c r="AC1752" s="54">
        <v>87.810385714285715</v>
      </c>
      <c r="AD1752" s="36">
        <v>2377.3552</v>
      </c>
    </row>
    <row r="1753" spans="1:30" s="37" customFormat="1" ht="15.75" customHeight="1" x14ac:dyDescent="0.2">
      <c r="A1753" s="26">
        <v>1745</v>
      </c>
      <c r="B1753" s="27" t="s">
        <v>359</v>
      </c>
      <c r="C1753" s="27" t="s">
        <v>38</v>
      </c>
      <c r="D1753" s="28">
        <v>0.1</v>
      </c>
      <c r="E1753" s="29">
        <v>35.99</v>
      </c>
      <c r="F1753" s="29">
        <v>5</v>
      </c>
      <c r="G1753" s="30" t="s">
        <v>39</v>
      </c>
      <c r="H1753" s="27" t="s">
        <v>40</v>
      </c>
      <c r="I1753" s="27" t="s">
        <v>41</v>
      </c>
      <c r="J1753" s="27" t="s">
        <v>135</v>
      </c>
      <c r="K1753" s="27" t="s">
        <v>51</v>
      </c>
      <c r="L1753" s="31" t="s">
        <v>1849</v>
      </c>
      <c r="M1753" s="32">
        <v>0.82</v>
      </c>
      <c r="N1753" s="27" t="s">
        <v>33</v>
      </c>
      <c r="O1753" s="27" t="s">
        <v>34</v>
      </c>
      <c r="P1753" s="27" t="s">
        <v>75</v>
      </c>
      <c r="Q1753" s="27" t="s">
        <v>361</v>
      </c>
      <c r="R1753" s="33">
        <v>30305</v>
      </c>
      <c r="S1753" s="34">
        <v>42167</v>
      </c>
      <c r="T1753" s="34">
        <v>42167</v>
      </c>
      <c r="U1753" s="29">
        <v>-277.20924000000002</v>
      </c>
      <c r="V1753" s="26">
        <v>54</v>
      </c>
      <c r="W1753" s="29">
        <v>1569</v>
      </c>
      <c r="X1753" s="26">
        <v>12224</v>
      </c>
      <c r="Y1753" s="35">
        <v>29.1</v>
      </c>
      <c r="Z1753" s="1" t="s">
        <v>3011</v>
      </c>
      <c r="AA1753" s="36">
        <v>194.346</v>
      </c>
      <c r="AB1753" s="54">
        <v>282.42000000000007</v>
      </c>
      <c r="AC1753" s="54">
        <v>23.825555555555557</v>
      </c>
      <c r="AD1753" s="36">
        <v>1646.8632400000001</v>
      </c>
    </row>
    <row r="1754" spans="1:30" s="37" customFormat="1" ht="15.75" customHeight="1" x14ac:dyDescent="0.2">
      <c r="A1754" s="26">
        <v>1469</v>
      </c>
      <c r="B1754" s="27" t="s">
        <v>2845</v>
      </c>
      <c r="C1754" s="27" t="s">
        <v>48</v>
      </c>
      <c r="D1754" s="28">
        <v>0.04</v>
      </c>
      <c r="E1754" s="29">
        <v>105.29</v>
      </c>
      <c r="F1754" s="29">
        <v>10.119999999999999</v>
      </c>
      <c r="G1754" s="30" t="s">
        <v>39</v>
      </c>
      <c r="H1754" s="27" t="s">
        <v>3095</v>
      </c>
      <c r="I1754" s="27" t="s">
        <v>29</v>
      </c>
      <c r="J1754" s="27" t="s">
        <v>126</v>
      </c>
      <c r="K1754" s="27" t="s">
        <v>65</v>
      </c>
      <c r="L1754" s="31" t="s">
        <v>194</v>
      </c>
      <c r="M1754" s="32">
        <v>0.79</v>
      </c>
      <c r="N1754" s="27" t="s">
        <v>33</v>
      </c>
      <c r="O1754" s="27" t="s">
        <v>60</v>
      </c>
      <c r="P1754" s="27" t="s">
        <v>146</v>
      </c>
      <c r="Q1754" s="27" t="s">
        <v>2846</v>
      </c>
      <c r="R1754" s="33">
        <v>84015</v>
      </c>
      <c r="S1754" s="34">
        <v>42167</v>
      </c>
      <c r="T1754" s="34">
        <v>42171</v>
      </c>
      <c r="U1754" s="29">
        <v>589.18799999999999</v>
      </c>
      <c r="V1754" s="26">
        <v>9</v>
      </c>
      <c r="W1754" s="29">
        <v>940.64</v>
      </c>
      <c r="X1754" s="26">
        <v>91116</v>
      </c>
      <c r="Y1754" s="35">
        <v>8.7800000000000011</v>
      </c>
      <c r="Z1754" s="1" t="s">
        <v>3013</v>
      </c>
      <c r="AA1754" s="36">
        <v>37.90440000000001</v>
      </c>
      <c r="AB1754" s="54">
        <v>197.53439999999998</v>
      </c>
      <c r="AC1754" s="54">
        <v>82.567288888888882</v>
      </c>
      <c r="AD1754" s="36">
        <v>303.42759999999998</v>
      </c>
    </row>
    <row r="1755" spans="1:30" s="37" customFormat="1" ht="15.75" customHeight="1" x14ac:dyDescent="0.2">
      <c r="A1755" s="26">
        <v>1781</v>
      </c>
      <c r="B1755" s="27" t="s">
        <v>299</v>
      </c>
      <c r="C1755" s="27" t="s">
        <v>38</v>
      </c>
      <c r="D1755" s="28">
        <v>0</v>
      </c>
      <c r="E1755" s="29">
        <v>55.48</v>
      </c>
      <c r="F1755" s="29">
        <v>14.3</v>
      </c>
      <c r="G1755" s="30" t="s">
        <v>39</v>
      </c>
      <c r="H1755" s="27" t="s">
        <v>94</v>
      </c>
      <c r="I1755" s="27" t="s">
        <v>49</v>
      </c>
      <c r="J1755" s="27" t="s">
        <v>88</v>
      </c>
      <c r="K1755" s="27" t="s">
        <v>73</v>
      </c>
      <c r="L1755" s="31" t="s">
        <v>847</v>
      </c>
      <c r="M1755" s="32">
        <v>0.37</v>
      </c>
      <c r="N1755" s="27" t="s">
        <v>33</v>
      </c>
      <c r="O1755" s="27" t="s">
        <v>60</v>
      </c>
      <c r="P1755" s="27" t="s">
        <v>90</v>
      </c>
      <c r="Q1755" s="27" t="s">
        <v>301</v>
      </c>
      <c r="R1755" s="33">
        <v>94070</v>
      </c>
      <c r="S1755" s="34">
        <v>42167</v>
      </c>
      <c r="T1755" s="34">
        <v>42169</v>
      </c>
      <c r="U1755" s="29">
        <v>454.44779999999997</v>
      </c>
      <c r="V1755" s="26">
        <v>11</v>
      </c>
      <c r="W1755" s="29">
        <v>658.62</v>
      </c>
      <c r="X1755" s="26">
        <v>89857</v>
      </c>
      <c r="Y1755" s="35">
        <v>6.4600000000000009</v>
      </c>
      <c r="Z1755" s="1" t="s">
        <v>3013</v>
      </c>
      <c r="AA1755" s="36">
        <v>0</v>
      </c>
      <c r="AB1755" s="54">
        <v>414.93060000000003</v>
      </c>
      <c r="AC1755" s="54">
        <v>22.153581818181816</v>
      </c>
      <c r="AD1755" s="36">
        <v>189.87220000000002</v>
      </c>
    </row>
    <row r="1756" spans="1:30" s="37" customFormat="1" ht="15.75" customHeight="1" x14ac:dyDescent="0.2">
      <c r="A1756" s="26">
        <v>2046</v>
      </c>
      <c r="B1756" s="27" t="s">
        <v>2832</v>
      </c>
      <c r="C1756" s="27" t="s">
        <v>26</v>
      </c>
      <c r="D1756" s="28">
        <v>0.06</v>
      </c>
      <c r="E1756" s="29">
        <v>195.99</v>
      </c>
      <c r="F1756" s="29">
        <v>8.99</v>
      </c>
      <c r="G1756" s="30" t="s">
        <v>39</v>
      </c>
      <c r="H1756" s="27" t="s">
        <v>94</v>
      </c>
      <c r="I1756" s="27" t="s">
        <v>41</v>
      </c>
      <c r="J1756" s="27" t="s">
        <v>135</v>
      </c>
      <c r="K1756" s="27" t="s">
        <v>73</v>
      </c>
      <c r="L1756" s="31" t="s">
        <v>1343</v>
      </c>
      <c r="M1756" s="32">
        <v>0.6</v>
      </c>
      <c r="N1756" s="27" t="s">
        <v>33</v>
      </c>
      <c r="O1756" s="27" t="s">
        <v>53</v>
      </c>
      <c r="P1756" s="27" t="s">
        <v>537</v>
      </c>
      <c r="Q1756" s="27" t="s">
        <v>2834</v>
      </c>
      <c r="R1756" s="33">
        <v>67901</v>
      </c>
      <c r="S1756" s="34">
        <v>42167</v>
      </c>
      <c r="T1756" s="34">
        <v>42169</v>
      </c>
      <c r="U1756" s="29">
        <v>-277.22199999999998</v>
      </c>
      <c r="V1756" s="26">
        <v>4</v>
      </c>
      <c r="W1756" s="29">
        <v>632.65</v>
      </c>
      <c r="X1756" s="26">
        <v>88219</v>
      </c>
      <c r="Y1756" s="35">
        <v>124.44999999999999</v>
      </c>
      <c r="Z1756" s="1" t="s">
        <v>3012</v>
      </c>
      <c r="AA1756" s="36">
        <v>47.037599999999998</v>
      </c>
      <c r="AB1756" s="54">
        <v>253.06</v>
      </c>
      <c r="AC1756" s="54">
        <v>94.897499999999994</v>
      </c>
      <c r="AD1756" s="36">
        <v>853.84439999999995</v>
      </c>
    </row>
    <row r="1757" spans="1:30" s="37" customFormat="1" ht="15.75" customHeight="1" x14ac:dyDescent="0.2">
      <c r="A1757" s="26">
        <v>1745</v>
      </c>
      <c r="B1757" s="27" t="s">
        <v>359</v>
      </c>
      <c r="C1757" s="27" t="s">
        <v>38</v>
      </c>
      <c r="D1757" s="28">
        <v>0.04</v>
      </c>
      <c r="E1757" s="29">
        <v>124.49</v>
      </c>
      <c r="F1757" s="29">
        <v>51.94</v>
      </c>
      <c r="G1757" s="30" t="s">
        <v>27</v>
      </c>
      <c r="H1757" s="27" t="s">
        <v>40</v>
      </c>
      <c r="I1757" s="27" t="s">
        <v>29</v>
      </c>
      <c r="J1757" s="27" t="s">
        <v>30</v>
      </c>
      <c r="K1757" s="27" t="s">
        <v>31</v>
      </c>
      <c r="L1757" s="31" t="s">
        <v>1149</v>
      </c>
      <c r="M1757" s="32">
        <v>0.63</v>
      </c>
      <c r="N1757" s="27" t="s">
        <v>33</v>
      </c>
      <c r="O1757" s="27" t="s">
        <v>34</v>
      </c>
      <c r="P1757" s="27" t="s">
        <v>75</v>
      </c>
      <c r="Q1757" s="27" t="s">
        <v>361</v>
      </c>
      <c r="R1757" s="33">
        <v>30305</v>
      </c>
      <c r="S1757" s="34">
        <v>42167</v>
      </c>
      <c r="T1757" s="34">
        <v>42169</v>
      </c>
      <c r="U1757" s="29">
        <v>-247.55157</v>
      </c>
      <c r="V1757" s="26">
        <v>4</v>
      </c>
      <c r="W1757" s="29">
        <v>605.82000000000005</v>
      </c>
      <c r="X1757" s="26">
        <v>12224</v>
      </c>
      <c r="Y1757" s="35">
        <v>35.89</v>
      </c>
      <c r="Z1757" s="1" t="s">
        <v>3011</v>
      </c>
      <c r="AA1757" s="36">
        <v>19.918399999999998</v>
      </c>
      <c r="AB1757" s="54">
        <v>224.1534</v>
      </c>
      <c r="AC1757" s="54">
        <v>95.416650000000004</v>
      </c>
      <c r="AD1757" s="36">
        <v>781.51317000000006</v>
      </c>
    </row>
    <row r="1758" spans="1:30" s="37" customFormat="1" ht="15.75" customHeight="1" x14ac:dyDescent="0.2">
      <c r="A1758" s="26">
        <v>62</v>
      </c>
      <c r="B1758" s="27" t="s">
        <v>2467</v>
      </c>
      <c r="C1758" s="27" t="s">
        <v>38</v>
      </c>
      <c r="D1758" s="28">
        <v>0.04</v>
      </c>
      <c r="E1758" s="29">
        <v>29.14</v>
      </c>
      <c r="F1758" s="29">
        <v>4.8600000000000003</v>
      </c>
      <c r="G1758" s="30" t="s">
        <v>39</v>
      </c>
      <c r="H1758" s="27" t="s">
        <v>94</v>
      </c>
      <c r="I1758" s="27" t="s">
        <v>49</v>
      </c>
      <c r="J1758" s="27" t="s">
        <v>88</v>
      </c>
      <c r="K1758" s="27" t="s">
        <v>51</v>
      </c>
      <c r="L1758" s="31" t="s">
        <v>2836</v>
      </c>
      <c r="M1758" s="32">
        <v>0.38</v>
      </c>
      <c r="N1758" s="27" t="s">
        <v>33</v>
      </c>
      <c r="O1758" s="27" t="s">
        <v>53</v>
      </c>
      <c r="P1758" s="27" t="s">
        <v>187</v>
      </c>
      <c r="Q1758" s="27" t="s">
        <v>2469</v>
      </c>
      <c r="R1758" s="33">
        <v>78664</v>
      </c>
      <c r="S1758" s="34">
        <v>42167</v>
      </c>
      <c r="T1758" s="34">
        <v>42169</v>
      </c>
      <c r="U1758" s="29">
        <v>349.40910000000002</v>
      </c>
      <c r="V1758" s="26">
        <v>17</v>
      </c>
      <c r="W1758" s="29">
        <v>506.39</v>
      </c>
      <c r="X1758" s="26">
        <v>87408</v>
      </c>
      <c r="Y1758" s="35">
        <v>124.44999999999999</v>
      </c>
      <c r="Z1758" s="1" t="s">
        <v>3012</v>
      </c>
      <c r="AA1758" s="36">
        <v>19.815200000000001</v>
      </c>
      <c r="AB1758" s="54">
        <v>313.96179999999998</v>
      </c>
      <c r="AC1758" s="54">
        <v>11.319305882352941</v>
      </c>
      <c r="AD1758" s="36">
        <v>132.30569999999994</v>
      </c>
    </row>
    <row r="1759" spans="1:30" s="37" customFormat="1" ht="15.75" customHeight="1" x14ac:dyDescent="0.2">
      <c r="A1759" s="26">
        <v>1469</v>
      </c>
      <c r="B1759" s="27" t="s">
        <v>2845</v>
      </c>
      <c r="C1759" s="27" t="s">
        <v>48</v>
      </c>
      <c r="D1759" s="28">
        <v>7.0000000000000007E-2</v>
      </c>
      <c r="E1759" s="29">
        <v>31.76</v>
      </c>
      <c r="F1759" s="29">
        <v>45.51</v>
      </c>
      <c r="G1759" s="30" t="s">
        <v>27</v>
      </c>
      <c r="H1759" s="27" t="s">
        <v>3095</v>
      </c>
      <c r="I1759" s="27" t="s">
        <v>29</v>
      </c>
      <c r="J1759" s="27" t="s">
        <v>30</v>
      </c>
      <c r="K1759" s="27" t="s">
        <v>31</v>
      </c>
      <c r="L1759" s="31" t="s">
        <v>666</v>
      </c>
      <c r="M1759" s="32">
        <v>0.65</v>
      </c>
      <c r="N1759" s="27" t="s">
        <v>33</v>
      </c>
      <c r="O1759" s="27" t="s">
        <v>60</v>
      </c>
      <c r="P1759" s="27" t="s">
        <v>146</v>
      </c>
      <c r="Q1759" s="27" t="s">
        <v>2846</v>
      </c>
      <c r="R1759" s="33">
        <v>84015</v>
      </c>
      <c r="S1759" s="34">
        <v>42167</v>
      </c>
      <c r="T1759" s="34">
        <v>42169</v>
      </c>
      <c r="U1759" s="29">
        <v>-1314.992</v>
      </c>
      <c r="V1759" s="26">
        <v>18</v>
      </c>
      <c r="W1759" s="29">
        <v>439.27</v>
      </c>
      <c r="X1759" s="26">
        <v>91116</v>
      </c>
      <c r="Y1759" s="35">
        <v>55.48</v>
      </c>
      <c r="Z1759" s="1" t="s">
        <v>3013</v>
      </c>
      <c r="AA1759" s="36">
        <v>40.017600000000002</v>
      </c>
      <c r="AB1759" s="54">
        <v>153.74449999999999</v>
      </c>
      <c r="AC1759" s="54">
        <v>15.862527777777776</v>
      </c>
      <c r="AD1759" s="36">
        <v>1668.7344000000001</v>
      </c>
    </row>
    <row r="1760" spans="1:30" s="37" customFormat="1" ht="15.75" customHeight="1" x14ac:dyDescent="0.2">
      <c r="A1760" s="26">
        <v>3179</v>
      </c>
      <c r="B1760" s="27" t="s">
        <v>2847</v>
      </c>
      <c r="C1760" s="27" t="s">
        <v>48</v>
      </c>
      <c r="D1760" s="28">
        <v>7.0000000000000007E-2</v>
      </c>
      <c r="E1760" s="29">
        <v>35.44</v>
      </c>
      <c r="F1760" s="29">
        <v>7.5</v>
      </c>
      <c r="G1760" s="30" t="s">
        <v>39</v>
      </c>
      <c r="H1760" s="27" t="s">
        <v>94</v>
      </c>
      <c r="I1760" s="27" t="s">
        <v>49</v>
      </c>
      <c r="J1760" s="27" t="s">
        <v>88</v>
      </c>
      <c r="K1760" s="27" t="s">
        <v>73</v>
      </c>
      <c r="L1760" s="31" t="s">
        <v>567</v>
      </c>
      <c r="M1760" s="32">
        <v>0.38</v>
      </c>
      <c r="N1760" s="27" t="s">
        <v>33</v>
      </c>
      <c r="O1760" s="27" t="s">
        <v>53</v>
      </c>
      <c r="P1760" s="27" t="s">
        <v>84</v>
      </c>
      <c r="Q1760" s="27" t="s">
        <v>2848</v>
      </c>
      <c r="R1760" s="33">
        <v>55060</v>
      </c>
      <c r="S1760" s="34">
        <v>42167</v>
      </c>
      <c r="T1760" s="34">
        <v>42174</v>
      </c>
      <c r="U1760" s="29">
        <v>262.2</v>
      </c>
      <c r="V1760" s="26">
        <v>11</v>
      </c>
      <c r="W1760" s="29">
        <v>380</v>
      </c>
      <c r="X1760" s="26">
        <v>86989</v>
      </c>
      <c r="Y1760" s="35">
        <v>6.62</v>
      </c>
      <c r="Z1760" s="1" t="s">
        <v>3012</v>
      </c>
      <c r="AA1760" s="36">
        <v>27.288799999999998</v>
      </c>
      <c r="AB1760" s="54">
        <v>235.6</v>
      </c>
      <c r="AC1760" s="54">
        <v>13.127272727272729</v>
      </c>
      <c r="AD1760" s="36">
        <v>83.011200000000031</v>
      </c>
    </row>
    <row r="1761" spans="1:30" s="37" customFormat="1" ht="15.75" customHeight="1" x14ac:dyDescent="0.2">
      <c r="A1761" s="26">
        <v>1748</v>
      </c>
      <c r="B1761" s="27" t="s">
        <v>2841</v>
      </c>
      <c r="C1761" s="27" t="s">
        <v>38</v>
      </c>
      <c r="D1761" s="28">
        <v>0.04</v>
      </c>
      <c r="E1761" s="29">
        <v>124.49</v>
      </c>
      <c r="F1761" s="29">
        <v>51.94</v>
      </c>
      <c r="G1761" s="30" t="s">
        <v>27</v>
      </c>
      <c r="H1761" s="27" t="s">
        <v>40</v>
      </c>
      <c r="I1761" s="27" t="s">
        <v>29</v>
      </c>
      <c r="J1761" s="27" t="s">
        <v>30</v>
      </c>
      <c r="K1761" s="27" t="s">
        <v>31</v>
      </c>
      <c r="L1761" s="31" t="s">
        <v>1149</v>
      </c>
      <c r="M1761" s="32">
        <v>0.63</v>
      </c>
      <c r="N1761" s="27" t="s">
        <v>33</v>
      </c>
      <c r="O1761" s="27" t="s">
        <v>53</v>
      </c>
      <c r="P1761" s="27" t="s">
        <v>207</v>
      </c>
      <c r="Q1761" s="27" t="s">
        <v>2842</v>
      </c>
      <c r="R1761" s="33">
        <v>73703</v>
      </c>
      <c r="S1761" s="34">
        <v>42167</v>
      </c>
      <c r="T1761" s="34">
        <v>42169</v>
      </c>
      <c r="U1761" s="29">
        <v>-93.064499999999995</v>
      </c>
      <c r="V1761" s="26">
        <v>1</v>
      </c>
      <c r="W1761" s="29">
        <v>151.46</v>
      </c>
      <c r="X1761" s="26">
        <v>87245</v>
      </c>
      <c r="Y1761" s="35">
        <v>130.94</v>
      </c>
      <c r="Z1761" s="1" t="s">
        <v>3012</v>
      </c>
      <c r="AA1761" s="36">
        <v>4.9795999999999996</v>
      </c>
      <c r="AB1761" s="54">
        <v>56.040200000000006</v>
      </c>
      <c r="AC1761" s="54">
        <v>95.419800000000009</v>
      </c>
      <c r="AD1761" s="36">
        <v>187.60490000000001</v>
      </c>
    </row>
    <row r="1762" spans="1:30" s="37" customFormat="1" ht="15.75" customHeight="1" x14ac:dyDescent="0.2">
      <c r="A1762" s="26">
        <v>387</v>
      </c>
      <c r="B1762" s="27" t="s">
        <v>2837</v>
      </c>
      <c r="C1762" s="27" t="s">
        <v>38</v>
      </c>
      <c r="D1762" s="28">
        <v>0.1</v>
      </c>
      <c r="E1762" s="29">
        <v>8.8800000000000008</v>
      </c>
      <c r="F1762" s="29">
        <v>6.28</v>
      </c>
      <c r="G1762" s="30" t="s">
        <v>87</v>
      </c>
      <c r="H1762" s="27" t="s">
        <v>94</v>
      </c>
      <c r="I1762" s="27" t="s">
        <v>49</v>
      </c>
      <c r="J1762" s="27" t="s">
        <v>72</v>
      </c>
      <c r="K1762" s="27" t="s">
        <v>73</v>
      </c>
      <c r="L1762" s="31" t="s">
        <v>220</v>
      </c>
      <c r="M1762" s="32">
        <v>0.35</v>
      </c>
      <c r="N1762" s="27" t="s">
        <v>33</v>
      </c>
      <c r="O1762" s="27" t="s">
        <v>53</v>
      </c>
      <c r="P1762" s="27" t="s">
        <v>133</v>
      </c>
      <c r="Q1762" s="27" t="s">
        <v>2838</v>
      </c>
      <c r="R1762" s="33">
        <v>68801</v>
      </c>
      <c r="S1762" s="34">
        <v>42167</v>
      </c>
      <c r="T1762" s="34">
        <v>42169</v>
      </c>
      <c r="U1762" s="29">
        <v>-27.283750000000001</v>
      </c>
      <c r="V1762" s="26">
        <v>15</v>
      </c>
      <c r="W1762" s="29">
        <v>126.9</v>
      </c>
      <c r="X1762" s="26">
        <v>90339</v>
      </c>
      <c r="Y1762" s="35">
        <v>105.25</v>
      </c>
      <c r="Z1762" s="1" t="s">
        <v>3012</v>
      </c>
      <c r="AA1762" s="36">
        <v>13.320000000000002</v>
      </c>
      <c r="AB1762" s="54">
        <v>82.484999999999999</v>
      </c>
      <c r="AC1762" s="54">
        <v>2.9610000000000003</v>
      </c>
      <c r="AD1762" s="36">
        <v>134.58375000000001</v>
      </c>
    </row>
    <row r="1763" spans="1:30" s="37" customFormat="1" ht="15.75" customHeight="1" x14ac:dyDescent="0.2">
      <c r="A1763" s="26">
        <v>550</v>
      </c>
      <c r="B1763" s="27" t="s">
        <v>872</v>
      </c>
      <c r="C1763" s="27" t="s">
        <v>116</v>
      </c>
      <c r="D1763" s="28">
        <v>0.08</v>
      </c>
      <c r="E1763" s="29">
        <v>115.99</v>
      </c>
      <c r="F1763" s="29">
        <v>5.99</v>
      </c>
      <c r="G1763" s="30" t="s">
        <v>87</v>
      </c>
      <c r="H1763" s="27" t="s">
        <v>94</v>
      </c>
      <c r="I1763" s="27" t="s">
        <v>41</v>
      </c>
      <c r="J1763" s="27" t="s">
        <v>135</v>
      </c>
      <c r="K1763" s="27" t="s">
        <v>73</v>
      </c>
      <c r="L1763" s="31" t="s">
        <v>2849</v>
      </c>
      <c r="M1763" s="32">
        <v>0.56999999999999995</v>
      </c>
      <c r="N1763" s="27" t="s">
        <v>33</v>
      </c>
      <c r="O1763" s="27" t="s">
        <v>53</v>
      </c>
      <c r="P1763" s="27" t="s">
        <v>187</v>
      </c>
      <c r="Q1763" s="27" t="s">
        <v>873</v>
      </c>
      <c r="R1763" s="33">
        <v>78155</v>
      </c>
      <c r="S1763" s="34">
        <v>42167</v>
      </c>
      <c r="T1763" s="34">
        <v>42168</v>
      </c>
      <c r="U1763" s="29">
        <v>-239.54150000000001</v>
      </c>
      <c r="V1763" s="26">
        <v>1</v>
      </c>
      <c r="W1763" s="29">
        <v>102.21</v>
      </c>
      <c r="X1763" s="26">
        <v>90910</v>
      </c>
      <c r="Y1763" s="35">
        <v>31.69</v>
      </c>
      <c r="Z1763" s="1" t="s">
        <v>3012</v>
      </c>
      <c r="AA1763" s="36">
        <v>9.2791999999999994</v>
      </c>
      <c r="AB1763" s="54">
        <v>43.950300000000006</v>
      </c>
      <c r="AC1763" s="54">
        <v>58.259699999999988</v>
      </c>
      <c r="AD1763" s="36">
        <v>326.48230000000001</v>
      </c>
    </row>
    <row r="1764" spans="1:30" s="37" customFormat="1" ht="15.75" customHeight="1" x14ac:dyDescent="0.2">
      <c r="A1764" s="26">
        <v>2257</v>
      </c>
      <c r="B1764" s="27" t="s">
        <v>2843</v>
      </c>
      <c r="C1764" s="27" t="s">
        <v>38</v>
      </c>
      <c r="D1764" s="28">
        <v>0.06</v>
      </c>
      <c r="E1764" s="29">
        <v>6.68</v>
      </c>
      <c r="F1764" s="29">
        <v>6.93</v>
      </c>
      <c r="G1764" s="30" t="s">
        <v>39</v>
      </c>
      <c r="H1764" s="27" t="s">
        <v>94</v>
      </c>
      <c r="I1764" s="27" t="s">
        <v>49</v>
      </c>
      <c r="J1764" s="27" t="s">
        <v>88</v>
      </c>
      <c r="K1764" s="27" t="s">
        <v>73</v>
      </c>
      <c r="L1764" s="31" t="s">
        <v>976</v>
      </c>
      <c r="M1764" s="32">
        <v>0.37</v>
      </c>
      <c r="N1764" s="27" t="s">
        <v>33</v>
      </c>
      <c r="O1764" s="27" t="s">
        <v>34</v>
      </c>
      <c r="P1764" s="27" t="s">
        <v>97</v>
      </c>
      <c r="Q1764" s="27" t="s">
        <v>2844</v>
      </c>
      <c r="R1764" s="33">
        <v>27604</v>
      </c>
      <c r="S1764" s="34">
        <v>42167</v>
      </c>
      <c r="T1764" s="34">
        <v>42168</v>
      </c>
      <c r="U1764" s="29">
        <v>7.6245000000000003</v>
      </c>
      <c r="V1764" s="26">
        <v>14</v>
      </c>
      <c r="W1764" s="29">
        <v>91.92</v>
      </c>
      <c r="X1764" s="26">
        <v>87965</v>
      </c>
      <c r="Y1764" s="35">
        <v>35.369999999999997</v>
      </c>
      <c r="Z1764" s="1" t="s">
        <v>3011</v>
      </c>
      <c r="AA1764" s="36">
        <v>5.6112000000000002</v>
      </c>
      <c r="AB1764" s="54">
        <v>57.909600000000005</v>
      </c>
      <c r="AC1764" s="54">
        <v>2.4293142857142858</v>
      </c>
      <c r="AD1764" s="36">
        <v>71.754300000000001</v>
      </c>
    </row>
    <row r="1765" spans="1:30" s="37" customFormat="1" ht="15.75" customHeight="1" x14ac:dyDescent="0.2">
      <c r="A1765" s="26">
        <v>2046</v>
      </c>
      <c r="B1765" s="27" t="s">
        <v>2832</v>
      </c>
      <c r="C1765" s="27" t="s">
        <v>26</v>
      </c>
      <c r="D1765" s="28">
        <v>0.04</v>
      </c>
      <c r="E1765" s="29">
        <v>4.28</v>
      </c>
      <c r="F1765" s="29">
        <v>5.68</v>
      </c>
      <c r="G1765" s="30" t="s">
        <v>39</v>
      </c>
      <c r="H1765" s="27" t="s">
        <v>94</v>
      </c>
      <c r="I1765" s="27" t="s">
        <v>49</v>
      </c>
      <c r="J1765" s="27" t="s">
        <v>88</v>
      </c>
      <c r="K1765" s="27" t="s">
        <v>73</v>
      </c>
      <c r="L1765" s="31" t="s">
        <v>2833</v>
      </c>
      <c r="M1765" s="32">
        <v>0.4</v>
      </c>
      <c r="N1765" s="27" t="s">
        <v>33</v>
      </c>
      <c r="O1765" s="27" t="s">
        <v>53</v>
      </c>
      <c r="P1765" s="27" t="s">
        <v>537</v>
      </c>
      <c r="Q1765" s="27" t="s">
        <v>2834</v>
      </c>
      <c r="R1765" s="33">
        <v>67901</v>
      </c>
      <c r="S1765" s="34">
        <v>42167</v>
      </c>
      <c r="T1765" s="34">
        <v>42169</v>
      </c>
      <c r="U1765" s="29">
        <v>-27.375</v>
      </c>
      <c r="V1765" s="26">
        <v>7</v>
      </c>
      <c r="W1765" s="29">
        <v>31.54</v>
      </c>
      <c r="X1765" s="26">
        <v>88219</v>
      </c>
      <c r="Y1765" s="35">
        <v>549.93000000000006</v>
      </c>
      <c r="Z1765" s="1" t="s">
        <v>3012</v>
      </c>
      <c r="AA1765" s="36">
        <v>1.1984000000000001</v>
      </c>
      <c r="AB1765" s="54">
        <v>18.923999999999999</v>
      </c>
      <c r="AC1765" s="54">
        <v>1.8022857142857143</v>
      </c>
      <c r="AD1765" s="36">
        <v>52.0366</v>
      </c>
    </row>
    <row r="1766" spans="1:30" s="37" customFormat="1" ht="15.75" customHeight="1" x14ac:dyDescent="0.2">
      <c r="A1766" s="26">
        <v>1016</v>
      </c>
      <c r="B1766" s="27" t="s">
        <v>2839</v>
      </c>
      <c r="C1766" s="27" t="s">
        <v>38</v>
      </c>
      <c r="D1766" s="28">
        <v>0.02</v>
      </c>
      <c r="E1766" s="29">
        <v>6.48</v>
      </c>
      <c r="F1766" s="29">
        <v>7.86</v>
      </c>
      <c r="G1766" s="30" t="s">
        <v>87</v>
      </c>
      <c r="H1766" s="27" t="s">
        <v>71</v>
      </c>
      <c r="I1766" s="27" t="s">
        <v>49</v>
      </c>
      <c r="J1766" s="27" t="s">
        <v>88</v>
      </c>
      <c r="K1766" s="27" t="s">
        <v>73</v>
      </c>
      <c r="L1766" s="31" t="s">
        <v>860</v>
      </c>
      <c r="M1766" s="32">
        <v>0.37</v>
      </c>
      <c r="N1766" s="27" t="s">
        <v>33</v>
      </c>
      <c r="O1766" s="27" t="s">
        <v>34</v>
      </c>
      <c r="P1766" s="27" t="s">
        <v>97</v>
      </c>
      <c r="Q1766" s="27" t="s">
        <v>2840</v>
      </c>
      <c r="R1766" s="33">
        <v>28806</v>
      </c>
      <c r="S1766" s="34">
        <v>42167</v>
      </c>
      <c r="T1766" s="34">
        <v>42168</v>
      </c>
      <c r="U1766" s="29">
        <v>111.22199999999999</v>
      </c>
      <c r="V1766" s="26">
        <v>1</v>
      </c>
      <c r="W1766" s="29">
        <v>11.41</v>
      </c>
      <c r="X1766" s="26">
        <v>88389</v>
      </c>
      <c r="Y1766" s="35">
        <v>115.91</v>
      </c>
      <c r="Z1766" s="1" t="s">
        <v>3011</v>
      </c>
      <c r="AA1766" s="36">
        <v>0.12960000000000002</v>
      </c>
      <c r="AB1766" s="54">
        <v>7.1882999999999999</v>
      </c>
      <c r="AC1766" s="54">
        <v>4.2217000000000002</v>
      </c>
      <c r="AD1766" s="36">
        <v>-107.80159999999999</v>
      </c>
    </row>
    <row r="1767" spans="1:30" s="37" customFormat="1" ht="15.75" customHeight="1" x14ac:dyDescent="0.2">
      <c r="A1767" s="26">
        <v>5</v>
      </c>
      <c r="B1767" s="27" t="s">
        <v>2858</v>
      </c>
      <c r="C1767" s="27" t="s">
        <v>3094</v>
      </c>
      <c r="D1767" s="28">
        <v>0.02</v>
      </c>
      <c r="E1767" s="29">
        <v>500.98</v>
      </c>
      <c r="F1767" s="29">
        <v>26</v>
      </c>
      <c r="G1767" s="30" t="s">
        <v>27</v>
      </c>
      <c r="H1767" s="27" t="s">
        <v>71</v>
      </c>
      <c r="I1767" s="27" t="s">
        <v>29</v>
      </c>
      <c r="J1767" s="27" t="s">
        <v>109</v>
      </c>
      <c r="K1767" s="27" t="s">
        <v>58</v>
      </c>
      <c r="L1767" s="31" t="s">
        <v>2296</v>
      </c>
      <c r="M1767" s="32">
        <v>0.6</v>
      </c>
      <c r="N1767" s="27" t="s">
        <v>33</v>
      </c>
      <c r="O1767" s="27" t="s">
        <v>60</v>
      </c>
      <c r="P1767" s="27" t="s">
        <v>90</v>
      </c>
      <c r="Q1767" s="27" t="s">
        <v>2216</v>
      </c>
      <c r="R1767" s="33">
        <v>91776</v>
      </c>
      <c r="S1767" s="34">
        <v>42168</v>
      </c>
      <c r="T1767" s="34">
        <v>42170</v>
      </c>
      <c r="U1767" s="29">
        <v>4390.3665000000001</v>
      </c>
      <c r="V1767" s="26">
        <v>12</v>
      </c>
      <c r="W1767" s="29">
        <v>6362.85</v>
      </c>
      <c r="X1767" s="26">
        <v>90193</v>
      </c>
      <c r="Y1767" s="35">
        <v>4.8500000000000005</v>
      </c>
      <c r="Z1767" s="1" t="s">
        <v>3013</v>
      </c>
      <c r="AA1767" s="36">
        <v>120.23520000000001</v>
      </c>
      <c r="AB1767" s="54">
        <v>2545.1400000000003</v>
      </c>
      <c r="AC1767" s="54">
        <v>318.14250000000004</v>
      </c>
      <c r="AD1767" s="36">
        <v>1826.2483000000002</v>
      </c>
    </row>
    <row r="1768" spans="1:30" s="37" customFormat="1" ht="15.75" customHeight="1" x14ac:dyDescent="0.2">
      <c r="A1768" s="26">
        <v>1129</v>
      </c>
      <c r="B1768" s="27" t="s">
        <v>786</v>
      </c>
      <c r="C1768" s="27" t="s">
        <v>48</v>
      </c>
      <c r="D1768" s="28">
        <v>0.03</v>
      </c>
      <c r="E1768" s="29">
        <v>30.98</v>
      </c>
      <c r="F1768" s="29">
        <v>6.5</v>
      </c>
      <c r="G1768" s="30" t="s">
        <v>39</v>
      </c>
      <c r="H1768" s="27" t="s">
        <v>94</v>
      </c>
      <c r="I1768" s="27" t="s">
        <v>41</v>
      </c>
      <c r="J1768" s="27" t="s">
        <v>42</v>
      </c>
      <c r="K1768" s="27" t="s">
        <v>73</v>
      </c>
      <c r="L1768" s="31" t="s">
        <v>2855</v>
      </c>
      <c r="M1768" s="32">
        <v>0.79</v>
      </c>
      <c r="N1768" s="27" t="s">
        <v>33</v>
      </c>
      <c r="O1768" s="27" t="s">
        <v>111</v>
      </c>
      <c r="P1768" s="27" t="s">
        <v>403</v>
      </c>
      <c r="Q1768" s="27" t="s">
        <v>788</v>
      </c>
      <c r="R1768" s="33">
        <v>2118</v>
      </c>
      <c r="S1768" s="34">
        <v>42168</v>
      </c>
      <c r="T1768" s="34">
        <v>42172</v>
      </c>
      <c r="U1768" s="29">
        <v>-144.19999999999999</v>
      </c>
      <c r="V1768" s="26">
        <v>44</v>
      </c>
      <c r="W1768" s="29">
        <v>1332.09</v>
      </c>
      <c r="X1768" s="26">
        <v>39430</v>
      </c>
      <c r="Y1768" s="35">
        <v>48.87</v>
      </c>
      <c r="Z1768" s="1" t="s">
        <v>3014</v>
      </c>
      <c r="AA1768" s="36">
        <v>40.893599999999999</v>
      </c>
      <c r="AB1768" s="54">
        <v>279.73889999999994</v>
      </c>
      <c r="AC1768" s="54">
        <v>23.917070454545456</v>
      </c>
      <c r="AD1768" s="36">
        <v>1428.8963999999999</v>
      </c>
    </row>
    <row r="1769" spans="1:30" s="37" customFormat="1" ht="15.75" customHeight="1" x14ac:dyDescent="0.2">
      <c r="A1769" s="26">
        <v>3230</v>
      </c>
      <c r="B1769" s="27" t="s">
        <v>700</v>
      </c>
      <c r="C1769" s="27" t="s">
        <v>26</v>
      </c>
      <c r="D1769" s="28">
        <v>7.0000000000000007E-2</v>
      </c>
      <c r="E1769" s="29">
        <v>48.94</v>
      </c>
      <c r="F1769" s="29">
        <v>5.86</v>
      </c>
      <c r="G1769" s="30" t="s">
        <v>87</v>
      </c>
      <c r="H1769" s="27" t="s">
        <v>3095</v>
      </c>
      <c r="I1769" s="27" t="s">
        <v>49</v>
      </c>
      <c r="J1769" s="27" t="s">
        <v>88</v>
      </c>
      <c r="K1769" s="27" t="s">
        <v>73</v>
      </c>
      <c r="L1769" s="31" t="s">
        <v>2850</v>
      </c>
      <c r="M1769" s="32">
        <v>0.35</v>
      </c>
      <c r="N1769" s="27" t="s">
        <v>33</v>
      </c>
      <c r="O1769" s="27" t="s">
        <v>53</v>
      </c>
      <c r="P1769" s="27" t="s">
        <v>357</v>
      </c>
      <c r="Q1769" s="27" t="s">
        <v>702</v>
      </c>
      <c r="R1769" s="33">
        <v>53186</v>
      </c>
      <c r="S1769" s="34">
        <v>42168</v>
      </c>
      <c r="T1769" s="34">
        <v>42169</v>
      </c>
      <c r="U1769" s="29">
        <v>690.7038</v>
      </c>
      <c r="V1769" s="26">
        <v>21</v>
      </c>
      <c r="W1769" s="29">
        <v>1001.02</v>
      </c>
      <c r="X1769" s="26">
        <v>87436</v>
      </c>
      <c r="Y1769" s="35">
        <v>17.07</v>
      </c>
      <c r="Z1769" s="1" t="s">
        <v>3012</v>
      </c>
      <c r="AA1769" s="36">
        <v>71.941800000000001</v>
      </c>
      <c r="AB1769" s="54">
        <v>650.66300000000001</v>
      </c>
      <c r="AC1769" s="54">
        <v>16.683666666666667</v>
      </c>
      <c r="AD1769" s="36">
        <v>232.51440000000002</v>
      </c>
    </row>
    <row r="1770" spans="1:30" s="37" customFormat="1" ht="15.75" customHeight="1" x14ac:dyDescent="0.2">
      <c r="A1770" s="26">
        <v>2771</v>
      </c>
      <c r="B1770" s="27" t="s">
        <v>2852</v>
      </c>
      <c r="C1770" s="27" t="s">
        <v>38</v>
      </c>
      <c r="D1770" s="28">
        <v>7.0000000000000007E-2</v>
      </c>
      <c r="E1770" s="29">
        <v>177.98</v>
      </c>
      <c r="F1770" s="29">
        <v>0.99</v>
      </c>
      <c r="G1770" s="30" t="s">
        <v>39</v>
      </c>
      <c r="H1770" s="27" t="s">
        <v>94</v>
      </c>
      <c r="I1770" s="27" t="s">
        <v>49</v>
      </c>
      <c r="J1770" s="27" t="s">
        <v>95</v>
      </c>
      <c r="K1770" s="27" t="s">
        <v>73</v>
      </c>
      <c r="L1770" s="31" t="s">
        <v>2853</v>
      </c>
      <c r="M1770" s="32">
        <v>0.56000000000000005</v>
      </c>
      <c r="N1770" s="27" t="s">
        <v>33</v>
      </c>
      <c r="O1770" s="27" t="s">
        <v>34</v>
      </c>
      <c r="P1770" s="27" t="s">
        <v>75</v>
      </c>
      <c r="Q1770" s="27" t="s">
        <v>2854</v>
      </c>
      <c r="R1770" s="33">
        <v>30344</v>
      </c>
      <c r="S1770" s="34">
        <v>42168</v>
      </c>
      <c r="T1770" s="34">
        <v>42168</v>
      </c>
      <c r="U1770" s="29">
        <v>-191.548</v>
      </c>
      <c r="V1770" s="26">
        <v>3</v>
      </c>
      <c r="W1770" s="29">
        <v>536.29</v>
      </c>
      <c r="X1770" s="26">
        <v>88974</v>
      </c>
      <c r="Y1770" s="35">
        <v>177.91</v>
      </c>
      <c r="Z1770" s="1" t="s">
        <v>3011</v>
      </c>
      <c r="AA1770" s="36">
        <v>37.375799999999998</v>
      </c>
      <c r="AB1770" s="54">
        <v>235.96759999999995</v>
      </c>
      <c r="AC1770" s="54">
        <v>100.10746666666667</v>
      </c>
      <c r="AD1770" s="36">
        <v>689.47219999999993</v>
      </c>
    </row>
    <row r="1771" spans="1:30" s="37" customFormat="1" ht="15.75" customHeight="1" x14ac:dyDescent="0.2">
      <c r="A1771" s="26">
        <v>1505</v>
      </c>
      <c r="B1771" s="27" t="s">
        <v>2856</v>
      </c>
      <c r="C1771" s="27" t="s">
        <v>48</v>
      </c>
      <c r="D1771" s="28">
        <v>0</v>
      </c>
      <c r="E1771" s="29">
        <v>85.99</v>
      </c>
      <c r="F1771" s="29">
        <v>0.99</v>
      </c>
      <c r="G1771" s="30" t="s">
        <v>39</v>
      </c>
      <c r="H1771" s="27" t="s">
        <v>3095</v>
      </c>
      <c r="I1771" s="27" t="s">
        <v>41</v>
      </c>
      <c r="J1771" s="27" t="s">
        <v>135</v>
      </c>
      <c r="K1771" s="27" t="s">
        <v>51</v>
      </c>
      <c r="L1771" s="31" t="s">
        <v>1596</v>
      </c>
      <c r="M1771" s="32">
        <v>0.85</v>
      </c>
      <c r="N1771" s="27" t="s">
        <v>33</v>
      </c>
      <c r="O1771" s="27" t="s">
        <v>53</v>
      </c>
      <c r="P1771" s="27" t="s">
        <v>187</v>
      </c>
      <c r="Q1771" s="27" t="s">
        <v>2857</v>
      </c>
      <c r="R1771" s="33">
        <v>77840</v>
      </c>
      <c r="S1771" s="34">
        <v>42168</v>
      </c>
      <c r="T1771" s="34">
        <v>42173</v>
      </c>
      <c r="U1771" s="29">
        <v>-138.0368</v>
      </c>
      <c r="V1771" s="26">
        <v>6</v>
      </c>
      <c r="W1771" s="29">
        <v>464.86</v>
      </c>
      <c r="X1771" s="26">
        <v>86181</v>
      </c>
      <c r="Y1771" s="35">
        <v>30.95</v>
      </c>
      <c r="Z1771" s="1" t="s">
        <v>3012</v>
      </c>
      <c r="AA1771" s="36">
        <v>0</v>
      </c>
      <c r="AB1771" s="54">
        <v>69.729000000000013</v>
      </c>
      <c r="AC1771" s="54">
        <v>65.855166666666676</v>
      </c>
      <c r="AD1771" s="36">
        <v>601.90679999999998</v>
      </c>
    </row>
    <row r="1772" spans="1:30" s="37" customFormat="1" ht="15.75" customHeight="1" x14ac:dyDescent="0.2">
      <c r="A1772" s="26">
        <v>1132</v>
      </c>
      <c r="B1772" s="27" t="s">
        <v>1093</v>
      </c>
      <c r="C1772" s="27" t="s">
        <v>48</v>
      </c>
      <c r="D1772" s="28">
        <v>0.03</v>
      </c>
      <c r="E1772" s="29">
        <v>30.98</v>
      </c>
      <c r="F1772" s="29">
        <v>6.5</v>
      </c>
      <c r="G1772" s="30" t="s">
        <v>39</v>
      </c>
      <c r="H1772" s="27" t="s">
        <v>94</v>
      </c>
      <c r="I1772" s="27" t="s">
        <v>41</v>
      </c>
      <c r="J1772" s="27" t="s">
        <v>42</v>
      </c>
      <c r="K1772" s="27" t="s">
        <v>73</v>
      </c>
      <c r="L1772" s="31" t="s">
        <v>2855</v>
      </c>
      <c r="M1772" s="32">
        <v>0.79</v>
      </c>
      <c r="N1772" s="27" t="s">
        <v>33</v>
      </c>
      <c r="O1772" s="27" t="s">
        <v>53</v>
      </c>
      <c r="P1772" s="27" t="s">
        <v>187</v>
      </c>
      <c r="Q1772" s="27" t="s">
        <v>1094</v>
      </c>
      <c r="R1772" s="33">
        <v>76039</v>
      </c>
      <c r="S1772" s="34">
        <v>42168</v>
      </c>
      <c r="T1772" s="34">
        <v>42172</v>
      </c>
      <c r="U1772" s="29">
        <v>-115.36</v>
      </c>
      <c r="V1772" s="26">
        <v>11</v>
      </c>
      <c r="W1772" s="29">
        <v>333.02</v>
      </c>
      <c r="X1772" s="26">
        <v>88104</v>
      </c>
      <c r="Y1772" s="35">
        <v>30.95</v>
      </c>
      <c r="Z1772" s="1" t="s">
        <v>3012</v>
      </c>
      <c r="AA1772" s="36">
        <v>10.2234</v>
      </c>
      <c r="AB1772" s="54">
        <v>69.93419999999999</v>
      </c>
      <c r="AC1772" s="54">
        <v>23.91689090909091</v>
      </c>
      <c r="AD1772" s="36">
        <v>431.65659999999997</v>
      </c>
    </row>
    <row r="1773" spans="1:30" s="37" customFormat="1" ht="15.75" customHeight="1" x14ac:dyDescent="0.2">
      <c r="A1773" s="26">
        <v>2143</v>
      </c>
      <c r="B1773" s="27" t="s">
        <v>2851</v>
      </c>
      <c r="C1773" s="27" t="s">
        <v>38</v>
      </c>
      <c r="D1773" s="28">
        <v>0.08</v>
      </c>
      <c r="E1773" s="29">
        <v>17.149999999999999</v>
      </c>
      <c r="F1773" s="29">
        <v>4.96</v>
      </c>
      <c r="G1773" s="30" t="s">
        <v>39</v>
      </c>
      <c r="H1773" s="27" t="s">
        <v>71</v>
      </c>
      <c r="I1773" s="27" t="s">
        <v>49</v>
      </c>
      <c r="J1773" s="27" t="s">
        <v>78</v>
      </c>
      <c r="K1773" s="27" t="s">
        <v>73</v>
      </c>
      <c r="L1773" s="31" t="s">
        <v>650</v>
      </c>
      <c r="M1773" s="32">
        <v>0.57999999999999996</v>
      </c>
      <c r="N1773" s="27" t="s">
        <v>33</v>
      </c>
      <c r="O1773" s="27" t="s">
        <v>34</v>
      </c>
      <c r="P1773" s="27" t="s">
        <v>242</v>
      </c>
      <c r="Q1773" s="27" t="s">
        <v>261</v>
      </c>
      <c r="R1773" s="33">
        <v>20151</v>
      </c>
      <c r="S1773" s="34">
        <v>42168</v>
      </c>
      <c r="T1773" s="34">
        <v>42171</v>
      </c>
      <c r="U1773" s="29">
        <v>33.659999999999997</v>
      </c>
      <c r="V1773" s="26">
        <v>12</v>
      </c>
      <c r="W1773" s="29">
        <v>200.61</v>
      </c>
      <c r="X1773" s="26">
        <v>87569</v>
      </c>
      <c r="Y1773" s="35">
        <v>85.99</v>
      </c>
      <c r="Z1773" s="1" t="s">
        <v>3011</v>
      </c>
      <c r="AA1773" s="36">
        <v>16.463999999999999</v>
      </c>
      <c r="AB1773" s="54">
        <v>84.256200000000007</v>
      </c>
      <c r="AC1773" s="54">
        <v>9.6961499999999994</v>
      </c>
      <c r="AD1773" s="36">
        <v>145.52600000000001</v>
      </c>
    </row>
    <row r="1774" spans="1:30" s="37" customFormat="1" ht="15.75" customHeight="1" x14ac:dyDescent="0.2">
      <c r="A1774" s="26">
        <v>3230</v>
      </c>
      <c r="B1774" s="27" t="s">
        <v>700</v>
      </c>
      <c r="C1774" s="27" t="s">
        <v>26</v>
      </c>
      <c r="D1774" s="28">
        <v>0.06</v>
      </c>
      <c r="E1774" s="29">
        <v>4.91</v>
      </c>
      <c r="F1774" s="29">
        <v>5.68</v>
      </c>
      <c r="G1774" s="30" t="s">
        <v>87</v>
      </c>
      <c r="H1774" s="27" t="s">
        <v>3095</v>
      </c>
      <c r="I1774" s="27" t="s">
        <v>49</v>
      </c>
      <c r="J1774" s="27" t="s">
        <v>72</v>
      </c>
      <c r="K1774" s="27" t="s">
        <v>73</v>
      </c>
      <c r="L1774" s="31" t="s">
        <v>1933</v>
      </c>
      <c r="M1774" s="32">
        <v>0.36</v>
      </c>
      <c r="N1774" s="27" t="s">
        <v>33</v>
      </c>
      <c r="O1774" s="27" t="s">
        <v>53</v>
      </c>
      <c r="P1774" s="27" t="s">
        <v>357</v>
      </c>
      <c r="Q1774" s="27" t="s">
        <v>702</v>
      </c>
      <c r="R1774" s="33">
        <v>53186</v>
      </c>
      <c r="S1774" s="34">
        <v>42168</v>
      </c>
      <c r="T1774" s="34">
        <v>42168</v>
      </c>
      <c r="U1774" s="29">
        <v>-31.68825</v>
      </c>
      <c r="V1774" s="26">
        <v>10</v>
      </c>
      <c r="W1774" s="29">
        <v>53.89</v>
      </c>
      <c r="X1774" s="26">
        <v>87436</v>
      </c>
      <c r="Y1774" s="35">
        <v>500.96000000000004</v>
      </c>
      <c r="Z1774" s="1" t="s">
        <v>3012</v>
      </c>
      <c r="AA1774" s="36">
        <v>2.9459999999999997</v>
      </c>
      <c r="AB1774" s="54">
        <v>34.489600000000003</v>
      </c>
      <c r="AC1774" s="54">
        <v>1.94004</v>
      </c>
      <c r="AD1774" s="36">
        <v>76.952249999999992</v>
      </c>
    </row>
    <row r="1775" spans="1:30" s="37" customFormat="1" ht="15.75" customHeight="1" x14ac:dyDescent="0.2">
      <c r="A1775" s="26">
        <v>1044</v>
      </c>
      <c r="B1775" s="27" t="s">
        <v>1400</v>
      </c>
      <c r="C1775" s="27" t="s">
        <v>26</v>
      </c>
      <c r="D1775" s="28">
        <v>0.02</v>
      </c>
      <c r="E1775" s="29">
        <v>209.84</v>
      </c>
      <c r="F1775" s="29">
        <v>21.21</v>
      </c>
      <c r="G1775" s="30" t="s">
        <v>39</v>
      </c>
      <c r="H1775" s="27" t="s">
        <v>71</v>
      </c>
      <c r="I1775" s="27" t="s">
        <v>29</v>
      </c>
      <c r="J1775" s="27" t="s">
        <v>126</v>
      </c>
      <c r="K1775" s="27" t="s">
        <v>65</v>
      </c>
      <c r="L1775" s="31" t="s">
        <v>209</v>
      </c>
      <c r="M1775" s="32">
        <v>0.59</v>
      </c>
      <c r="N1775" s="27" t="s">
        <v>33</v>
      </c>
      <c r="O1775" s="27" t="s">
        <v>60</v>
      </c>
      <c r="P1775" s="27" t="s">
        <v>90</v>
      </c>
      <c r="Q1775" s="27" t="s">
        <v>100</v>
      </c>
      <c r="R1775" s="33">
        <v>90004</v>
      </c>
      <c r="S1775" s="34">
        <v>42169</v>
      </c>
      <c r="T1775" s="34">
        <v>42169</v>
      </c>
      <c r="U1775" s="29">
        <v>2593.14</v>
      </c>
      <c r="V1775" s="26">
        <v>62</v>
      </c>
      <c r="W1775" s="29">
        <v>13546.94</v>
      </c>
      <c r="X1775" s="26">
        <v>28001</v>
      </c>
      <c r="Y1775" s="35">
        <v>209.82</v>
      </c>
      <c r="Z1775" s="1" t="s">
        <v>3013</v>
      </c>
      <c r="AA1775" s="36">
        <v>260.20160000000004</v>
      </c>
      <c r="AB1775" s="54">
        <v>5554.2454000000007</v>
      </c>
      <c r="AC1775" s="54">
        <v>128.91442903225806</v>
      </c>
      <c r="AD1775" s="36">
        <v>10672.3884</v>
      </c>
    </row>
    <row r="1776" spans="1:30" s="37" customFormat="1" ht="15.75" customHeight="1" x14ac:dyDescent="0.2">
      <c r="A1776" s="26">
        <v>1044</v>
      </c>
      <c r="B1776" s="27" t="s">
        <v>1400</v>
      </c>
      <c r="C1776" s="27" t="s">
        <v>26</v>
      </c>
      <c r="D1776" s="28">
        <v>0.01</v>
      </c>
      <c r="E1776" s="29">
        <v>194.3</v>
      </c>
      <c r="F1776" s="29">
        <v>11.54</v>
      </c>
      <c r="G1776" s="30" t="s">
        <v>39</v>
      </c>
      <c r="H1776" s="27" t="s">
        <v>71</v>
      </c>
      <c r="I1776" s="27" t="s">
        <v>29</v>
      </c>
      <c r="J1776" s="27" t="s">
        <v>126</v>
      </c>
      <c r="K1776" s="27" t="s">
        <v>65</v>
      </c>
      <c r="L1776" s="31" t="s">
        <v>206</v>
      </c>
      <c r="M1776" s="32">
        <v>0.59</v>
      </c>
      <c r="N1776" s="27" t="s">
        <v>33</v>
      </c>
      <c r="O1776" s="27" t="s">
        <v>60</v>
      </c>
      <c r="P1776" s="27" t="s">
        <v>90</v>
      </c>
      <c r="Q1776" s="27" t="s">
        <v>100</v>
      </c>
      <c r="R1776" s="33">
        <v>90004</v>
      </c>
      <c r="S1776" s="34">
        <v>42169</v>
      </c>
      <c r="T1776" s="34">
        <v>42171</v>
      </c>
      <c r="U1776" s="29">
        <v>1162.76</v>
      </c>
      <c r="V1776" s="26">
        <v>32</v>
      </c>
      <c r="W1776" s="29">
        <v>6401.65</v>
      </c>
      <c r="X1776" s="26">
        <v>28001</v>
      </c>
      <c r="Y1776" s="35">
        <v>194.29000000000002</v>
      </c>
      <c r="Z1776" s="1" t="s">
        <v>3013</v>
      </c>
      <c r="AA1776" s="36">
        <v>62.176000000000002</v>
      </c>
      <c r="AB1776" s="54">
        <v>2624.6765</v>
      </c>
      <c r="AC1776" s="54">
        <v>118.03042187499999</v>
      </c>
      <c r="AD1776" s="36">
        <v>5165.174</v>
      </c>
    </row>
    <row r="1777" spans="1:30" s="37" customFormat="1" ht="15.75" customHeight="1" x14ac:dyDescent="0.2">
      <c r="A1777" s="26">
        <v>3120</v>
      </c>
      <c r="B1777" s="27" t="s">
        <v>2870</v>
      </c>
      <c r="C1777" s="27" t="s">
        <v>3094</v>
      </c>
      <c r="D1777" s="28">
        <v>0.08</v>
      </c>
      <c r="E1777" s="29">
        <v>315.98</v>
      </c>
      <c r="F1777" s="29">
        <v>19.989999999999998</v>
      </c>
      <c r="G1777" s="30" t="s">
        <v>39</v>
      </c>
      <c r="H1777" s="27" t="s">
        <v>71</v>
      </c>
      <c r="I1777" s="27" t="s">
        <v>49</v>
      </c>
      <c r="J1777" s="27" t="s">
        <v>72</v>
      </c>
      <c r="K1777" s="27" t="s">
        <v>73</v>
      </c>
      <c r="L1777" s="31" t="s">
        <v>2227</v>
      </c>
      <c r="M1777" s="32">
        <v>0.38</v>
      </c>
      <c r="N1777" s="27" t="s">
        <v>33</v>
      </c>
      <c r="O1777" s="27" t="s">
        <v>34</v>
      </c>
      <c r="P1777" s="27" t="s">
        <v>168</v>
      </c>
      <c r="Q1777" s="27" t="s">
        <v>2871</v>
      </c>
      <c r="R1777" s="33">
        <v>70117</v>
      </c>
      <c r="S1777" s="34">
        <v>42169</v>
      </c>
      <c r="T1777" s="34">
        <v>42169</v>
      </c>
      <c r="U1777" s="29">
        <v>44.52</v>
      </c>
      <c r="V1777" s="26">
        <v>9</v>
      </c>
      <c r="W1777" s="29">
        <v>2642.48</v>
      </c>
      <c r="X1777" s="26">
        <v>90160</v>
      </c>
      <c r="Y1777" s="35">
        <v>55.419999999999995</v>
      </c>
      <c r="Z1777" s="1" t="s">
        <v>3011</v>
      </c>
      <c r="AA1777" s="36">
        <v>227.50560000000002</v>
      </c>
      <c r="AB1777" s="54">
        <v>1638.3376000000001</v>
      </c>
      <c r="AC1777" s="54">
        <v>111.57137777777778</v>
      </c>
      <c r="AD1777" s="36">
        <v>2350.4643999999998</v>
      </c>
    </row>
    <row r="1778" spans="1:30" s="37" customFormat="1" ht="15.75" customHeight="1" x14ac:dyDescent="0.2">
      <c r="A1778" s="26">
        <v>1522</v>
      </c>
      <c r="B1778" s="27" t="s">
        <v>2861</v>
      </c>
      <c r="C1778" s="27" t="s">
        <v>26</v>
      </c>
      <c r="D1778" s="28">
        <v>0.1</v>
      </c>
      <c r="E1778" s="29">
        <v>122.99</v>
      </c>
      <c r="F1778" s="29">
        <v>70.2</v>
      </c>
      <c r="G1778" s="30" t="s">
        <v>27</v>
      </c>
      <c r="H1778" s="27" t="s">
        <v>40</v>
      </c>
      <c r="I1778" s="27" t="s">
        <v>29</v>
      </c>
      <c r="J1778" s="27" t="s">
        <v>109</v>
      </c>
      <c r="K1778" s="27" t="s">
        <v>58</v>
      </c>
      <c r="L1778" s="31" t="s">
        <v>804</v>
      </c>
      <c r="M1778" s="32">
        <v>0.74</v>
      </c>
      <c r="N1778" s="27" t="s">
        <v>33</v>
      </c>
      <c r="O1778" s="27" t="s">
        <v>53</v>
      </c>
      <c r="P1778" s="27" t="s">
        <v>84</v>
      </c>
      <c r="Q1778" s="27" t="s">
        <v>2862</v>
      </c>
      <c r="R1778" s="33">
        <v>55305</v>
      </c>
      <c r="S1778" s="34">
        <v>42169</v>
      </c>
      <c r="T1778" s="34">
        <v>42170</v>
      </c>
      <c r="U1778" s="29">
        <v>-899.67499999999995</v>
      </c>
      <c r="V1778" s="26">
        <v>17</v>
      </c>
      <c r="W1778" s="29">
        <v>2026.91</v>
      </c>
      <c r="X1778" s="26">
        <v>89957</v>
      </c>
      <c r="Y1778" s="35">
        <v>122.89</v>
      </c>
      <c r="Z1778" s="1" t="s">
        <v>3012</v>
      </c>
      <c r="AA1778" s="36">
        <v>209.083</v>
      </c>
      <c r="AB1778" s="54">
        <v>526.99660000000006</v>
      </c>
      <c r="AC1778" s="54">
        <v>88.230199999999996</v>
      </c>
      <c r="AD1778" s="36">
        <v>2647.3020000000001</v>
      </c>
    </row>
    <row r="1779" spans="1:30" s="37" customFormat="1" ht="15.75" customHeight="1" x14ac:dyDescent="0.2">
      <c r="A1779" s="26">
        <v>1519</v>
      </c>
      <c r="B1779" s="27" t="s">
        <v>2859</v>
      </c>
      <c r="C1779" s="27" t="s">
        <v>26</v>
      </c>
      <c r="D1779" s="28">
        <v>0.06</v>
      </c>
      <c r="E1779" s="29">
        <v>55.48</v>
      </c>
      <c r="F1779" s="29">
        <v>4.8499999999999996</v>
      </c>
      <c r="G1779" s="30" t="s">
        <v>39</v>
      </c>
      <c r="H1779" s="27" t="s">
        <v>40</v>
      </c>
      <c r="I1779" s="27" t="s">
        <v>49</v>
      </c>
      <c r="J1779" s="27" t="s">
        <v>88</v>
      </c>
      <c r="K1779" s="27" t="s">
        <v>73</v>
      </c>
      <c r="L1779" s="31" t="s">
        <v>2860</v>
      </c>
      <c r="M1779" s="32">
        <v>0.37</v>
      </c>
      <c r="N1779" s="27" t="s">
        <v>33</v>
      </c>
      <c r="O1779" s="27" t="s">
        <v>111</v>
      </c>
      <c r="P1779" s="27" t="s">
        <v>331</v>
      </c>
      <c r="Q1779" s="27" t="s">
        <v>1204</v>
      </c>
      <c r="R1779" s="33">
        <v>4210</v>
      </c>
      <c r="S1779" s="34">
        <v>42169</v>
      </c>
      <c r="T1779" s="34">
        <v>42169</v>
      </c>
      <c r="U1779" s="29">
        <v>711.05190000000005</v>
      </c>
      <c r="V1779" s="26">
        <v>19</v>
      </c>
      <c r="W1779" s="29">
        <v>1030.51</v>
      </c>
      <c r="X1779" s="26">
        <v>89957</v>
      </c>
      <c r="Y1779" s="35">
        <v>2.58</v>
      </c>
      <c r="Z1779" s="1" t="s">
        <v>3014</v>
      </c>
      <c r="AA1779" s="36">
        <v>63.247199999999992</v>
      </c>
      <c r="AB1779" s="54">
        <v>649.22130000000004</v>
      </c>
      <c r="AC1779" s="54">
        <v>20.067826315789471</v>
      </c>
      <c r="AD1779" s="36">
        <v>251.3608999999999</v>
      </c>
    </row>
    <row r="1780" spans="1:30" s="37" customFormat="1" ht="15.75" customHeight="1" x14ac:dyDescent="0.2">
      <c r="A1780" s="26">
        <v>1738</v>
      </c>
      <c r="B1780" s="27" t="s">
        <v>1901</v>
      </c>
      <c r="C1780" s="27" t="s">
        <v>48</v>
      </c>
      <c r="D1780" s="28">
        <v>0.04</v>
      </c>
      <c r="E1780" s="29">
        <v>35.44</v>
      </c>
      <c r="F1780" s="29">
        <v>19.989999999999998</v>
      </c>
      <c r="G1780" s="30" t="s">
        <v>39</v>
      </c>
      <c r="H1780" s="27" t="s">
        <v>94</v>
      </c>
      <c r="I1780" s="27" t="s">
        <v>49</v>
      </c>
      <c r="J1780" s="27" t="s">
        <v>88</v>
      </c>
      <c r="K1780" s="27" t="s">
        <v>73</v>
      </c>
      <c r="L1780" s="31" t="s">
        <v>2257</v>
      </c>
      <c r="M1780" s="32">
        <v>0.38</v>
      </c>
      <c r="N1780" s="27" t="s">
        <v>33</v>
      </c>
      <c r="O1780" s="27" t="s">
        <v>34</v>
      </c>
      <c r="P1780" s="27" t="s">
        <v>97</v>
      </c>
      <c r="Q1780" s="27" t="s">
        <v>1902</v>
      </c>
      <c r="R1780" s="33">
        <v>28052</v>
      </c>
      <c r="S1780" s="34">
        <v>42169</v>
      </c>
      <c r="T1780" s="34">
        <v>42176</v>
      </c>
      <c r="U1780" s="29">
        <v>-108.27249999999999</v>
      </c>
      <c r="V1780" s="26">
        <v>11</v>
      </c>
      <c r="W1780" s="29">
        <v>406.26</v>
      </c>
      <c r="X1780" s="26">
        <v>85868</v>
      </c>
      <c r="Y1780" s="35">
        <v>11.65</v>
      </c>
      <c r="Z1780" s="1" t="s">
        <v>3011</v>
      </c>
      <c r="AA1780" s="36">
        <v>15.5936</v>
      </c>
      <c r="AB1780" s="54">
        <v>251.88119999999998</v>
      </c>
      <c r="AC1780" s="54">
        <v>14.034436363636363</v>
      </c>
      <c r="AD1780" s="36">
        <v>478.94889999999998</v>
      </c>
    </row>
    <row r="1781" spans="1:30" s="37" customFormat="1" ht="15.75" customHeight="1" x14ac:dyDescent="0.2">
      <c r="A1781" s="26">
        <v>1775</v>
      </c>
      <c r="B1781" s="27" t="s">
        <v>2866</v>
      </c>
      <c r="C1781" s="27" t="s">
        <v>48</v>
      </c>
      <c r="D1781" s="28">
        <v>0.09</v>
      </c>
      <c r="E1781" s="29">
        <v>12.95</v>
      </c>
      <c r="F1781" s="29">
        <v>4.9800000000000004</v>
      </c>
      <c r="G1781" s="30" t="s">
        <v>39</v>
      </c>
      <c r="H1781" s="27" t="s">
        <v>40</v>
      </c>
      <c r="I1781" s="27" t="s">
        <v>49</v>
      </c>
      <c r="J1781" s="27" t="s">
        <v>72</v>
      </c>
      <c r="K1781" s="27" t="s">
        <v>73</v>
      </c>
      <c r="L1781" s="31" t="s">
        <v>2739</v>
      </c>
      <c r="M1781" s="32">
        <v>0.4</v>
      </c>
      <c r="N1781" s="27" t="s">
        <v>33</v>
      </c>
      <c r="O1781" s="27" t="s">
        <v>53</v>
      </c>
      <c r="P1781" s="27" t="s">
        <v>54</v>
      </c>
      <c r="Q1781" s="27" t="s">
        <v>2867</v>
      </c>
      <c r="R1781" s="33">
        <v>46614</v>
      </c>
      <c r="S1781" s="34">
        <v>42169</v>
      </c>
      <c r="T1781" s="34">
        <v>42176</v>
      </c>
      <c r="U1781" s="29">
        <v>123.89175</v>
      </c>
      <c r="V1781" s="26">
        <v>21</v>
      </c>
      <c r="W1781" s="29">
        <v>269.54000000000002</v>
      </c>
      <c r="X1781" s="26">
        <v>89944</v>
      </c>
      <c r="Y1781" s="35">
        <v>107.44</v>
      </c>
      <c r="Z1781" s="1" t="s">
        <v>3012</v>
      </c>
      <c r="AA1781" s="36">
        <v>24.4755</v>
      </c>
      <c r="AB1781" s="54">
        <v>161.72400000000002</v>
      </c>
      <c r="AC1781" s="54">
        <v>5.1340952380952389</v>
      </c>
      <c r="AD1781" s="36">
        <v>116.19275000000002</v>
      </c>
    </row>
    <row r="1782" spans="1:30" s="37" customFormat="1" ht="15.75" customHeight="1" x14ac:dyDescent="0.2">
      <c r="A1782" s="26">
        <v>3339</v>
      </c>
      <c r="B1782" s="27" t="s">
        <v>2863</v>
      </c>
      <c r="C1782" s="27" t="s">
        <v>38</v>
      </c>
      <c r="D1782" s="28">
        <v>0.01</v>
      </c>
      <c r="E1782" s="29">
        <v>11.66</v>
      </c>
      <c r="F1782" s="29">
        <v>7.95</v>
      </c>
      <c r="G1782" s="30" t="s">
        <v>39</v>
      </c>
      <c r="H1782" s="27" t="s">
        <v>40</v>
      </c>
      <c r="I1782" s="27" t="s">
        <v>49</v>
      </c>
      <c r="J1782" s="27" t="s">
        <v>50</v>
      </c>
      <c r="K1782" s="27" t="s">
        <v>43</v>
      </c>
      <c r="L1782" s="31" t="s">
        <v>2138</v>
      </c>
      <c r="M1782" s="32">
        <v>0.57999999999999996</v>
      </c>
      <c r="N1782" s="27" t="s">
        <v>33</v>
      </c>
      <c r="O1782" s="27" t="s">
        <v>34</v>
      </c>
      <c r="P1782" s="27" t="s">
        <v>123</v>
      </c>
      <c r="Q1782" s="27" t="s">
        <v>2864</v>
      </c>
      <c r="R1782" s="33">
        <v>32780</v>
      </c>
      <c r="S1782" s="34">
        <v>42169</v>
      </c>
      <c r="T1782" s="34">
        <v>42170</v>
      </c>
      <c r="U1782" s="29">
        <v>-10.368399999999999</v>
      </c>
      <c r="V1782" s="26">
        <v>16</v>
      </c>
      <c r="W1782" s="29">
        <v>193.87</v>
      </c>
      <c r="X1782" s="26">
        <v>85981</v>
      </c>
      <c r="Y1782" s="35">
        <v>35.4</v>
      </c>
      <c r="Z1782" s="1" t="s">
        <v>3011</v>
      </c>
      <c r="AA1782" s="36">
        <v>1.8656000000000001</v>
      </c>
      <c r="AB1782" s="54">
        <v>81.42540000000001</v>
      </c>
      <c r="AC1782" s="54">
        <v>7.0277874999999996</v>
      </c>
      <c r="AD1782" s="36">
        <v>194.4228</v>
      </c>
    </row>
    <row r="1783" spans="1:30" s="37" customFormat="1" ht="15.75" customHeight="1" x14ac:dyDescent="0.2">
      <c r="A1783" s="26">
        <v>1644</v>
      </c>
      <c r="B1783" s="27" t="s">
        <v>2865</v>
      </c>
      <c r="C1783" s="27" t="s">
        <v>48</v>
      </c>
      <c r="D1783" s="28">
        <v>0.09</v>
      </c>
      <c r="E1783" s="29">
        <v>107.53</v>
      </c>
      <c r="F1783" s="29">
        <v>5.81</v>
      </c>
      <c r="G1783" s="30" t="s">
        <v>39</v>
      </c>
      <c r="H1783" s="27" t="s">
        <v>3095</v>
      </c>
      <c r="I1783" s="27" t="s">
        <v>29</v>
      </c>
      <c r="J1783" s="27" t="s">
        <v>126</v>
      </c>
      <c r="K1783" s="27" t="s">
        <v>144</v>
      </c>
      <c r="L1783" s="31" t="s">
        <v>1495</v>
      </c>
      <c r="M1783" s="32">
        <v>0.65</v>
      </c>
      <c r="N1783" s="27" t="s">
        <v>33</v>
      </c>
      <c r="O1783" s="27" t="s">
        <v>53</v>
      </c>
      <c r="P1783" s="27" t="s">
        <v>187</v>
      </c>
      <c r="Q1783" s="27" t="s">
        <v>1131</v>
      </c>
      <c r="R1783" s="33">
        <v>77546</v>
      </c>
      <c r="S1783" s="34">
        <v>42169</v>
      </c>
      <c r="T1783" s="34">
        <v>42171</v>
      </c>
      <c r="U1783" s="29">
        <v>69.545100000000005</v>
      </c>
      <c r="V1783" s="26">
        <v>1</v>
      </c>
      <c r="W1783" s="29">
        <v>100.79</v>
      </c>
      <c r="X1783" s="26">
        <v>87342</v>
      </c>
      <c r="Y1783" s="35">
        <v>12.86</v>
      </c>
      <c r="Z1783" s="1" t="s">
        <v>3012</v>
      </c>
      <c r="AA1783" s="36">
        <v>9.6776999999999997</v>
      </c>
      <c r="AB1783" s="54">
        <v>35.276499999999999</v>
      </c>
      <c r="AC1783" s="54">
        <v>65.513500000000008</v>
      </c>
      <c r="AD1783" s="36">
        <v>15.757199999999997</v>
      </c>
    </row>
    <row r="1784" spans="1:30" s="37" customFormat="1" ht="15.75" customHeight="1" x14ac:dyDescent="0.2">
      <c r="A1784" s="26">
        <v>547</v>
      </c>
      <c r="B1784" s="27" t="s">
        <v>2868</v>
      </c>
      <c r="C1784" s="27" t="s">
        <v>3094</v>
      </c>
      <c r="D1784" s="28">
        <v>0.03</v>
      </c>
      <c r="E1784" s="29">
        <v>13.73</v>
      </c>
      <c r="F1784" s="29">
        <v>6.85</v>
      </c>
      <c r="G1784" s="30" t="s">
        <v>87</v>
      </c>
      <c r="H1784" s="27" t="s">
        <v>94</v>
      </c>
      <c r="I1784" s="27" t="s">
        <v>29</v>
      </c>
      <c r="J1784" s="27" t="s">
        <v>126</v>
      </c>
      <c r="K1784" s="27" t="s">
        <v>51</v>
      </c>
      <c r="L1784" s="31" t="s">
        <v>1767</v>
      </c>
      <c r="M1784" s="32">
        <v>0.54</v>
      </c>
      <c r="N1784" s="27" t="s">
        <v>33</v>
      </c>
      <c r="O1784" s="27" t="s">
        <v>111</v>
      </c>
      <c r="P1784" s="27" t="s">
        <v>903</v>
      </c>
      <c r="Q1784" s="27" t="s">
        <v>2869</v>
      </c>
      <c r="R1784" s="33">
        <v>26501</v>
      </c>
      <c r="S1784" s="34">
        <v>42169</v>
      </c>
      <c r="T1784" s="34">
        <v>42170</v>
      </c>
      <c r="U1784" s="29">
        <v>39.585299999999997</v>
      </c>
      <c r="V1784" s="26">
        <v>4</v>
      </c>
      <c r="W1784" s="29">
        <v>57.37</v>
      </c>
      <c r="X1784" s="26">
        <v>86250</v>
      </c>
      <c r="Y1784" s="35">
        <v>13.700000000000001</v>
      </c>
      <c r="Z1784" s="1" t="s">
        <v>3014</v>
      </c>
      <c r="AA1784" s="36">
        <v>1.6476</v>
      </c>
      <c r="AB1784" s="54">
        <v>26.390199999999997</v>
      </c>
      <c r="AC1784" s="54">
        <v>7.7449500000000002</v>
      </c>
      <c r="AD1784" s="36">
        <v>9.2871000000000024</v>
      </c>
    </row>
    <row r="1785" spans="1:30" s="37" customFormat="1" ht="15.75" customHeight="1" x14ac:dyDescent="0.2">
      <c r="A1785" s="26">
        <v>2979</v>
      </c>
      <c r="B1785" s="27" t="s">
        <v>818</v>
      </c>
      <c r="C1785" s="27" t="s">
        <v>3094</v>
      </c>
      <c r="D1785" s="28">
        <v>0.01</v>
      </c>
      <c r="E1785" s="29">
        <v>5.84</v>
      </c>
      <c r="F1785" s="29">
        <v>0.83</v>
      </c>
      <c r="G1785" s="30" t="s">
        <v>39</v>
      </c>
      <c r="H1785" s="27" t="s">
        <v>94</v>
      </c>
      <c r="I1785" s="27" t="s">
        <v>49</v>
      </c>
      <c r="J1785" s="27" t="s">
        <v>50</v>
      </c>
      <c r="K1785" s="27" t="s">
        <v>51</v>
      </c>
      <c r="L1785" s="31" t="s">
        <v>2606</v>
      </c>
      <c r="M1785" s="32">
        <v>0.49</v>
      </c>
      <c r="N1785" s="27" t="s">
        <v>33</v>
      </c>
      <c r="O1785" s="27" t="s">
        <v>53</v>
      </c>
      <c r="P1785" s="27" t="s">
        <v>565</v>
      </c>
      <c r="Q1785" s="27" t="s">
        <v>820</v>
      </c>
      <c r="R1785" s="33">
        <v>58601</v>
      </c>
      <c r="S1785" s="34">
        <v>42169</v>
      </c>
      <c r="T1785" s="34">
        <v>42171</v>
      </c>
      <c r="U1785" s="29">
        <v>16.091999999999999</v>
      </c>
      <c r="V1785" s="26">
        <v>4</v>
      </c>
      <c r="W1785" s="29">
        <v>23.89</v>
      </c>
      <c r="X1785" s="26">
        <v>86546</v>
      </c>
      <c r="Y1785" s="35">
        <v>5.83</v>
      </c>
      <c r="Z1785" s="1" t="s">
        <v>3012</v>
      </c>
      <c r="AA1785" s="36">
        <v>0.2336</v>
      </c>
      <c r="AB1785" s="54">
        <v>12.183900000000001</v>
      </c>
      <c r="AC1785" s="54">
        <v>2.9265249999999998</v>
      </c>
      <c r="AD1785" s="36">
        <v>6.7344000000000044</v>
      </c>
    </row>
    <row r="1786" spans="1:30" s="37" customFormat="1" ht="15.75" customHeight="1" x14ac:dyDescent="0.2">
      <c r="A1786" s="26">
        <v>3339</v>
      </c>
      <c r="B1786" s="27" t="s">
        <v>2863</v>
      </c>
      <c r="C1786" s="27" t="s">
        <v>38</v>
      </c>
      <c r="D1786" s="28">
        <v>0.03</v>
      </c>
      <c r="E1786" s="29">
        <v>2.61</v>
      </c>
      <c r="F1786" s="29">
        <v>0.5</v>
      </c>
      <c r="G1786" s="30" t="s">
        <v>39</v>
      </c>
      <c r="H1786" s="27" t="s">
        <v>40</v>
      </c>
      <c r="I1786" s="27" t="s">
        <v>49</v>
      </c>
      <c r="J1786" s="27" t="s">
        <v>152</v>
      </c>
      <c r="K1786" s="27" t="s">
        <v>73</v>
      </c>
      <c r="L1786" s="31" t="s">
        <v>1367</v>
      </c>
      <c r="M1786" s="32">
        <v>0.39</v>
      </c>
      <c r="N1786" s="27" t="s">
        <v>33</v>
      </c>
      <c r="O1786" s="27" t="s">
        <v>34</v>
      </c>
      <c r="P1786" s="27" t="s">
        <v>123</v>
      </c>
      <c r="Q1786" s="27" t="s">
        <v>2864</v>
      </c>
      <c r="R1786" s="33">
        <v>32780</v>
      </c>
      <c r="S1786" s="34">
        <v>42169</v>
      </c>
      <c r="T1786" s="34">
        <v>42170</v>
      </c>
      <c r="U1786" s="29">
        <v>4.0442999999999998</v>
      </c>
      <c r="V1786" s="26">
        <v>7</v>
      </c>
      <c r="W1786" s="29">
        <v>19.02</v>
      </c>
      <c r="X1786" s="26">
        <v>85981</v>
      </c>
      <c r="Y1786" s="35">
        <v>315.90000000000003</v>
      </c>
      <c r="Z1786" s="1" t="s">
        <v>3011</v>
      </c>
      <c r="AA1786" s="36">
        <v>0.54809999999999992</v>
      </c>
      <c r="AB1786" s="54">
        <v>11.6022</v>
      </c>
      <c r="AC1786" s="54">
        <v>1.0596857142857143</v>
      </c>
      <c r="AD1786" s="36">
        <v>13.9276</v>
      </c>
    </row>
    <row r="1787" spans="1:30" s="37" customFormat="1" ht="15.75" customHeight="1" x14ac:dyDescent="0.2">
      <c r="A1787" s="26">
        <v>736</v>
      </c>
      <c r="B1787" s="27" t="s">
        <v>2876</v>
      </c>
      <c r="C1787" s="27" t="s">
        <v>3094</v>
      </c>
      <c r="D1787" s="28">
        <v>0.06</v>
      </c>
      <c r="E1787" s="29">
        <v>350.98</v>
      </c>
      <c r="F1787" s="29">
        <v>30</v>
      </c>
      <c r="G1787" s="30" t="s">
        <v>27</v>
      </c>
      <c r="H1787" s="27" t="s">
        <v>40</v>
      </c>
      <c r="I1787" s="27" t="s">
        <v>29</v>
      </c>
      <c r="J1787" s="27" t="s">
        <v>109</v>
      </c>
      <c r="K1787" s="27" t="s">
        <v>58</v>
      </c>
      <c r="L1787" s="31" t="s">
        <v>191</v>
      </c>
      <c r="M1787" s="32">
        <v>0.61</v>
      </c>
      <c r="N1787" s="27" t="s">
        <v>33</v>
      </c>
      <c r="O1787" s="27" t="s">
        <v>111</v>
      </c>
      <c r="P1787" s="27" t="s">
        <v>1356</v>
      </c>
      <c r="Q1787" s="27" t="s">
        <v>1473</v>
      </c>
      <c r="R1787" s="33">
        <v>3079</v>
      </c>
      <c r="S1787" s="34">
        <v>42170</v>
      </c>
      <c r="T1787" s="34">
        <v>42172</v>
      </c>
      <c r="U1787" s="29">
        <v>797.85599999999999</v>
      </c>
      <c r="V1787" s="26">
        <v>6</v>
      </c>
      <c r="W1787" s="29">
        <v>2016.32</v>
      </c>
      <c r="X1787" s="26">
        <v>90361</v>
      </c>
      <c r="Y1787" s="35">
        <v>5.8900000000000006</v>
      </c>
      <c r="Z1787" s="1" t="s">
        <v>3014</v>
      </c>
      <c r="AA1787" s="36">
        <v>126.3528</v>
      </c>
      <c r="AB1787" s="54">
        <v>786.36479999999995</v>
      </c>
      <c r="AC1787" s="54">
        <v>204.99253333333334</v>
      </c>
      <c r="AD1787" s="36">
        <v>1062.1111999999998</v>
      </c>
    </row>
    <row r="1788" spans="1:30" s="37" customFormat="1" ht="15.75" customHeight="1" x14ac:dyDescent="0.2">
      <c r="A1788" s="26">
        <v>741</v>
      </c>
      <c r="B1788" s="27" t="s">
        <v>2878</v>
      </c>
      <c r="C1788" s="27" t="s">
        <v>3094</v>
      </c>
      <c r="D1788" s="28">
        <v>0.04</v>
      </c>
      <c r="E1788" s="29">
        <v>27.48</v>
      </c>
      <c r="F1788" s="29">
        <v>4</v>
      </c>
      <c r="G1788" s="30" t="s">
        <v>39</v>
      </c>
      <c r="H1788" s="27" t="s">
        <v>40</v>
      </c>
      <c r="I1788" s="27" t="s">
        <v>41</v>
      </c>
      <c r="J1788" s="27" t="s">
        <v>42</v>
      </c>
      <c r="K1788" s="27" t="s">
        <v>73</v>
      </c>
      <c r="L1788" s="31" t="s">
        <v>2061</v>
      </c>
      <c r="M1788" s="32">
        <v>0.75</v>
      </c>
      <c r="N1788" s="27" t="s">
        <v>33</v>
      </c>
      <c r="O1788" s="27" t="s">
        <v>111</v>
      </c>
      <c r="P1788" s="27" t="s">
        <v>397</v>
      </c>
      <c r="Q1788" s="27" t="s">
        <v>2879</v>
      </c>
      <c r="R1788" s="33">
        <v>7901</v>
      </c>
      <c r="S1788" s="34">
        <v>42170</v>
      </c>
      <c r="T1788" s="34">
        <v>42172</v>
      </c>
      <c r="U1788" s="29">
        <v>-26.655999999999999</v>
      </c>
      <c r="V1788" s="26">
        <v>15</v>
      </c>
      <c r="W1788" s="29">
        <v>397.17</v>
      </c>
      <c r="X1788" s="26">
        <v>90361</v>
      </c>
      <c r="Y1788" s="35">
        <v>4.21</v>
      </c>
      <c r="Z1788" s="1" t="s">
        <v>3014</v>
      </c>
      <c r="AA1788" s="36">
        <v>16.488</v>
      </c>
      <c r="AB1788" s="54">
        <v>99.292500000000004</v>
      </c>
      <c r="AC1788" s="54">
        <v>19.858499999999999</v>
      </c>
      <c r="AD1788" s="36">
        <v>403.33800000000002</v>
      </c>
    </row>
    <row r="1789" spans="1:30" s="37" customFormat="1" ht="15.75" customHeight="1" x14ac:dyDescent="0.2">
      <c r="A1789" s="26">
        <v>738</v>
      </c>
      <c r="B1789" s="27" t="s">
        <v>2877</v>
      </c>
      <c r="C1789" s="27" t="s">
        <v>3094</v>
      </c>
      <c r="D1789" s="28">
        <v>0.02</v>
      </c>
      <c r="E1789" s="29">
        <v>70.98</v>
      </c>
      <c r="F1789" s="29">
        <v>46.74</v>
      </c>
      <c r="G1789" s="30" t="s">
        <v>27</v>
      </c>
      <c r="H1789" s="27" t="s">
        <v>40</v>
      </c>
      <c r="I1789" s="27" t="s">
        <v>29</v>
      </c>
      <c r="J1789" s="27" t="s">
        <v>117</v>
      </c>
      <c r="K1789" s="27" t="s">
        <v>31</v>
      </c>
      <c r="L1789" s="31" t="s">
        <v>378</v>
      </c>
      <c r="M1789" s="32">
        <v>0.56000000000000005</v>
      </c>
      <c r="N1789" s="27" t="s">
        <v>33</v>
      </c>
      <c r="O1789" s="27" t="s">
        <v>111</v>
      </c>
      <c r="P1789" s="27" t="s">
        <v>397</v>
      </c>
      <c r="Q1789" s="27" t="s">
        <v>2372</v>
      </c>
      <c r="R1789" s="33">
        <v>7016</v>
      </c>
      <c r="S1789" s="34">
        <v>42170</v>
      </c>
      <c r="T1789" s="34">
        <v>42171</v>
      </c>
      <c r="U1789" s="29">
        <v>-178.21600000000001</v>
      </c>
      <c r="V1789" s="26">
        <v>4</v>
      </c>
      <c r="W1789" s="29">
        <v>313.63</v>
      </c>
      <c r="X1789" s="26">
        <v>90361</v>
      </c>
      <c r="Y1789" s="35">
        <v>2.9</v>
      </c>
      <c r="Z1789" s="1" t="s">
        <v>3014</v>
      </c>
      <c r="AA1789" s="36">
        <v>5.6784000000000008</v>
      </c>
      <c r="AB1789" s="54">
        <v>137.99719999999999</v>
      </c>
      <c r="AC1789" s="54">
        <v>43.908200000000001</v>
      </c>
      <c r="AD1789" s="36">
        <v>439.42759999999998</v>
      </c>
    </row>
    <row r="1790" spans="1:30" s="37" customFormat="1" ht="15.75" customHeight="1" x14ac:dyDescent="0.2">
      <c r="A1790" s="26">
        <v>2512</v>
      </c>
      <c r="B1790" s="27" t="s">
        <v>2882</v>
      </c>
      <c r="C1790" s="27" t="s">
        <v>3094</v>
      </c>
      <c r="D1790" s="28">
        <v>0.04</v>
      </c>
      <c r="E1790" s="29">
        <v>6.48</v>
      </c>
      <c r="F1790" s="29">
        <v>9.5399999999999991</v>
      </c>
      <c r="G1790" s="30" t="s">
        <v>39</v>
      </c>
      <c r="H1790" s="27" t="s">
        <v>71</v>
      </c>
      <c r="I1790" s="27" t="s">
        <v>49</v>
      </c>
      <c r="J1790" s="27" t="s">
        <v>88</v>
      </c>
      <c r="K1790" s="27" t="s">
        <v>73</v>
      </c>
      <c r="L1790" s="31" t="s">
        <v>2224</v>
      </c>
      <c r="M1790" s="32">
        <v>0.37</v>
      </c>
      <c r="N1790" s="27" t="s">
        <v>33</v>
      </c>
      <c r="O1790" s="27" t="s">
        <v>111</v>
      </c>
      <c r="P1790" s="27" t="s">
        <v>403</v>
      </c>
      <c r="Q1790" s="27" t="s">
        <v>2883</v>
      </c>
      <c r="R1790" s="33">
        <v>2138</v>
      </c>
      <c r="S1790" s="34">
        <v>42170</v>
      </c>
      <c r="T1790" s="34">
        <v>42172</v>
      </c>
      <c r="U1790" s="29">
        <v>-223.94399999999999</v>
      </c>
      <c r="V1790" s="26">
        <v>19</v>
      </c>
      <c r="W1790" s="29">
        <v>125.37</v>
      </c>
      <c r="X1790" s="26">
        <v>87030</v>
      </c>
      <c r="Y1790" s="35">
        <v>350.92</v>
      </c>
      <c r="Z1790" s="1" t="s">
        <v>3014</v>
      </c>
      <c r="AA1790" s="36">
        <v>4.9248000000000012</v>
      </c>
      <c r="AB1790" s="54">
        <v>78.983100000000007</v>
      </c>
      <c r="AC1790" s="54">
        <v>2.4414157894736843</v>
      </c>
      <c r="AD1790" s="36">
        <v>334.8492</v>
      </c>
    </row>
    <row r="1791" spans="1:30" s="37" customFormat="1" ht="15.75" customHeight="1" x14ac:dyDescent="0.2">
      <c r="A1791" s="26">
        <v>33</v>
      </c>
      <c r="B1791" s="27" t="s">
        <v>2874</v>
      </c>
      <c r="C1791" s="27" t="s">
        <v>3094</v>
      </c>
      <c r="D1791" s="28">
        <v>0.03</v>
      </c>
      <c r="E1791" s="29">
        <v>4.24</v>
      </c>
      <c r="F1791" s="29">
        <v>5.41</v>
      </c>
      <c r="G1791" s="30" t="s">
        <v>39</v>
      </c>
      <c r="H1791" s="27" t="s">
        <v>94</v>
      </c>
      <c r="I1791" s="27" t="s">
        <v>49</v>
      </c>
      <c r="J1791" s="27" t="s">
        <v>72</v>
      </c>
      <c r="K1791" s="27" t="s">
        <v>73</v>
      </c>
      <c r="L1791" s="31" t="s">
        <v>1671</v>
      </c>
      <c r="M1791" s="32">
        <v>0.35</v>
      </c>
      <c r="N1791" s="27" t="s">
        <v>33</v>
      </c>
      <c r="O1791" s="27" t="s">
        <v>60</v>
      </c>
      <c r="P1791" s="27" t="s">
        <v>139</v>
      </c>
      <c r="Q1791" s="27" t="s">
        <v>2875</v>
      </c>
      <c r="R1791" s="33">
        <v>97030</v>
      </c>
      <c r="S1791" s="34">
        <v>42170</v>
      </c>
      <c r="T1791" s="34">
        <v>42172</v>
      </c>
      <c r="U1791" s="29">
        <v>-84.437600000000003</v>
      </c>
      <c r="V1791" s="26">
        <v>13</v>
      </c>
      <c r="W1791" s="29">
        <v>58.68</v>
      </c>
      <c r="X1791" s="26">
        <v>89201</v>
      </c>
      <c r="Y1791" s="35">
        <v>70.960000000000008</v>
      </c>
      <c r="Z1791" s="1" t="s">
        <v>3013</v>
      </c>
      <c r="AA1791" s="36">
        <v>1.6536000000000002</v>
      </c>
      <c r="AB1791" s="54">
        <v>38.142000000000003</v>
      </c>
      <c r="AC1791" s="54">
        <v>1.5798461538461537</v>
      </c>
      <c r="AD1791" s="36">
        <v>136.054</v>
      </c>
    </row>
    <row r="1792" spans="1:30" s="37" customFormat="1" ht="15.75" customHeight="1" x14ac:dyDescent="0.2">
      <c r="A1792" s="26">
        <v>33</v>
      </c>
      <c r="B1792" s="27" t="s">
        <v>2874</v>
      </c>
      <c r="C1792" s="27" t="s">
        <v>3094</v>
      </c>
      <c r="D1792" s="28">
        <v>0.04</v>
      </c>
      <c r="E1792" s="29">
        <v>2.94</v>
      </c>
      <c r="F1792" s="29">
        <v>0.7</v>
      </c>
      <c r="G1792" s="30" t="s">
        <v>39</v>
      </c>
      <c r="H1792" s="27" t="s">
        <v>94</v>
      </c>
      <c r="I1792" s="27" t="s">
        <v>49</v>
      </c>
      <c r="J1792" s="27" t="s">
        <v>50</v>
      </c>
      <c r="K1792" s="27" t="s">
        <v>51</v>
      </c>
      <c r="L1792" s="31" t="s">
        <v>819</v>
      </c>
      <c r="M1792" s="32">
        <v>0.57999999999999996</v>
      </c>
      <c r="N1792" s="27" t="s">
        <v>33</v>
      </c>
      <c r="O1792" s="27" t="s">
        <v>60</v>
      </c>
      <c r="P1792" s="27" t="s">
        <v>139</v>
      </c>
      <c r="Q1792" s="27" t="s">
        <v>2875</v>
      </c>
      <c r="R1792" s="33">
        <v>97030</v>
      </c>
      <c r="S1792" s="34">
        <v>42170</v>
      </c>
      <c r="T1792" s="34">
        <v>42171</v>
      </c>
      <c r="U1792" s="29">
        <v>24.312000000000001</v>
      </c>
      <c r="V1792" s="26">
        <v>18</v>
      </c>
      <c r="W1792" s="29">
        <v>53.1</v>
      </c>
      <c r="X1792" s="26">
        <v>89201</v>
      </c>
      <c r="Y1792" s="35">
        <v>27.44</v>
      </c>
      <c r="Z1792" s="1" t="s">
        <v>3013</v>
      </c>
      <c r="AA1792" s="36">
        <v>2.1168</v>
      </c>
      <c r="AB1792" s="54">
        <v>22.302000000000003</v>
      </c>
      <c r="AC1792" s="54">
        <v>1.7110000000000001</v>
      </c>
      <c r="AD1792" s="36">
        <v>25.9712</v>
      </c>
    </row>
    <row r="1793" spans="1:30" s="37" customFormat="1" ht="15.75" customHeight="1" x14ac:dyDescent="0.2">
      <c r="A1793" s="26">
        <v>1860</v>
      </c>
      <c r="B1793" s="27" t="s">
        <v>2872</v>
      </c>
      <c r="C1793" s="27" t="s">
        <v>26</v>
      </c>
      <c r="D1793" s="28">
        <v>0.09</v>
      </c>
      <c r="E1793" s="29">
        <v>5.98</v>
      </c>
      <c r="F1793" s="29">
        <v>1.49</v>
      </c>
      <c r="G1793" s="30" t="s">
        <v>39</v>
      </c>
      <c r="H1793" s="27" t="s">
        <v>71</v>
      </c>
      <c r="I1793" s="27" t="s">
        <v>49</v>
      </c>
      <c r="J1793" s="27" t="s">
        <v>72</v>
      </c>
      <c r="K1793" s="27" t="s">
        <v>73</v>
      </c>
      <c r="L1793" s="31" t="s">
        <v>1587</v>
      </c>
      <c r="M1793" s="32">
        <v>0.39</v>
      </c>
      <c r="N1793" s="27" t="s">
        <v>33</v>
      </c>
      <c r="O1793" s="27" t="s">
        <v>111</v>
      </c>
      <c r="P1793" s="27" t="s">
        <v>403</v>
      </c>
      <c r="Q1793" s="27" t="s">
        <v>2873</v>
      </c>
      <c r="R1793" s="33">
        <v>1570</v>
      </c>
      <c r="S1793" s="34">
        <v>42170</v>
      </c>
      <c r="T1793" s="34">
        <v>42172</v>
      </c>
      <c r="U1793" s="29">
        <v>13.2294</v>
      </c>
      <c r="V1793" s="26">
        <v>5</v>
      </c>
      <c r="W1793" s="29">
        <v>28.01</v>
      </c>
      <c r="X1793" s="26">
        <v>86846</v>
      </c>
      <c r="Y1793" s="35">
        <v>1.48</v>
      </c>
      <c r="Z1793" s="1" t="s">
        <v>3014</v>
      </c>
      <c r="AA1793" s="36">
        <v>2.6909999999999998</v>
      </c>
      <c r="AB1793" s="54">
        <v>17.086100000000002</v>
      </c>
      <c r="AC1793" s="54">
        <v>2.1847800000000004</v>
      </c>
      <c r="AD1793" s="36">
        <v>10.599600000000002</v>
      </c>
    </row>
    <row r="1794" spans="1:30" s="37" customFormat="1" ht="15.75" customHeight="1" x14ac:dyDescent="0.2">
      <c r="A1794" s="26">
        <v>2183</v>
      </c>
      <c r="B1794" s="27" t="s">
        <v>2880</v>
      </c>
      <c r="C1794" s="27" t="s">
        <v>3094</v>
      </c>
      <c r="D1794" s="28">
        <v>0</v>
      </c>
      <c r="E1794" s="29">
        <v>1.48</v>
      </c>
      <c r="F1794" s="29">
        <v>0.7</v>
      </c>
      <c r="G1794" s="30" t="s">
        <v>39</v>
      </c>
      <c r="H1794" s="27" t="s">
        <v>71</v>
      </c>
      <c r="I1794" s="27" t="s">
        <v>49</v>
      </c>
      <c r="J1794" s="27" t="s">
        <v>176</v>
      </c>
      <c r="K1794" s="27" t="s">
        <v>51</v>
      </c>
      <c r="L1794" s="31" t="s">
        <v>177</v>
      </c>
      <c r="M1794" s="32">
        <v>0.37</v>
      </c>
      <c r="N1794" s="27" t="s">
        <v>33</v>
      </c>
      <c r="O1794" s="27" t="s">
        <v>34</v>
      </c>
      <c r="P1794" s="27" t="s">
        <v>388</v>
      </c>
      <c r="Q1794" s="27" t="s">
        <v>2881</v>
      </c>
      <c r="R1794" s="33">
        <v>42301</v>
      </c>
      <c r="S1794" s="34">
        <v>42170</v>
      </c>
      <c r="T1794" s="34">
        <v>42172</v>
      </c>
      <c r="U1794" s="29">
        <v>-203.09800000000001</v>
      </c>
      <c r="V1794" s="26">
        <v>12</v>
      </c>
      <c r="W1794" s="29">
        <v>19.32</v>
      </c>
      <c r="X1794" s="26">
        <v>91571</v>
      </c>
      <c r="Y1794" s="35">
        <v>6.44</v>
      </c>
      <c r="Z1794" s="1" t="s">
        <v>3011</v>
      </c>
      <c r="AA1794" s="36">
        <v>0</v>
      </c>
      <c r="AB1794" s="54">
        <v>12.1716</v>
      </c>
      <c r="AC1794" s="54">
        <v>0.59570000000000001</v>
      </c>
      <c r="AD1794" s="36">
        <v>221.71800000000002</v>
      </c>
    </row>
    <row r="1795" spans="1:30" s="37" customFormat="1" ht="15.75" customHeight="1" x14ac:dyDescent="0.2">
      <c r="A1795" s="26">
        <v>2355</v>
      </c>
      <c r="B1795" s="27" t="s">
        <v>1212</v>
      </c>
      <c r="C1795" s="27" t="s">
        <v>116</v>
      </c>
      <c r="D1795" s="28">
        <v>0.06</v>
      </c>
      <c r="E1795" s="29">
        <v>146.34</v>
      </c>
      <c r="F1795" s="29">
        <v>43.75</v>
      </c>
      <c r="G1795" s="30" t="s">
        <v>27</v>
      </c>
      <c r="H1795" s="27" t="s">
        <v>40</v>
      </c>
      <c r="I1795" s="27" t="s">
        <v>29</v>
      </c>
      <c r="J1795" s="27" t="s">
        <v>30</v>
      </c>
      <c r="K1795" s="27" t="s">
        <v>31</v>
      </c>
      <c r="L1795" s="31" t="s">
        <v>155</v>
      </c>
      <c r="M1795" s="32">
        <v>0.65</v>
      </c>
      <c r="N1795" s="27" t="s">
        <v>33</v>
      </c>
      <c r="O1795" s="27" t="s">
        <v>60</v>
      </c>
      <c r="P1795" s="27" t="s">
        <v>90</v>
      </c>
      <c r="Q1795" s="27" t="s">
        <v>1214</v>
      </c>
      <c r="R1795" s="33">
        <v>92236</v>
      </c>
      <c r="S1795" s="34">
        <v>42171</v>
      </c>
      <c r="T1795" s="34">
        <v>42173</v>
      </c>
      <c r="U1795" s="29">
        <v>-89.27</v>
      </c>
      <c r="V1795" s="26">
        <v>12</v>
      </c>
      <c r="W1795" s="29">
        <v>1721.24</v>
      </c>
      <c r="X1795" s="26">
        <v>91306</v>
      </c>
      <c r="Y1795" s="35">
        <v>7.54</v>
      </c>
      <c r="Z1795" s="1" t="s">
        <v>3013</v>
      </c>
      <c r="AA1795" s="36">
        <v>105.3648</v>
      </c>
      <c r="AB1795" s="54">
        <v>602.43399999999997</v>
      </c>
      <c r="AC1795" s="54">
        <v>93.233833333333337</v>
      </c>
      <c r="AD1795" s="36">
        <v>1661.3951999999999</v>
      </c>
    </row>
    <row r="1796" spans="1:30" s="37" customFormat="1" ht="15.75" customHeight="1" x14ac:dyDescent="0.2">
      <c r="A1796" s="26">
        <v>1492</v>
      </c>
      <c r="B1796" s="27" t="s">
        <v>2890</v>
      </c>
      <c r="C1796" s="27" t="s">
        <v>38</v>
      </c>
      <c r="D1796" s="28">
        <v>0.04</v>
      </c>
      <c r="E1796" s="29">
        <v>119.99</v>
      </c>
      <c r="F1796" s="29">
        <v>14</v>
      </c>
      <c r="G1796" s="30" t="s">
        <v>27</v>
      </c>
      <c r="H1796" s="27" t="s">
        <v>94</v>
      </c>
      <c r="I1796" s="27" t="s">
        <v>41</v>
      </c>
      <c r="J1796" s="27" t="s">
        <v>57</v>
      </c>
      <c r="K1796" s="27" t="s">
        <v>58</v>
      </c>
      <c r="L1796" s="31" t="s">
        <v>2151</v>
      </c>
      <c r="M1796" s="32">
        <v>0.36</v>
      </c>
      <c r="N1796" s="27" t="s">
        <v>33</v>
      </c>
      <c r="O1796" s="27" t="s">
        <v>53</v>
      </c>
      <c r="P1796" s="27" t="s">
        <v>80</v>
      </c>
      <c r="Q1796" s="27" t="s">
        <v>2891</v>
      </c>
      <c r="R1796" s="33">
        <v>65721</v>
      </c>
      <c r="S1796" s="34">
        <v>42171</v>
      </c>
      <c r="T1796" s="34">
        <v>42173</v>
      </c>
      <c r="U1796" s="29">
        <v>509.95830000000001</v>
      </c>
      <c r="V1796" s="26">
        <v>6</v>
      </c>
      <c r="W1796" s="29">
        <v>739.07</v>
      </c>
      <c r="X1796" s="26">
        <v>88004</v>
      </c>
      <c r="Y1796" s="35">
        <v>41.29</v>
      </c>
      <c r="Z1796" s="1" t="s">
        <v>3012</v>
      </c>
      <c r="AA1796" s="36">
        <v>28.797599999999999</v>
      </c>
      <c r="AB1796" s="54">
        <v>473.00480000000005</v>
      </c>
      <c r="AC1796" s="54">
        <v>44.344200000000001</v>
      </c>
      <c r="AD1796" s="36">
        <v>186.31410000000005</v>
      </c>
    </row>
    <row r="1797" spans="1:30" s="37" customFormat="1" ht="15.75" customHeight="1" x14ac:dyDescent="0.2">
      <c r="A1797" s="26">
        <v>2677</v>
      </c>
      <c r="B1797" s="27" t="s">
        <v>2886</v>
      </c>
      <c r="C1797" s="27" t="s">
        <v>26</v>
      </c>
      <c r="D1797" s="28">
        <v>0.03</v>
      </c>
      <c r="E1797" s="29">
        <v>41.32</v>
      </c>
      <c r="F1797" s="29">
        <v>58.66</v>
      </c>
      <c r="G1797" s="30" t="s">
        <v>87</v>
      </c>
      <c r="H1797" s="27" t="s">
        <v>3095</v>
      </c>
      <c r="I1797" s="27" t="s">
        <v>29</v>
      </c>
      <c r="J1797" s="27" t="s">
        <v>126</v>
      </c>
      <c r="K1797" s="27" t="s">
        <v>144</v>
      </c>
      <c r="L1797" s="31" t="s">
        <v>2887</v>
      </c>
      <c r="M1797" s="32">
        <v>0.76</v>
      </c>
      <c r="N1797" s="27" t="s">
        <v>33</v>
      </c>
      <c r="O1797" s="27" t="s">
        <v>34</v>
      </c>
      <c r="P1797" s="27" t="s">
        <v>242</v>
      </c>
      <c r="Q1797" s="27" t="s">
        <v>802</v>
      </c>
      <c r="R1797" s="33">
        <v>22601</v>
      </c>
      <c r="S1797" s="34">
        <v>42171</v>
      </c>
      <c r="T1797" s="34">
        <v>42172</v>
      </c>
      <c r="U1797" s="29">
        <v>-32.816000000000003</v>
      </c>
      <c r="V1797" s="26">
        <v>10</v>
      </c>
      <c r="W1797" s="29">
        <v>419.27</v>
      </c>
      <c r="X1797" s="26">
        <v>86633</v>
      </c>
      <c r="Y1797" s="35">
        <v>6.88</v>
      </c>
      <c r="Z1797" s="1" t="s">
        <v>3011</v>
      </c>
      <c r="AA1797" s="36">
        <v>12.396000000000001</v>
      </c>
      <c r="AB1797" s="54">
        <v>100.62479999999999</v>
      </c>
      <c r="AC1797" s="54">
        <v>31.864519999999999</v>
      </c>
      <c r="AD1797" s="36">
        <v>381.03</v>
      </c>
    </row>
    <row r="1798" spans="1:30" s="37" customFormat="1" ht="15.75" customHeight="1" x14ac:dyDescent="0.2">
      <c r="A1798" s="26">
        <v>2720</v>
      </c>
      <c r="B1798" s="27" t="s">
        <v>2888</v>
      </c>
      <c r="C1798" s="27" t="s">
        <v>26</v>
      </c>
      <c r="D1798" s="28">
        <v>0</v>
      </c>
      <c r="E1798" s="29">
        <v>40.479999999999997</v>
      </c>
      <c r="F1798" s="29">
        <v>19.989999999999998</v>
      </c>
      <c r="G1798" s="30" t="s">
        <v>39</v>
      </c>
      <c r="H1798" s="27" t="s">
        <v>3095</v>
      </c>
      <c r="I1798" s="27" t="s">
        <v>41</v>
      </c>
      <c r="J1798" s="27" t="s">
        <v>42</v>
      </c>
      <c r="K1798" s="27" t="s">
        <v>73</v>
      </c>
      <c r="L1798" s="31" t="s">
        <v>2054</v>
      </c>
      <c r="M1798" s="32">
        <v>0.77</v>
      </c>
      <c r="N1798" s="27" t="s">
        <v>33</v>
      </c>
      <c r="O1798" s="27" t="s">
        <v>34</v>
      </c>
      <c r="P1798" s="27" t="s">
        <v>75</v>
      </c>
      <c r="Q1798" s="27" t="s">
        <v>2889</v>
      </c>
      <c r="R1798" s="33">
        <v>30721</v>
      </c>
      <c r="S1798" s="34">
        <v>42171</v>
      </c>
      <c r="T1798" s="34">
        <v>42172</v>
      </c>
      <c r="U1798" s="29">
        <v>-25.634</v>
      </c>
      <c r="V1798" s="26">
        <v>6</v>
      </c>
      <c r="W1798" s="29">
        <v>264.95</v>
      </c>
      <c r="X1798" s="26">
        <v>88766</v>
      </c>
      <c r="Y1798" s="35">
        <v>40.479999999999997</v>
      </c>
      <c r="Z1798" s="1" t="s">
        <v>3011</v>
      </c>
      <c r="AA1798" s="36">
        <v>0</v>
      </c>
      <c r="AB1798" s="54">
        <v>60.938499999999991</v>
      </c>
      <c r="AC1798" s="54">
        <v>34.001916666666666</v>
      </c>
      <c r="AD1798" s="36">
        <v>270.59399999999999</v>
      </c>
    </row>
    <row r="1799" spans="1:30" s="37" customFormat="1" ht="15.75" customHeight="1" x14ac:dyDescent="0.2">
      <c r="A1799" s="26">
        <v>1038</v>
      </c>
      <c r="B1799" s="27" t="s">
        <v>2884</v>
      </c>
      <c r="C1799" s="27" t="s">
        <v>26</v>
      </c>
      <c r="D1799" s="28">
        <v>0.1</v>
      </c>
      <c r="E1799" s="29">
        <v>7.64</v>
      </c>
      <c r="F1799" s="29">
        <v>5.83</v>
      </c>
      <c r="G1799" s="30" t="s">
        <v>39</v>
      </c>
      <c r="H1799" s="27" t="s">
        <v>94</v>
      </c>
      <c r="I1799" s="27" t="s">
        <v>49</v>
      </c>
      <c r="J1799" s="27" t="s">
        <v>88</v>
      </c>
      <c r="K1799" s="27" t="s">
        <v>51</v>
      </c>
      <c r="L1799" s="31" t="s">
        <v>232</v>
      </c>
      <c r="M1799" s="32">
        <v>0.36</v>
      </c>
      <c r="N1799" s="27" t="s">
        <v>33</v>
      </c>
      <c r="O1799" s="27" t="s">
        <v>34</v>
      </c>
      <c r="P1799" s="27" t="s">
        <v>123</v>
      </c>
      <c r="Q1799" s="27" t="s">
        <v>2885</v>
      </c>
      <c r="R1799" s="33">
        <v>33430</v>
      </c>
      <c r="S1799" s="34">
        <v>42171</v>
      </c>
      <c r="T1799" s="34">
        <v>42172</v>
      </c>
      <c r="U1799" s="29">
        <v>-403.18740000000003</v>
      </c>
      <c r="V1799" s="26">
        <v>5</v>
      </c>
      <c r="W1799" s="29">
        <v>39.36</v>
      </c>
      <c r="X1799" s="26">
        <v>90641</v>
      </c>
      <c r="Y1799" s="35">
        <v>119.94999999999999</v>
      </c>
      <c r="Z1799" s="1" t="s">
        <v>3011</v>
      </c>
      <c r="AA1799" s="36">
        <v>3.8200000000000003</v>
      </c>
      <c r="AB1799" s="54">
        <v>25.1904</v>
      </c>
      <c r="AC1799" s="54">
        <v>2.83392</v>
      </c>
      <c r="AD1799" s="36">
        <v>432.89740000000006</v>
      </c>
    </row>
    <row r="1800" spans="1:30" s="37" customFormat="1" ht="15.75" customHeight="1" x14ac:dyDescent="0.2">
      <c r="A1800" s="26">
        <v>2677</v>
      </c>
      <c r="B1800" s="27" t="s">
        <v>2886</v>
      </c>
      <c r="C1800" s="27" t="s">
        <v>26</v>
      </c>
      <c r="D1800" s="28">
        <v>0</v>
      </c>
      <c r="E1800" s="29">
        <v>6.88</v>
      </c>
      <c r="F1800" s="29">
        <v>2</v>
      </c>
      <c r="G1800" s="30" t="s">
        <v>39</v>
      </c>
      <c r="H1800" s="27" t="s">
        <v>3095</v>
      </c>
      <c r="I1800" s="27" t="s">
        <v>49</v>
      </c>
      <c r="J1800" s="27" t="s">
        <v>88</v>
      </c>
      <c r="K1800" s="27" t="s">
        <v>51</v>
      </c>
      <c r="L1800" s="31" t="s">
        <v>852</v>
      </c>
      <c r="M1800" s="32">
        <v>0.39</v>
      </c>
      <c r="N1800" s="27" t="s">
        <v>33</v>
      </c>
      <c r="O1800" s="27" t="s">
        <v>34</v>
      </c>
      <c r="P1800" s="27" t="s">
        <v>242</v>
      </c>
      <c r="Q1800" s="27" t="s">
        <v>802</v>
      </c>
      <c r="R1800" s="33">
        <v>22601</v>
      </c>
      <c r="S1800" s="34">
        <v>42171</v>
      </c>
      <c r="T1800" s="34">
        <v>42171</v>
      </c>
      <c r="U1800" s="29">
        <v>-15.61</v>
      </c>
      <c r="V1800" s="26">
        <v>5</v>
      </c>
      <c r="W1800" s="29">
        <v>36</v>
      </c>
      <c r="X1800" s="26">
        <v>86633</v>
      </c>
      <c r="Y1800" s="35">
        <v>146.28</v>
      </c>
      <c r="Z1800" s="1" t="s">
        <v>3011</v>
      </c>
      <c r="AA1800" s="36">
        <v>0</v>
      </c>
      <c r="AB1800" s="54">
        <v>21.96</v>
      </c>
      <c r="AC1800" s="54">
        <v>2.8080000000000003</v>
      </c>
      <c r="AD1800" s="36">
        <v>49.61</v>
      </c>
    </row>
    <row r="1801" spans="1:30" s="37" customFormat="1" ht="15.75" customHeight="1" x14ac:dyDescent="0.2">
      <c r="A1801" s="26">
        <v>286</v>
      </c>
      <c r="B1801" s="27" t="s">
        <v>2893</v>
      </c>
      <c r="C1801" s="27" t="s">
        <v>48</v>
      </c>
      <c r="D1801" s="28">
        <v>0.1</v>
      </c>
      <c r="E1801" s="29">
        <v>130.97999999999999</v>
      </c>
      <c r="F1801" s="29">
        <v>54.74</v>
      </c>
      <c r="G1801" s="30" t="s">
        <v>27</v>
      </c>
      <c r="H1801" s="27" t="s">
        <v>3095</v>
      </c>
      <c r="I1801" s="27" t="s">
        <v>29</v>
      </c>
      <c r="J1801" s="27" t="s">
        <v>117</v>
      </c>
      <c r="K1801" s="27" t="s">
        <v>31</v>
      </c>
      <c r="L1801" s="31" t="s">
        <v>1403</v>
      </c>
      <c r="M1801" s="32">
        <v>0.69</v>
      </c>
      <c r="N1801" s="27" t="s">
        <v>33</v>
      </c>
      <c r="O1801" s="27" t="s">
        <v>53</v>
      </c>
      <c r="P1801" s="27" t="s">
        <v>537</v>
      </c>
      <c r="Q1801" s="27" t="s">
        <v>2895</v>
      </c>
      <c r="R1801" s="33">
        <v>66203</v>
      </c>
      <c r="S1801" s="34">
        <v>42172</v>
      </c>
      <c r="T1801" s="34">
        <v>42176</v>
      </c>
      <c r="U1801" s="29">
        <v>-530.24</v>
      </c>
      <c r="V1801" s="26">
        <v>9</v>
      </c>
      <c r="W1801" s="29">
        <v>1155.73</v>
      </c>
      <c r="X1801" s="26">
        <v>89761</v>
      </c>
      <c r="Y1801" s="35">
        <v>33.85</v>
      </c>
      <c r="Z1801" s="1" t="s">
        <v>3012</v>
      </c>
      <c r="AA1801" s="36">
        <v>117.88199999999999</v>
      </c>
      <c r="AB1801" s="54">
        <v>358.27630000000005</v>
      </c>
      <c r="AC1801" s="54">
        <v>88.605966666666674</v>
      </c>
      <c r="AD1801" s="36">
        <v>1513.348</v>
      </c>
    </row>
    <row r="1802" spans="1:30" s="37" customFormat="1" ht="15.75" customHeight="1" x14ac:dyDescent="0.2">
      <c r="A1802" s="26">
        <v>646</v>
      </c>
      <c r="B1802" s="27" t="s">
        <v>2896</v>
      </c>
      <c r="C1802" s="27" t="s">
        <v>48</v>
      </c>
      <c r="D1802" s="28">
        <v>0.03</v>
      </c>
      <c r="E1802" s="29">
        <v>51.75</v>
      </c>
      <c r="F1802" s="29">
        <v>19.989999999999998</v>
      </c>
      <c r="G1802" s="30" t="s">
        <v>39</v>
      </c>
      <c r="H1802" s="27" t="s">
        <v>94</v>
      </c>
      <c r="I1802" s="27" t="s">
        <v>29</v>
      </c>
      <c r="J1802" s="27" t="s">
        <v>126</v>
      </c>
      <c r="K1802" s="27" t="s">
        <v>73</v>
      </c>
      <c r="L1802" s="31" t="s">
        <v>2897</v>
      </c>
      <c r="M1802" s="32">
        <v>0.55000000000000004</v>
      </c>
      <c r="N1802" s="27" t="s">
        <v>33</v>
      </c>
      <c r="O1802" s="27" t="s">
        <v>53</v>
      </c>
      <c r="P1802" s="27" t="s">
        <v>84</v>
      </c>
      <c r="Q1802" s="27" t="s">
        <v>2898</v>
      </c>
      <c r="R1802" s="33">
        <v>55379</v>
      </c>
      <c r="S1802" s="34">
        <v>42172</v>
      </c>
      <c r="T1802" s="34">
        <v>42177</v>
      </c>
      <c r="U1802" s="29">
        <v>261.44400000000002</v>
      </c>
      <c r="V1802" s="26">
        <v>16</v>
      </c>
      <c r="W1802" s="29">
        <v>818.81</v>
      </c>
      <c r="X1802" s="26">
        <v>90735</v>
      </c>
      <c r="Y1802" s="35">
        <v>1.5799999999999998</v>
      </c>
      <c r="Z1802" s="1" t="s">
        <v>3012</v>
      </c>
      <c r="AA1802" s="36">
        <v>24.84</v>
      </c>
      <c r="AB1802" s="54">
        <v>368.46449999999993</v>
      </c>
      <c r="AC1802" s="54">
        <v>28.146593750000001</v>
      </c>
      <c r="AD1802" s="36">
        <v>512.53599999999994</v>
      </c>
    </row>
    <row r="1803" spans="1:30" s="37" customFormat="1" ht="15.75" customHeight="1" x14ac:dyDescent="0.2">
      <c r="A1803" s="26">
        <v>1193</v>
      </c>
      <c r="B1803" s="27" t="s">
        <v>1351</v>
      </c>
      <c r="C1803" s="27" t="s">
        <v>48</v>
      </c>
      <c r="D1803" s="28">
        <v>0.03</v>
      </c>
      <c r="E1803" s="29">
        <v>10.64</v>
      </c>
      <c r="F1803" s="29">
        <v>5.16</v>
      </c>
      <c r="G1803" s="30" t="s">
        <v>39</v>
      </c>
      <c r="H1803" s="27" t="s">
        <v>40</v>
      </c>
      <c r="I1803" s="27" t="s">
        <v>29</v>
      </c>
      <c r="J1803" s="27" t="s">
        <v>126</v>
      </c>
      <c r="K1803" s="27" t="s">
        <v>73</v>
      </c>
      <c r="L1803" s="31" t="s">
        <v>1844</v>
      </c>
      <c r="M1803" s="32">
        <v>0.56999999999999995</v>
      </c>
      <c r="N1803" s="27" t="s">
        <v>33</v>
      </c>
      <c r="O1803" s="27" t="s">
        <v>111</v>
      </c>
      <c r="P1803" s="27" t="s">
        <v>374</v>
      </c>
      <c r="Q1803" s="27" t="s">
        <v>67</v>
      </c>
      <c r="R1803" s="33">
        <v>20016</v>
      </c>
      <c r="S1803" s="34">
        <v>42172</v>
      </c>
      <c r="T1803" s="34">
        <v>42177</v>
      </c>
      <c r="U1803" s="29">
        <v>14.48</v>
      </c>
      <c r="V1803" s="26">
        <v>63</v>
      </c>
      <c r="W1803" s="29">
        <v>696.96</v>
      </c>
      <c r="X1803" s="26">
        <v>5984</v>
      </c>
      <c r="Y1803" s="35">
        <v>4.13</v>
      </c>
      <c r="Z1803" s="1" t="s">
        <v>3014</v>
      </c>
      <c r="AA1803" s="36">
        <v>20.1096</v>
      </c>
      <c r="AB1803" s="54">
        <v>299.69280000000003</v>
      </c>
      <c r="AC1803" s="54">
        <v>6.305828571428572</v>
      </c>
      <c r="AD1803" s="36">
        <v>657.21040000000005</v>
      </c>
    </row>
    <row r="1804" spans="1:30" s="37" customFormat="1" ht="15.75" customHeight="1" x14ac:dyDescent="0.2">
      <c r="A1804" s="26">
        <v>3096</v>
      </c>
      <c r="B1804" s="27" t="s">
        <v>2653</v>
      </c>
      <c r="C1804" s="27" t="s">
        <v>26</v>
      </c>
      <c r="D1804" s="28">
        <v>0.04</v>
      </c>
      <c r="E1804" s="29">
        <v>33.89</v>
      </c>
      <c r="F1804" s="29">
        <v>5.0999999999999996</v>
      </c>
      <c r="G1804" s="30" t="s">
        <v>87</v>
      </c>
      <c r="H1804" s="27" t="s">
        <v>40</v>
      </c>
      <c r="I1804" s="27" t="s">
        <v>49</v>
      </c>
      <c r="J1804" s="27" t="s">
        <v>78</v>
      </c>
      <c r="K1804" s="27" t="s">
        <v>73</v>
      </c>
      <c r="L1804" s="31" t="s">
        <v>305</v>
      </c>
      <c r="M1804" s="32">
        <v>0.6</v>
      </c>
      <c r="N1804" s="27" t="s">
        <v>33</v>
      </c>
      <c r="O1804" s="27" t="s">
        <v>111</v>
      </c>
      <c r="P1804" s="27" t="s">
        <v>317</v>
      </c>
      <c r="Q1804" s="27" t="s">
        <v>2440</v>
      </c>
      <c r="R1804" s="33">
        <v>43026</v>
      </c>
      <c r="S1804" s="34">
        <v>42172</v>
      </c>
      <c r="T1804" s="34">
        <v>42173</v>
      </c>
      <c r="U1804" s="29">
        <v>72.983999999999995</v>
      </c>
      <c r="V1804" s="26">
        <v>6</v>
      </c>
      <c r="W1804" s="29">
        <v>200.83</v>
      </c>
      <c r="X1804" s="26">
        <v>86222</v>
      </c>
      <c r="Y1804" s="35">
        <v>130.88</v>
      </c>
      <c r="Z1804" s="1" t="s">
        <v>3014</v>
      </c>
      <c r="AA1804" s="36">
        <v>8.1336000000000013</v>
      </c>
      <c r="AB1804" s="54">
        <v>80.332000000000008</v>
      </c>
      <c r="AC1804" s="54">
        <v>20.083000000000002</v>
      </c>
      <c r="AD1804" s="36">
        <v>114.61240000000002</v>
      </c>
    </row>
    <row r="1805" spans="1:30" s="37" customFormat="1" ht="15.75" customHeight="1" x14ac:dyDescent="0.2">
      <c r="A1805" s="26">
        <v>317</v>
      </c>
      <c r="B1805" s="27" t="s">
        <v>2900</v>
      </c>
      <c r="C1805" s="27" t="s">
        <v>3094</v>
      </c>
      <c r="D1805" s="28">
        <v>0.04</v>
      </c>
      <c r="E1805" s="29">
        <v>15.42</v>
      </c>
      <c r="F1805" s="29">
        <v>10.68</v>
      </c>
      <c r="G1805" s="30" t="s">
        <v>39</v>
      </c>
      <c r="H1805" s="27" t="s">
        <v>94</v>
      </c>
      <c r="I1805" s="27" t="s">
        <v>49</v>
      </c>
      <c r="J1805" s="27" t="s">
        <v>78</v>
      </c>
      <c r="K1805" s="27" t="s">
        <v>73</v>
      </c>
      <c r="L1805" s="31" t="s">
        <v>2265</v>
      </c>
      <c r="M1805" s="32">
        <v>0.57999999999999996</v>
      </c>
      <c r="N1805" s="27" t="s">
        <v>33</v>
      </c>
      <c r="O1805" s="27" t="s">
        <v>60</v>
      </c>
      <c r="P1805" s="27" t="s">
        <v>90</v>
      </c>
      <c r="Q1805" s="27" t="s">
        <v>2901</v>
      </c>
      <c r="R1805" s="33">
        <v>91945</v>
      </c>
      <c r="S1805" s="34">
        <v>42172</v>
      </c>
      <c r="T1805" s="34">
        <v>42173</v>
      </c>
      <c r="U1805" s="29">
        <v>-119.93600000000001</v>
      </c>
      <c r="V1805" s="26">
        <v>12</v>
      </c>
      <c r="W1805" s="29">
        <v>192.18</v>
      </c>
      <c r="X1805" s="26">
        <v>86041</v>
      </c>
      <c r="Y1805" s="35">
        <v>51.72</v>
      </c>
      <c r="Z1805" s="1" t="s">
        <v>3013</v>
      </c>
      <c r="AA1805" s="36">
        <v>7.4016000000000002</v>
      </c>
      <c r="AB1805" s="54">
        <v>80.715600000000009</v>
      </c>
      <c r="AC1805" s="54">
        <v>9.2887000000000004</v>
      </c>
      <c r="AD1805" s="36">
        <v>294.03440000000001</v>
      </c>
    </row>
    <row r="1806" spans="1:30" s="37" customFormat="1" ht="15.75" customHeight="1" x14ac:dyDescent="0.2">
      <c r="A1806" s="26">
        <v>1189</v>
      </c>
      <c r="B1806" s="27" t="s">
        <v>2899</v>
      </c>
      <c r="C1806" s="27" t="s">
        <v>48</v>
      </c>
      <c r="D1806" s="28">
        <v>0.03</v>
      </c>
      <c r="E1806" s="29">
        <v>10.64</v>
      </c>
      <c r="F1806" s="29">
        <v>5.16</v>
      </c>
      <c r="G1806" s="30" t="s">
        <v>39</v>
      </c>
      <c r="H1806" s="27" t="s">
        <v>40</v>
      </c>
      <c r="I1806" s="27" t="s">
        <v>29</v>
      </c>
      <c r="J1806" s="27" t="s">
        <v>126</v>
      </c>
      <c r="K1806" s="27" t="s">
        <v>73</v>
      </c>
      <c r="L1806" s="31" t="s">
        <v>1844</v>
      </c>
      <c r="M1806" s="32">
        <v>0.56999999999999995</v>
      </c>
      <c r="N1806" s="27" t="s">
        <v>33</v>
      </c>
      <c r="O1806" s="27" t="s">
        <v>60</v>
      </c>
      <c r="P1806" s="27" t="s">
        <v>90</v>
      </c>
      <c r="Q1806" s="27" t="s">
        <v>2096</v>
      </c>
      <c r="R1806" s="33">
        <v>92646</v>
      </c>
      <c r="S1806" s="34">
        <v>42172</v>
      </c>
      <c r="T1806" s="34">
        <v>42177</v>
      </c>
      <c r="U1806" s="29">
        <v>17.376000000000001</v>
      </c>
      <c r="V1806" s="26">
        <v>16</v>
      </c>
      <c r="W1806" s="29">
        <v>177.01</v>
      </c>
      <c r="X1806" s="26">
        <v>87584</v>
      </c>
      <c r="Y1806" s="35">
        <v>10.83</v>
      </c>
      <c r="Z1806" s="1" t="s">
        <v>3013</v>
      </c>
      <c r="AA1806" s="36">
        <v>5.1071999999999997</v>
      </c>
      <c r="AB1806" s="54">
        <v>76.1143</v>
      </c>
      <c r="AC1806" s="54">
        <v>6.3059812499999994</v>
      </c>
      <c r="AD1806" s="36">
        <v>149.36679999999998</v>
      </c>
    </row>
    <row r="1807" spans="1:30" s="37" customFormat="1" ht="15.75" customHeight="1" x14ac:dyDescent="0.2">
      <c r="A1807" s="26">
        <v>1193</v>
      </c>
      <c r="B1807" s="27" t="s">
        <v>1351</v>
      </c>
      <c r="C1807" s="27" t="s">
        <v>48</v>
      </c>
      <c r="D1807" s="28">
        <v>0.03</v>
      </c>
      <c r="E1807" s="29">
        <v>7.96</v>
      </c>
      <c r="F1807" s="29">
        <v>4.95</v>
      </c>
      <c r="G1807" s="30" t="s">
        <v>39</v>
      </c>
      <c r="H1807" s="27" t="s">
        <v>40</v>
      </c>
      <c r="I1807" s="27" t="s">
        <v>29</v>
      </c>
      <c r="J1807" s="27" t="s">
        <v>126</v>
      </c>
      <c r="K1807" s="27" t="s">
        <v>73</v>
      </c>
      <c r="L1807" s="31" t="s">
        <v>811</v>
      </c>
      <c r="M1807" s="32">
        <v>0.41</v>
      </c>
      <c r="N1807" s="27" t="s">
        <v>33</v>
      </c>
      <c r="O1807" s="27" t="s">
        <v>111</v>
      </c>
      <c r="P1807" s="27" t="s">
        <v>374</v>
      </c>
      <c r="Q1807" s="27" t="s">
        <v>67</v>
      </c>
      <c r="R1807" s="33">
        <v>20016</v>
      </c>
      <c r="S1807" s="34">
        <v>42172</v>
      </c>
      <c r="T1807" s="34">
        <v>42174</v>
      </c>
      <c r="U1807" s="29">
        <v>22.25</v>
      </c>
      <c r="V1807" s="26">
        <v>17</v>
      </c>
      <c r="W1807" s="29">
        <v>149.41</v>
      </c>
      <c r="X1807" s="26">
        <v>5984</v>
      </c>
      <c r="Y1807" s="35">
        <v>10.610000000000001</v>
      </c>
      <c r="Z1807" s="1" t="s">
        <v>3014</v>
      </c>
      <c r="AA1807" s="36">
        <v>4.0595999999999997</v>
      </c>
      <c r="AB1807" s="54">
        <v>88.151900000000012</v>
      </c>
      <c r="AC1807" s="54">
        <v>3.6034176470588233</v>
      </c>
      <c r="AD1807" s="36">
        <v>118.15039999999999</v>
      </c>
    </row>
    <row r="1808" spans="1:30" s="37" customFormat="1" ht="15.75" customHeight="1" x14ac:dyDescent="0.2">
      <c r="A1808" s="26">
        <v>1189</v>
      </c>
      <c r="B1808" s="27" t="s">
        <v>2899</v>
      </c>
      <c r="C1808" s="27" t="s">
        <v>48</v>
      </c>
      <c r="D1808" s="28">
        <v>0.06</v>
      </c>
      <c r="E1808" s="29">
        <v>10.89</v>
      </c>
      <c r="F1808" s="29">
        <v>4.5</v>
      </c>
      <c r="G1808" s="30" t="s">
        <v>39</v>
      </c>
      <c r="H1808" s="27" t="s">
        <v>40</v>
      </c>
      <c r="I1808" s="27" t="s">
        <v>49</v>
      </c>
      <c r="J1808" s="27" t="s">
        <v>95</v>
      </c>
      <c r="K1808" s="27" t="s">
        <v>73</v>
      </c>
      <c r="L1808" s="31" t="s">
        <v>773</v>
      </c>
      <c r="M1808" s="32">
        <v>0.59</v>
      </c>
      <c r="N1808" s="27" t="s">
        <v>33</v>
      </c>
      <c r="O1808" s="27" t="s">
        <v>60</v>
      </c>
      <c r="P1808" s="27" t="s">
        <v>90</v>
      </c>
      <c r="Q1808" s="27" t="s">
        <v>2096</v>
      </c>
      <c r="R1808" s="33">
        <v>92646</v>
      </c>
      <c r="S1808" s="34">
        <v>42172</v>
      </c>
      <c r="T1808" s="34">
        <v>42177</v>
      </c>
      <c r="U1808" s="29">
        <v>-25.111999999999998</v>
      </c>
      <c r="V1808" s="26">
        <v>14</v>
      </c>
      <c r="W1808" s="29">
        <v>149.32</v>
      </c>
      <c r="X1808" s="26">
        <v>87584</v>
      </c>
      <c r="Y1808" s="35">
        <v>7.93</v>
      </c>
      <c r="Z1808" s="1" t="s">
        <v>3013</v>
      </c>
      <c r="AA1808" s="36">
        <v>9.1476000000000006</v>
      </c>
      <c r="AB1808" s="54">
        <v>61.221200000000003</v>
      </c>
      <c r="AC1808" s="54">
        <v>6.2927714285714282</v>
      </c>
      <c r="AD1808" s="36">
        <v>160.78440000000001</v>
      </c>
    </row>
    <row r="1809" spans="1:30" s="37" customFormat="1" ht="15.75" customHeight="1" x14ac:dyDescent="0.2">
      <c r="A1809" s="26">
        <v>3098</v>
      </c>
      <c r="B1809" s="27" t="s">
        <v>1420</v>
      </c>
      <c r="C1809" s="27" t="s">
        <v>48</v>
      </c>
      <c r="D1809" s="28">
        <v>0</v>
      </c>
      <c r="E1809" s="29">
        <v>11.7</v>
      </c>
      <c r="F1809" s="29">
        <v>6.96</v>
      </c>
      <c r="G1809" s="30" t="s">
        <v>87</v>
      </c>
      <c r="H1809" s="27" t="s">
        <v>40</v>
      </c>
      <c r="I1809" s="27" t="s">
        <v>49</v>
      </c>
      <c r="J1809" s="27" t="s">
        <v>95</v>
      </c>
      <c r="K1809" s="27" t="s">
        <v>144</v>
      </c>
      <c r="L1809" s="31" t="s">
        <v>760</v>
      </c>
      <c r="M1809" s="32">
        <v>0.5</v>
      </c>
      <c r="N1809" s="27" t="s">
        <v>33</v>
      </c>
      <c r="O1809" s="27" t="s">
        <v>111</v>
      </c>
      <c r="P1809" s="27" t="s">
        <v>112</v>
      </c>
      <c r="Q1809" s="27" t="s">
        <v>1421</v>
      </c>
      <c r="R1809" s="33">
        <v>11967</v>
      </c>
      <c r="S1809" s="34">
        <v>42172</v>
      </c>
      <c r="T1809" s="34">
        <v>42174</v>
      </c>
      <c r="U1809" s="29">
        <v>-11.247999999999999</v>
      </c>
      <c r="V1809" s="26">
        <v>10</v>
      </c>
      <c r="W1809" s="29">
        <v>131.69</v>
      </c>
      <c r="X1809" s="26">
        <v>89315</v>
      </c>
      <c r="Y1809" s="35">
        <v>10.610000000000001</v>
      </c>
      <c r="Z1809" s="1" t="s">
        <v>3014</v>
      </c>
      <c r="AA1809" s="36">
        <v>0</v>
      </c>
      <c r="AB1809" s="54">
        <v>65.844999999999999</v>
      </c>
      <c r="AC1809" s="54">
        <v>6.5845000000000002</v>
      </c>
      <c r="AD1809" s="36">
        <v>135.97800000000001</v>
      </c>
    </row>
    <row r="1810" spans="1:30" s="37" customFormat="1" ht="15.75" customHeight="1" x14ac:dyDescent="0.2">
      <c r="A1810" s="26">
        <v>317</v>
      </c>
      <c r="B1810" s="27" t="s">
        <v>2900</v>
      </c>
      <c r="C1810" s="27" t="s">
        <v>3094</v>
      </c>
      <c r="D1810" s="28">
        <v>0.04</v>
      </c>
      <c r="E1810" s="29">
        <v>5.98</v>
      </c>
      <c r="F1810" s="29">
        <v>5.15</v>
      </c>
      <c r="G1810" s="30" t="s">
        <v>39</v>
      </c>
      <c r="H1810" s="27" t="s">
        <v>94</v>
      </c>
      <c r="I1810" s="27" t="s">
        <v>49</v>
      </c>
      <c r="J1810" s="27" t="s">
        <v>88</v>
      </c>
      <c r="K1810" s="27" t="s">
        <v>73</v>
      </c>
      <c r="L1810" s="31" t="s">
        <v>2468</v>
      </c>
      <c r="M1810" s="32">
        <v>0.36</v>
      </c>
      <c r="N1810" s="27" t="s">
        <v>33</v>
      </c>
      <c r="O1810" s="27" t="s">
        <v>60</v>
      </c>
      <c r="P1810" s="27" t="s">
        <v>90</v>
      </c>
      <c r="Q1810" s="27" t="s">
        <v>2901</v>
      </c>
      <c r="R1810" s="33">
        <v>91945</v>
      </c>
      <c r="S1810" s="34">
        <v>42172</v>
      </c>
      <c r="T1810" s="34">
        <v>42173</v>
      </c>
      <c r="U1810" s="29">
        <v>-52.344000000000001</v>
      </c>
      <c r="V1810" s="26">
        <v>17</v>
      </c>
      <c r="W1810" s="29">
        <v>103.49</v>
      </c>
      <c r="X1810" s="26">
        <v>86041</v>
      </c>
      <c r="Y1810" s="35">
        <v>7.93</v>
      </c>
      <c r="Z1810" s="1" t="s">
        <v>3013</v>
      </c>
      <c r="AA1810" s="36">
        <v>4.0664000000000007</v>
      </c>
      <c r="AB1810" s="54">
        <v>66.233599999999996</v>
      </c>
      <c r="AC1810" s="54">
        <v>2.1915529411764703</v>
      </c>
      <c r="AD1810" s="36">
        <v>146.61759999999998</v>
      </c>
    </row>
    <row r="1811" spans="1:30" s="37" customFormat="1" ht="15.75" customHeight="1" x14ac:dyDescent="0.2">
      <c r="A1811" s="26">
        <v>317</v>
      </c>
      <c r="B1811" s="27" t="s">
        <v>2900</v>
      </c>
      <c r="C1811" s="27" t="s">
        <v>3094</v>
      </c>
      <c r="D1811" s="28">
        <v>0.09</v>
      </c>
      <c r="E1811" s="29">
        <v>7.38</v>
      </c>
      <c r="F1811" s="29">
        <v>5.21</v>
      </c>
      <c r="G1811" s="30" t="s">
        <v>39</v>
      </c>
      <c r="H1811" s="27" t="s">
        <v>94</v>
      </c>
      <c r="I1811" s="27" t="s">
        <v>29</v>
      </c>
      <c r="J1811" s="27" t="s">
        <v>126</v>
      </c>
      <c r="K1811" s="27" t="s">
        <v>73</v>
      </c>
      <c r="L1811" s="31" t="s">
        <v>1917</v>
      </c>
      <c r="M1811" s="32">
        <v>0.56000000000000005</v>
      </c>
      <c r="N1811" s="27" t="s">
        <v>33</v>
      </c>
      <c r="O1811" s="27" t="s">
        <v>60</v>
      </c>
      <c r="P1811" s="27" t="s">
        <v>90</v>
      </c>
      <c r="Q1811" s="27" t="s">
        <v>2901</v>
      </c>
      <c r="R1811" s="33">
        <v>91945</v>
      </c>
      <c r="S1811" s="34">
        <v>42172</v>
      </c>
      <c r="T1811" s="34">
        <v>42173</v>
      </c>
      <c r="U1811" s="29">
        <v>-27.16</v>
      </c>
      <c r="V1811" s="26">
        <v>9</v>
      </c>
      <c r="W1811" s="29">
        <v>66.55</v>
      </c>
      <c r="X1811" s="26">
        <v>86041</v>
      </c>
      <c r="Y1811" s="35">
        <v>11.7</v>
      </c>
      <c r="Z1811" s="1" t="s">
        <v>3013</v>
      </c>
      <c r="AA1811" s="36">
        <v>5.9778000000000002</v>
      </c>
      <c r="AB1811" s="54">
        <v>29.281999999999996</v>
      </c>
      <c r="AC1811" s="54">
        <v>4.1408888888888891</v>
      </c>
      <c r="AD1811" s="36">
        <v>82.522199999999998</v>
      </c>
    </row>
    <row r="1812" spans="1:30" s="37" customFormat="1" ht="15.75" customHeight="1" x14ac:dyDescent="0.2">
      <c r="A1812" s="26">
        <v>286</v>
      </c>
      <c r="B1812" s="27" t="s">
        <v>2893</v>
      </c>
      <c r="C1812" s="27" t="s">
        <v>48</v>
      </c>
      <c r="D1812" s="28">
        <v>0</v>
      </c>
      <c r="E1812" s="29">
        <v>4.13</v>
      </c>
      <c r="F1812" s="29">
        <v>5.34</v>
      </c>
      <c r="G1812" s="30" t="s">
        <v>39</v>
      </c>
      <c r="H1812" s="27" t="s">
        <v>3095</v>
      </c>
      <c r="I1812" s="27" t="s">
        <v>49</v>
      </c>
      <c r="J1812" s="27" t="s">
        <v>72</v>
      </c>
      <c r="K1812" s="27" t="s">
        <v>73</v>
      </c>
      <c r="L1812" s="31" t="s">
        <v>2894</v>
      </c>
      <c r="M1812" s="32">
        <v>0.38</v>
      </c>
      <c r="N1812" s="27" t="s">
        <v>33</v>
      </c>
      <c r="O1812" s="27" t="s">
        <v>53</v>
      </c>
      <c r="P1812" s="27" t="s">
        <v>537</v>
      </c>
      <c r="Q1812" s="27" t="s">
        <v>2895</v>
      </c>
      <c r="R1812" s="33">
        <v>66203</v>
      </c>
      <c r="S1812" s="34">
        <v>42172</v>
      </c>
      <c r="T1812" s="34">
        <v>42176</v>
      </c>
      <c r="U1812" s="29">
        <v>-61.87</v>
      </c>
      <c r="V1812" s="26">
        <v>9</v>
      </c>
      <c r="W1812" s="29">
        <v>40.950000000000003</v>
      </c>
      <c r="X1812" s="26">
        <v>89761</v>
      </c>
      <c r="Y1812" s="35">
        <v>2.5100000000000002</v>
      </c>
      <c r="Z1812" s="1" t="s">
        <v>3012</v>
      </c>
      <c r="AA1812" s="36">
        <v>0</v>
      </c>
      <c r="AB1812" s="54">
        <v>25.389000000000003</v>
      </c>
      <c r="AC1812" s="54">
        <v>1.7290000000000003</v>
      </c>
      <c r="AD1812" s="36">
        <v>97.48</v>
      </c>
    </row>
    <row r="1813" spans="1:30" s="37" customFormat="1" ht="15.75" customHeight="1" x14ac:dyDescent="0.2">
      <c r="A1813" s="26">
        <v>1189</v>
      </c>
      <c r="B1813" s="27" t="s">
        <v>2899</v>
      </c>
      <c r="C1813" s="27" t="s">
        <v>48</v>
      </c>
      <c r="D1813" s="28">
        <v>0.03</v>
      </c>
      <c r="E1813" s="29">
        <v>7.96</v>
      </c>
      <c r="F1813" s="29">
        <v>4.95</v>
      </c>
      <c r="G1813" s="30" t="s">
        <v>39</v>
      </c>
      <c r="H1813" s="27" t="s">
        <v>40</v>
      </c>
      <c r="I1813" s="27" t="s">
        <v>29</v>
      </c>
      <c r="J1813" s="27" t="s">
        <v>126</v>
      </c>
      <c r="K1813" s="27" t="s">
        <v>73</v>
      </c>
      <c r="L1813" s="31" t="s">
        <v>811</v>
      </c>
      <c r="M1813" s="32">
        <v>0.41</v>
      </c>
      <c r="N1813" s="27" t="s">
        <v>33</v>
      </c>
      <c r="O1813" s="27" t="s">
        <v>60</v>
      </c>
      <c r="P1813" s="27" t="s">
        <v>90</v>
      </c>
      <c r="Q1813" s="27" t="s">
        <v>2096</v>
      </c>
      <c r="R1813" s="33">
        <v>92646</v>
      </c>
      <c r="S1813" s="34">
        <v>42172</v>
      </c>
      <c r="T1813" s="34">
        <v>42174</v>
      </c>
      <c r="U1813" s="29">
        <v>24.260400000000001</v>
      </c>
      <c r="V1813" s="26">
        <v>4</v>
      </c>
      <c r="W1813" s="29">
        <v>35.159999999999997</v>
      </c>
      <c r="X1813" s="26">
        <v>87584</v>
      </c>
      <c r="Y1813" s="35">
        <v>7.29</v>
      </c>
      <c r="Z1813" s="1" t="s">
        <v>3013</v>
      </c>
      <c r="AA1813" s="36">
        <v>0.95519999999999994</v>
      </c>
      <c r="AB1813" s="54">
        <v>20.744400000000002</v>
      </c>
      <c r="AC1813" s="54">
        <v>3.6038999999999994</v>
      </c>
      <c r="AD1813" s="36">
        <v>4.9943999999999953</v>
      </c>
    </row>
    <row r="1814" spans="1:30" s="37" customFormat="1" ht="15.75" customHeight="1" x14ac:dyDescent="0.2">
      <c r="A1814" s="26">
        <v>907</v>
      </c>
      <c r="B1814" s="27" t="s">
        <v>1371</v>
      </c>
      <c r="C1814" s="27" t="s">
        <v>116</v>
      </c>
      <c r="D1814" s="28">
        <v>0.09</v>
      </c>
      <c r="E1814" s="29">
        <v>2.6</v>
      </c>
      <c r="F1814" s="29">
        <v>2.4</v>
      </c>
      <c r="G1814" s="30" t="s">
        <v>39</v>
      </c>
      <c r="H1814" s="27" t="s">
        <v>71</v>
      </c>
      <c r="I1814" s="27" t="s">
        <v>49</v>
      </c>
      <c r="J1814" s="27" t="s">
        <v>50</v>
      </c>
      <c r="K1814" s="27" t="s">
        <v>51</v>
      </c>
      <c r="L1814" s="31" t="s">
        <v>356</v>
      </c>
      <c r="M1814" s="32">
        <v>0.57999999999999996</v>
      </c>
      <c r="N1814" s="27" t="s">
        <v>33</v>
      </c>
      <c r="O1814" s="27" t="s">
        <v>34</v>
      </c>
      <c r="P1814" s="27" t="s">
        <v>388</v>
      </c>
      <c r="Q1814" s="27" t="s">
        <v>466</v>
      </c>
      <c r="R1814" s="33">
        <v>42420</v>
      </c>
      <c r="S1814" s="34">
        <v>42172</v>
      </c>
      <c r="T1814" s="34">
        <v>42174</v>
      </c>
      <c r="U1814" s="29">
        <v>1107.4079999999999</v>
      </c>
      <c r="V1814" s="26">
        <v>12</v>
      </c>
      <c r="W1814" s="29">
        <v>31.73</v>
      </c>
      <c r="X1814" s="26">
        <v>86460</v>
      </c>
      <c r="Y1814" s="35">
        <v>5.94</v>
      </c>
      <c r="Z1814" s="1" t="s">
        <v>3011</v>
      </c>
      <c r="AA1814" s="36">
        <v>2.8079999999999998</v>
      </c>
      <c r="AB1814" s="54">
        <v>13.326600000000001</v>
      </c>
      <c r="AC1814" s="54">
        <v>1.5336166666666664</v>
      </c>
      <c r="AD1814" s="36">
        <v>-1080.886</v>
      </c>
    </row>
    <row r="1815" spans="1:30" s="37" customFormat="1" ht="15.75" customHeight="1" x14ac:dyDescent="0.2">
      <c r="A1815" s="26">
        <v>283</v>
      </c>
      <c r="B1815" s="27" t="s">
        <v>2892</v>
      </c>
      <c r="C1815" s="27" t="s">
        <v>38</v>
      </c>
      <c r="D1815" s="28">
        <v>0.1</v>
      </c>
      <c r="E1815" s="29">
        <v>1.68</v>
      </c>
      <c r="F1815" s="29">
        <v>1.57</v>
      </c>
      <c r="G1815" s="30" t="s">
        <v>39</v>
      </c>
      <c r="H1815" s="27" t="s">
        <v>94</v>
      </c>
      <c r="I1815" s="27" t="s">
        <v>49</v>
      </c>
      <c r="J1815" s="27" t="s">
        <v>50</v>
      </c>
      <c r="K1815" s="27" t="s">
        <v>51</v>
      </c>
      <c r="L1815" s="31" t="s">
        <v>574</v>
      </c>
      <c r="M1815" s="32">
        <v>0.59</v>
      </c>
      <c r="N1815" s="27" t="s">
        <v>33</v>
      </c>
      <c r="O1815" s="27" t="s">
        <v>111</v>
      </c>
      <c r="P1815" s="27" t="s">
        <v>397</v>
      </c>
      <c r="Q1815" s="27" t="s">
        <v>2725</v>
      </c>
      <c r="R1815" s="33">
        <v>7101</v>
      </c>
      <c r="S1815" s="34">
        <v>42172</v>
      </c>
      <c r="T1815" s="34">
        <v>42173</v>
      </c>
      <c r="U1815" s="29">
        <v>-11.57</v>
      </c>
      <c r="V1815" s="26">
        <v>11</v>
      </c>
      <c r="W1815" s="29">
        <v>18.71</v>
      </c>
      <c r="X1815" s="26">
        <v>89293</v>
      </c>
      <c r="Y1815" s="35">
        <v>15.38</v>
      </c>
      <c r="Z1815" s="1" t="s">
        <v>3014</v>
      </c>
      <c r="AA1815" s="36">
        <v>1.8480000000000001</v>
      </c>
      <c r="AB1815" s="54">
        <v>7.6711000000000009</v>
      </c>
      <c r="AC1815" s="54">
        <v>1.0035363636363637</v>
      </c>
      <c r="AD1815" s="36">
        <v>26.862000000000002</v>
      </c>
    </row>
    <row r="1816" spans="1:30" s="37" customFormat="1" ht="15.75" customHeight="1" x14ac:dyDescent="0.2">
      <c r="A1816" s="26">
        <v>553</v>
      </c>
      <c r="B1816" s="27" t="s">
        <v>851</v>
      </c>
      <c r="C1816" s="27" t="s">
        <v>116</v>
      </c>
      <c r="D1816" s="28">
        <v>0.08</v>
      </c>
      <c r="E1816" s="29">
        <v>124.49</v>
      </c>
      <c r="F1816" s="29">
        <v>51.94</v>
      </c>
      <c r="G1816" s="30" t="s">
        <v>27</v>
      </c>
      <c r="H1816" s="27" t="s">
        <v>94</v>
      </c>
      <c r="I1816" s="27" t="s">
        <v>29</v>
      </c>
      <c r="J1816" s="27" t="s">
        <v>30</v>
      </c>
      <c r="K1816" s="27" t="s">
        <v>31</v>
      </c>
      <c r="L1816" s="31" t="s">
        <v>1149</v>
      </c>
      <c r="M1816" s="32">
        <v>0.63</v>
      </c>
      <c r="N1816" s="27" t="s">
        <v>33</v>
      </c>
      <c r="O1816" s="27" t="s">
        <v>60</v>
      </c>
      <c r="P1816" s="27" t="s">
        <v>90</v>
      </c>
      <c r="Q1816" s="27" t="s">
        <v>100</v>
      </c>
      <c r="R1816" s="33">
        <v>90008</v>
      </c>
      <c r="S1816" s="34">
        <v>42173</v>
      </c>
      <c r="T1816" s="34">
        <v>42174</v>
      </c>
      <c r="U1816" s="29">
        <v>-500.38</v>
      </c>
      <c r="V1816" s="26">
        <v>56</v>
      </c>
      <c r="W1816" s="29">
        <v>6831.37</v>
      </c>
      <c r="X1816" s="26">
        <v>359</v>
      </c>
      <c r="Y1816" s="35">
        <v>15.940000000000001</v>
      </c>
      <c r="Z1816" s="1" t="s">
        <v>3013</v>
      </c>
      <c r="AA1816" s="36">
        <v>557.71519999999998</v>
      </c>
      <c r="AB1816" s="54">
        <v>2527.6068999999998</v>
      </c>
      <c r="AC1816" s="54">
        <v>76.852912500000002</v>
      </c>
      <c r="AD1816" s="36">
        <v>6722.0947999999999</v>
      </c>
    </row>
    <row r="1817" spans="1:30" s="37" customFormat="1" ht="15.75" customHeight="1" x14ac:dyDescent="0.2">
      <c r="A1817" s="26">
        <v>555</v>
      </c>
      <c r="B1817" s="27" t="s">
        <v>1300</v>
      </c>
      <c r="C1817" s="27" t="s">
        <v>116</v>
      </c>
      <c r="D1817" s="28">
        <v>0.08</v>
      </c>
      <c r="E1817" s="29">
        <v>124.49</v>
      </c>
      <c r="F1817" s="29">
        <v>51.94</v>
      </c>
      <c r="G1817" s="30" t="s">
        <v>27</v>
      </c>
      <c r="H1817" s="27" t="s">
        <v>94</v>
      </c>
      <c r="I1817" s="27" t="s">
        <v>29</v>
      </c>
      <c r="J1817" s="27" t="s">
        <v>30</v>
      </c>
      <c r="K1817" s="27" t="s">
        <v>31</v>
      </c>
      <c r="L1817" s="31" t="s">
        <v>1149</v>
      </c>
      <c r="M1817" s="32">
        <v>0.63</v>
      </c>
      <c r="N1817" s="27" t="s">
        <v>33</v>
      </c>
      <c r="O1817" s="27" t="s">
        <v>60</v>
      </c>
      <c r="P1817" s="27" t="s">
        <v>146</v>
      </c>
      <c r="Q1817" s="27" t="s">
        <v>1301</v>
      </c>
      <c r="R1817" s="33">
        <v>84062</v>
      </c>
      <c r="S1817" s="34">
        <v>42173</v>
      </c>
      <c r="T1817" s="34">
        <v>42174</v>
      </c>
      <c r="U1817" s="29">
        <v>-250.19</v>
      </c>
      <c r="V1817" s="26">
        <v>14</v>
      </c>
      <c r="W1817" s="29">
        <v>1707.84</v>
      </c>
      <c r="X1817" s="26">
        <v>86192</v>
      </c>
      <c r="Y1817" s="35">
        <v>22.78</v>
      </c>
      <c r="Z1817" s="1" t="s">
        <v>3013</v>
      </c>
      <c r="AA1817" s="36">
        <v>139.4288</v>
      </c>
      <c r="AB1817" s="54">
        <v>631.9008</v>
      </c>
      <c r="AC1817" s="54">
        <v>76.852799999999988</v>
      </c>
      <c r="AD1817" s="36">
        <v>1766.6612</v>
      </c>
    </row>
    <row r="1818" spans="1:30" s="37" customFormat="1" ht="15.75" customHeight="1" x14ac:dyDescent="0.2">
      <c r="A1818" s="26">
        <v>152</v>
      </c>
      <c r="B1818" s="27" t="s">
        <v>505</v>
      </c>
      <c r="C1818" s="27" t="s">
        <v>48</v>
      </c>
      <c r="D1818" s="28">
        <v>0.1</v>
      </c>
      <c r="E1818" s="29">
        <v>39.979999999999997</v>
      </c>
      <c r="F1818" s="29">
        <v>4</v>
      </c>
      <c r="G1818" s="30" t="s">
        <v>39</v>
      </c>
      <c r="H1818" s="27" t="s">
        <v>3095</v>
      </c>
      <c r="I1818" s="27" t="s">
        <v>41</v>
      </c>
      <c r="J1818" s="27" t="s">
        <v>42</v>
      </c>
      <c r="K1818" s="27" t="s">
        <v>73</v>
      </c>
      <c r="L1818" s="31" t="s">
        <v>1927</v>
      </c>
      <c r="M1818" s="32">
        <v>0.7</v>
      </c>
      <c r="N1818" s="27" t="s">
        <v>33</v>
      </c>
      <c r="O1818" s="27" t="s">
        <v>34</v>
      </c>
      <c r="P1818" s="27" t="s">
        <v>400</v>
      </c>
      <c r="Q1818" s="27" t="s">
        <v>507</v>
      </c>
      <c r="R1818" s="33">
        <v>37918</v>
      </c>
      <c r="S1818" s="34">
        <v>42173</v>
      </c>
      <c r="T1818" s="34">
        <v>42177</v>
      </c>
      <c r="U1818" s="29">
        <v>360.24</v>
      </c>
      <c r="V1818" s="26">
        <v>21</v>
      </c>
      <c r="W1818" s="29">
        <v>772.56</v>
      </c>
      <c r="X1818" s="26">
        <v>89525</v>
      </c>
      <c r="Y1818" s="35">
        <v>39.879999999999995</v>
      </c>
      <c r="Z1818" s="1" t="s">
        <v>3011</v>
      </c>
      <c r="AA1818" s="36">
        <v>83.957999999999998</v>
      </c>
      <c r="AB1818" s="54">
        <v>231.76800000000003</v>
      </c>
      <c r="AC1818" s="54">
        <v>25.751999999999995</v>
      </c>
      <c r="AD1818" s="36">
        <v>324.36199999999997</v>
      </c>
    </row>
    <row r="1819" spans="1:30" s="37" customFormat="1" ht="15.75" customHeight="1" x14ac:dyDescent="0.2">
      <c r="A1819" s="26">
        <v>395</v>
      </c>
      <c r="B1819" s="27" t="s">
        <v>2902</v>
      </c>
      <c r="C1819" s="27" t="s">
        <v>26</v>
      </c>
      <c r="D1819" s="28">
        <v>0.06</v>
      </c>
      <c r="E1819" s="29">
        <v>22.84</v>
      </c>
      <c r="F1819" s="29">
        <v>5.47</v>
      </c>
      <c r="G1819" s="30" t="s">
        <v>39</v>
      </c>
      <c r="H1819" s="27" t="s">
        <v>94</v>
      </c>
      <c r="I1819" s="27" t="s">
        <v>49</v>
      </c>
      <c r="J1819" s="27" t="s">
        <v>88</v>
      </c>
      <c r="K1819" s="27" t="s">
        <v>73</v>
      </c>
      <c r="L1819" s="31" t="s">
        <v>2904</v>
      </c>
      <c r="M1819" s="32">
        <v>0.39</v>
      </c>
      <c r="N1819" s="27" t="s">
        <v>33</v>
      </c>
      <c r="O1819" s="27" t="s">
        <v>34</v>
      </c>
      <c r="P1819" s="27" t="s">
        <v>97</v>
      </c>
      <c r="Q1819" s="27" t="s">
        <v>2903</v>
      </c>
      <c r="R1819" s="33">
        <v>28001</v>
      </c>
      <c r="S1819" s="34">
        <v>42173</v>
      </c>
      <c r="T1819" s="34">
        <v>42175</v>
      </c>
      <c r="U1819" s="29">
        <v>7.44</v>
      </c>
      <c r="V1819" s="26">
        <v>20</v>
      </c>
      <c r="W1819" s="29">
        <v>461.94</v>
      </c>
      <c r="X1819" s="26">
        <v>86384</v>
      </c>
      <c r="Y1819" s="35">
        <v>30.89</v>
      </c>
      <c r="Z1819" s="1" t="s">
        <v>3011</v>
      </c>
      <c r="AA1819" s="36">
        <v>27.407999999999998</v>
      </c>
      <c r="AB1819" s="54">
        <v>281.78339999999997</v>
      </c>
      <c r="AC1819" s="54">
        <v>9.0078300000000002</v>
      </c>
      <c r="AD1819" s="36">
        <v>421.62200000000001</v>
      </c>
    </row>
    <row r="1820" spans="1:30" s="37" customFormat="1" ht="15.75" customHeight="1" x14ac:dyDescent="0.2">
      <c r="A1820" s="26">
        <v>1958</v>
      </c>
      <c r="B1820" s="27" t="s">
        <v>2905</v>
      </c>
      <c r="C1820" s="27" t="s">
        <v>48</v>
      </c>
      <c r="D1820" s="28">
        <v>0.09</v>
      </c>
      <c r="E1820" s="29">
        <v>30.98</v>
      </c>
      <c r="F1820" s="29">
        <v>6.5</v>
      </c>
      <c r="G1820" s="30" t="s">
        <v>87</v>
      </c>
      <c r="H1820" s="27" t="s">
        <v>40</v>
      </c>
      <c r="I1820" s="27" t="s">
        <v>41</v>
      </c>
      <c r="J1820" s="27" t="s">
        <v>42</v>
      </c>
      <c r="K1820" s="27" t="s">
        <v>73</v>
      </c>
      <c r="L1820" s="31" t="s">
        <v>2521</v>
      </c>
      <c r="M1820" s="32">
        <v>0.64</v>
      </c>
      <c r="N1820" s="27" t="s">
        <v>33</v>
      </c>
      <c r="O1820" s="27" t="s">
        <v>60</v>
      </c>
      <c r="P1820" s="27" t="s">
        <v>139</v>
      </c>
      <c r="Q1820" s="27" t="s">
        <v>1728</v>
      </c>
      <c r="R1820" s="33">
        <v>97068</v>
      </c>
      <c r="S1820" s="34">
        <v>42173</v>
      </c>
      <c r="T1820" s="34">
        <v>42177</v>
      </c>
      <c r="U1820" s="29">
        <v>-55.97</v>
      </c>
      <c r="V1820" s="26">
        <v>7</v>
      </c>
      <c r="W1820" s="29">
        <v>204.34</v>
      </c>
      <c r="X1820" s="26">
        <v>89819</v>
      </c>
      <c r="Y1820" s="35">
        <v>12.13</v>
      </c>
      <c r="Z1820" s="1" t="s">
        <v>3013</v>
      </c>
      <c r="AA1820" s="36">
        <v>19.517399999999999</v>
      </c>
      <c r="AB1820" s="54">
        <v>73.562399999999997</v>
      </c>
      <c r="AC1820" s="54">
        <v>18.682514285714287</v>
      </c>
      <c r="AD1820" s="36">
        <v>234.29259999999999</v>
      </c>
    </row>
    <row r="1821" spans="1:30" s="37" customFormat="1" ht="15.75" customHeight="1" x14ac:dyDescent="0.2">
      <c r="A1821" s="26">
        <v>2954</v>
      </c>
      <c r="B1821" s="27" t="s">
        <v>2906</v>
      </c>
      <c r="C1821" s="27" t="s">
        <v>48</v>
      </c>
      <c r="D1821" s="28">
        <v>0.09</v>
      </c>
      <c r="E1821" s="29">
        <v>12.22</v>
      </c>
      <c r="F1821" s="29">
        <v>2.85</v>
      </c>
      <c r="G1821" s="30" t="s">
        <v>39</v>
      </c>
      <c r="H1821" s="27" t="s">
        <v>40</v>
      </c>
      <c r="I1821" s="27" t="s">
        <v>29</v>
      </c>
      <c r="J1821" s="27" t="s">
        <v>126</v>
      </c>
      <c r="K1821" s="27" t="s">
        <v>43</v>
      </c>
      <c r="L1821" s="31" t="s">
        <v>2086</v>
      </c>
      <c r="M1821" s="32">
        <v>0.55000000000000004</v>
      </c>
      <c r="N1821" s="27" t="s">
        <v>33</v>
      </c>
      <c r="O1821" s="27" t="s">
        <v>53</v>
      </c>
      <c r="P1821" s="27" t="s">
        <v>84</v>
      </c>
      <c r="Q1821" s="27" t="s">
        <v>2907</v>
      </c>
      <c r="R1821" s="33">
        <v>55119</v>
      </c>
      <c r="S1821" s="34">
        <v>42173</v>
      </c>
      <c r="T1821" s="34">
        <v>42180</v>
      </c>
      <c r="U1821" s="29">
        <v>70.676699999999997</v>
      </c>
      <c r="V1821" s="26">
        <v>9</v>
      </c>
      <c r="W1821" s="29">
        <v>102.43</v>
      </c>
      <c r="X1821" s="26">
        <v>86427</v>
      </c>
      <c r="Y1821" s="35">
        <v>124.41</v>
      </c>
      <c r="Z1821" s="1" t="s">
        <v>3012</v>
      </c>
      <c r="AA1821" s="36">
        <v>9.898200000000001</v>
      </c>
      <c r="AB1821" s="54">
        <v>46.093499999999999</v>
      </c>
      <c r="AC1821" s="54">
        <v>6.2596111111111119</v>
      </c>
      <c r="AD1821" s="36">
        <v>19.005100000000013</v>
      </c>
    </row>
    <row r="1822" spans="1:30" s="37" customFormat="1" ht="15.75" customHeight="1" x14ac:dyDescent="0.2">
      <c r="A1822" s="26">
        <v>395</v>
      </c>
      <c r="B1822" s="27" t="s">
        <v>2902</v>
      </c>
      <c r="C1822" s="27" t="s">
        <v>26</v>
      </c>
      <c r="D1822" s="28">
        <v>0.04</v>
      </c>
      <c r="E1822" s="29">
        <v>15.98</v>
      </c>
      <c r="F1822" s="29">
        <v>4</v>
      </c>
      <c r="G1822" s="30" t="s">
        <v>39</v>
      </c>
      <c r="H1822" s="27" t="s">
        <v>94</v>
      </c>
      <c r="I1822" s="27" t="s">
        <v>41</v>
      </c>
      <c r="J1822" s="27" t="s">
        <v>42</v>
      </c>
      <c r="K1822" s="27" t="s">
        <v>73</v>
      </c>
      <c r="L1822" s="31" t="s">
        <v>1882</v>
      </c>
      <c r="M1822" s="32">
        <v>0.37</v>
      </c>
      <c r="N1822" s="27" t="s">
        <v>33</v>
      </c>
      <c r="O1822" s="27" t="s">
        <v>34</v>
      </c>
      <c r="P1822" s="27" t="s">
        <v>97</v>
      </c>
      <c r="Q1822" s="27" t="s">
        <v>2903</v>
      </c>
      <c r="R1822" s="33">
        <v>28001</v>
      </c>
      <c r="S1822" s="34">
        <v>42173</v>
      </c>
      <c r="T1822" s="34">
        <v>42174</v>
      </c>
      <c r="U1822" s="29">
        <v>-19.207999999999998</v>
      </c>
      <c r="V1822" s="26">
        <v>4</v>
      </c>
      <c r="W1822" s="29">
        <v>64.59</v>
      </c>
      <c r="X1822" s="26">
        <v>86384</v>
      </c>
      <c r="Y1822" s="35">
        <v>124.41</v>
      </c>
      <c r="Z1822" s="1" t="s">
        <v>3011</v>
      </c>
      <c r="AA1822" s="36">
        <v>2.5568</v>
      </c>
      <c r="AB1822" s="54">
        <v>40.691700000000004</v>
      </c>
      <c r="AC1822" s="54">
        <v>5.9745750000000006</v>
      </c>
      <c r="AD1822" s="36">
        <v>77.241200000000006</v>
      </c>
    </row>
    <row r="1823" spans="1:30" s="37" customFormat="1" ht="15.75" customHeight="1" x14ac:dyDescent="0.2">
      <c r="A1823" s="26">
        <v>2016</v>
      </c>
      <c r="B1823" s="27" t="s">
        <v>2908</v>
      </c>
      <c r="C1823" s="27" t="s">
        <v>116</v>
      </c>
      <c r="D1823" s="28">
        <v>0.1</v>
      </c>
      <c r="E1823" s="29">
        <v>10.48</v>
      </c>
      <c r="F1823" s="29">
        <v>2.89</v>
      </c>
      <c r="G1823" s="30" t="s">
        <v>39</v>
      </c>
      <c r="H1823" s="27" t="s">
        <v>94</v>
      </c>
      <c r="I1823" s="27" t="s">
        <v>49</v>
      </c>
      <c r="J1823" s="27" t="s">
        <v>50</v>
      </c>
      <c r="K1823" s="27" t="s">
        <v>43</v>
      </c>
      <c r="L1823" s="31" t="s">
        <v>996</v>
      </c>
      <c r="M1823" s="32">
        <v>0.6</v>
      </c>
      <c r="N1823" s="27" t="s">
        <v>33</v>
      </c>
      <c r="O1823" s="27" t="s">
        <v>53</v>
      </c>
      <c r="P1823" s="27" t="s">
        <v>289</v>
      </c>
      <c r="Q1823" s="27" t="s">
        <v>290</v>
      </c>
      <c r="R1823" s="33">
        <v>48195</v>
      </c>
      <c r="S1823" s="34">
        <v>42173</v>
      </c>
      <c r="T1823" s="34">
        <v>42174</v>
      </c>
      <c r="U1823" s="29">
        <v>-8.9039999999999999</v>
      </c>
      <c r="V1823" s="26">
        <v>4</v>
      </c>
      <c r="W1823" s="29">
        <v>40.29</v>
      </c>
      <c r="X1823" s="26">
        <v>86874</v>
      </c>
      <c r="Y1823" s="35">
        <v>10.38</v>
      </c>
      <c r="Z1823" s="1" t="s">
        <v>3012</v>
      </c>
      <c r="AA1823" s="36">
        <v>4.1920000000000002</v>
      </c>
      <c r="AB1823" s="54">
        <v>16.116</v>
      </c>
      <c r="AC1823" s="54">
        <v>6.0434999999999999</v>
      </c>
      <c r="AD1823" s="36">
        <v>42.111999999999995</v>
      </c>
    </row>
    <row r="1824" spans="1:30" s="37" customFormat="1" ht="15.75" customHeight="1" x14ac:dyDescent="0.2">
      <c r="A1824" s="26">
        <v>1009</v>
      </c>
      <c r="B1824" s="27" t="s">
        <v>2910</v>
      </c>
      <c r="C1824" s="27" t="s">
        <v>38</v>
      </c>
      <c r="D1824" s="28">
        <v>0.1</v>
      </c>
      <c r="E1824" s="29">
        <v>550.98</v>
      </c>
      <c r="F1824" s="29">
        <v>45.7</v>
      </c>
      <c r="G1824" s="30" t="s">
        <v>27</v>
      </c>
      <c r="H1824" s="27" t="s">
        <v>94</v>
      </c>
      <c r="I1824" s="27" t="s">
        <v>29</v>
      </c>
      <c r="J1824" s="27" t="s">
        <v>30</v>
      </c>
      <c r="K1824" s="27" t="s">
        <v>31</v>
      </c>
      <c r="L1824" s="31" t="s">
        <v>2911</v>
      </c>
      <c r="M1824" s="32">
        <v>0.71</v>
      </c>
      <c r="N1824" s="27" t="s">
        <v>33</v>
      </c>
      <c r="O1824" s="27" t="s">
        <v>111</v>
      </c>
      <c r="P1824" s="27" t="s">
        <v>331</v>
      </c>
      <c r="Q1824" s="27" t="s">
        <v>2912</v>
      </c>
      <c r="R1824" s="33">
        <v>4072</v>
      </c>
      <c r="S1824" s="34">
        <v>42174</v>
      </c>
      <c r="T1824" s="34">
        <v>42176</v>
      </c>
      <c r="U1824" s="29">
        <v>818.54617499999995</v>
      </c>
      <c r="V1824" s="26">
        <v>14</v>
      </c>
      <c r="W1824" s="29">
        <v>6963.67</v>
      </c>
      <c r="X1824" s="26">
        <v>88372</v>
      </c>
      <c r="Y1824" s="35">
        <v>39.44</v>
      </c>
      <c r="Z1824" s="1" t="s">
        <v>3014</v>
      </c>
      <c r="AA1824" s="36">
        <v>771.37200000000007</v>
      </c>
      <c r="AB1824" s="54">
        <v>2019.4643000000003</v>
      </c>
      <c r="AC1824" s="54">
        <v>353.15755000000001</v>
      </c>
      <c r="AD1824" s="36">
        <v>5328.0518250000005</v>
      </c>
    </row>
    <row r="1825" spans="1:30" s="37" customFormat="1" ht="15.75" customHeight="1" x14ac:dyDescent="0.2">
      <c r="A1825" s="26">
        <v>3167</v>
      </c>
      <c r="B1825" s="27" t="s">
        <v>2916</v>
      </c>
      <c r="C1825" s="27" t="s">
        <v>3094</v>
      </c>
      <c r="D1825" s="28">
        <v>7.0000000000000007E-2</v>
      </c>
      <c r="E1825" s="29">
        <v>280.98</v>
      </c>
      <c r="F1825" s="29">
        <v>57</v>
      </c>
      <c r="G1825" s="30" t="s">
        <v>27</v>
      </c>
      <c r="H1825" s="27" t="s">
        <v>94</v>
      </c>
      <c r="I1825" s="27" t="s">
        <v>29</v>
      </c>
      <c r="J1825" s="27" t="s">
        <v>109</v>
      </c>
      <c r="K1825" s="27" t="s">
        <v>58</v>
      </c>
      <c r="L1825" s="31" t="s">
        <v>862</v>
      </c>
      <c r="M1825" s="32">
        <v>0.78</v>
      </c>
      <c r="N1825" s="27" t="s">
        <v>33</v>
      </c>
      <c r="O1825" s="27" t="s">
        <v>34</v>
      </c>
      <c r="P1825" s="27" t="s">
        <v>123</v>
      </c>
      <c r="Q1825" s="27" t="s">
        <v>2917</v>
      </c>
      <c r="R1825" s="33">
        <v>32004</v>
      </c>
      <c r="S1825" s="34">
        <v>42174</v>
      </c>
      <c r="T1825" s="34">
        <v>42175</v>
      </c>
      <c r="U1825" s="29">
        <v>-283.9914</v>
      </c>
      <c r="V1825" s="26">
        <v>14</v>
      </c>
      <c r="W1825" s="29">
        <v>3936.61</v>
      </c>
      <c r="X1825" s="26">
        <v>86491</v>
      </c>
      <c r="Y1825" s="35">
        <v>3.66</v>
      </c>
      <c r="Z1825" s="1" t="s">
        <v>3011</v>
      </c>
      <c r="AA1825" s="36">
        <v>275.36040000000003</v>
      </c>
      <c r="AB1825" s="54">
        <v>866.05419999999992</v>
      </c>
      <c r="AC1825" s="54">
        <v>219.32541428571429</v>
      </c>
      <c r="AD1825" s="36">
        <v>3888.241</v>
      </c>
    </row>
    <row r="1826" spans="1:30" s="37" customFormat="1" ht="15.75" customHeight="1" x14ac:dyDescent="0.2">
      <c r="A1826" s="26">
        <v>1956</v>
      </c>
      <c r="B1826" s="27" t="s">
        <v>2913</v>
      </c>
      <c r="C1826" s="27" t="s">
        <v>38</v>
      </c>
      <c r="D1826" s="28">
        <v>0.09</v>
      </c>
      <c r="E1826" s="29">
        <v>40.98</v>
      </c>
      <c r="F1826" s="29">
        <v>6.5</v>
      </c>
      <c r="G1826" s="30" t="s">
        <v>39</v>
      </c>
      <c r="H1826" s="27" t="s">
        <v>40</v>
      </c>
      <c r="I1826" s="27" t="s">
        <v>41</v>
      </c>
      <c r="J1826" s="27" t="s">
        <v>42</v>
      </c>
      <c r="K1826" s="27" t="s">
        <v>73</v>
      </c>
      <c r="L1826" s="31" t="s">
        <v>446</v>
      </c>
      <c r="M1826" s="32">
        <v>0.74</v>
      </c>
      <c r="N1826" s="27" t="s">
        <v>33</v>
      </c>
      <c r="O1826" s="27" t="s">
        <v>60</v>
      </c>
      <c r="P1826" s="27" t="s">
        <v>61</v>
      </c>
      <c r="Q1826" s="27" t="s">
        <v>1313</v>
      </c>
      <c r="R1826" s="33">
        <v>80027</v>
      </c>
      <c r="S1826" s="34">
        <v>42174</v>
      </c>
      <c r="T1826" s="34">
        <v>42176</v>
      </c>
      <c r="U1826" s="29">
        <v>-50.244999999999997</v>
      </c>
      <c r="V1826" s="26">
        <v>19</v>
      </c>
      <c r="W1826" s="29">
        <v>746.91</v>
      </c>
      <c r="X1826" s="26">
        <v>89820</v>
      </c>
      <c r="Y1826" s="35">
        <v>550.88</v>
      </c>
      <c r="Z1826" s="1" t="s">
        <v>3013</v>
      </c>
      <c r="AA1826" s="36">
        <v>70.075800000000001</v>
      </c>
      <c r="AB1826" s="54">
        <v>194.19659999999999</v>
      </c>
      <c r="AC1826" s="54">
        <v>29.090178947368418</v>
      </c>
      <c r="AD1826" s="36">
        <v>720.57920000000001</v>
      </c>
    </row>
    <row r="1827" spans="1:30" s="37" customFormat="1" ht="15.75" customHeight="1" x14ac:dyDescent="0.2">
      <c r="A1827" s="26">
        <v>594</v>
      </c>
      <c r="B1827" s="27" t="s">
        <v>1644</v>
      </c>
      <c r="C1827" s="27" t="s">
        <v>26</v>
      </c>
      <c r="D1827" s="28">
        <v>0.04</v>
      </c>
      <c r="E1827" s="29">
        <v>39.479999999999997</v>
      </c>
      <c r="F1827" s="29">
        <v>1.99</v>
      </c>
      <c r="G1827" s="30" t="s">
        <v>39</v>
      </c>
      <c r="H1827" s="27" t="s">
        <v>40</v>
      </c>
      <c r="I1827" s="27" t="s">
        <v>41</v>
      </c>
      <c r="J1827" s="27" t="s">
        <v>42</v>
      </c>
      <c r="K1827" s="27" t="s">
        <v>43</v>
      </c>
      <c r="L1827" s="31" t="s">
        <v>1257</v>
      </c>
      <c r="M1827" s="32">
        <v>0.54</v>
      </c>
      <c r="N1827" s="27" t="s">
        <v>33</v>
      </c>
      <c r="O1827" s="27" t="s">
        <v>53</v>
      </c>
      <c r="P1827" s="27" t="s">
        <v>54</v>
      </c>
      <c r="Q1827" s="27" t="s">
        <v>1645</v>
      </c>
      <c r="R1827" s="33">
        <v>46016</v>
      </c>
      <c r="S1827" s="34">
        <v>42174</v>
      </c>
      <c r="T1827" s="34">
        <v>42177</v>
      </c>
      <c r="U1827" s="29">
        <v>484.8492</v>
      </c>
      <c r="V1827" s="26">
        <v>18</v>
      </c>
      <c r="W1827" s="29">
        <v>702.68</v>
      </c>
      <c r="X1827" s="26">
        <v>86311</v>
      </c>
      <c r="Y1827" s="35">
        <v>40.889999999999993</v>
      </c>
      <c r="Z1827" s="1" t="s">
        <v>3012</v>
      </c>
      <c r="AA1827" s="36">
        <v>28.425599999999999</v>
      </c>
      <c r="AB1827" s="54">
        <v>323.23279999999994</v>
      </c>
      <c r="AC1827" s="54">
        <v>21.080400000000001</v>
      </c>
      <c r="AD1827" s="36">
        <v>187.41519999999991</v>
      </c>
    </row>
    <row r="1828" spans="1:30" s="37" customFormat="1" ht="15.75" customHeight="1" x14ac:dyDescent="0.2">
      <c r="A1828" s="26">
        <v>3138</v>
      </c>
      <c r="B1828" s="27" t="s">
        <v>2914</v>
      </c>
      <c r="C1828" s="27" t="s">
        <v>3094</v>
      </c>
      <c r="D1828" s="28">
        <v>0.05</v>
      </c>
      <c r="E1828" s="29">
        <v>4.0599999999999996</v>
      </c>
      <c r="F1828" s="29">
        <v>6.89</v>
      </c>
      <c r="G1828" s="30" t="s">
        <v>87</v>
      </c>
      <c r="H1828" s="27" t="s">
        <v>94</v>
      </c>
      <c r="I1828" s="27" t="s">
        <v>49</v>
      </c>
      <c r="J1828" s="27" t="s">
        <v>95</v>
      </c>
      <c r="K1828" s="27" t="s">
        <v>73</v>
      </c>
      <c r="L1828" s="31" t="s">
        <v>1271</v>
      </c>
      <c r="M1828" s="32">
        <v>0.6</v>
      </c>
      <c r="N1828" s="27" t="s">
        <v>33</v>
      </c>
      <c r="O1828" s="27" t="s">
        <v>111</v>
      </c>
      <c r="P1828" s="27" t="s">
        <v>1356</v>
      </c>
      <c r="Q1828" s="27" t="s">
        <v>2915</v>
      </c>
      <c r="R1828" s="33">
        <v>3053</v>
      </c>
      <c r="S1828" s="34">
        <v>42174</v>
      </c>
      <c r="T1828" s="34">
        <v>42176</v>
      </c>
      <c r="U1828" s="29">
        <v>-122.83499999999999</v>
      </c>
      <c r="V1828" s="26">
        <v>22</v>
      </c>
      <c r="W1828" s="29">
        <v>92.57</v>
      </c>
      <c r="X1828" s="26">
        <v>86796</v>
      </c>
      <c r="Y1828" s="35">
        <v>14.32</v>
      </c>
      <c r="Z1828" s="1" t="s">
        <v>3014</v>
      </c>
      <c r="AA1828" s="36">
        <v>4.4659999999999993</v>
      </c>
      <c r="AB1828" s="54">
        <v>37.027999999999999</v>
      </c>
      <c r="AC1828" s="54">
        <v>2.5246363636363633</v>
      </c>
      <c r="AD1828" s="36">
        <v>204.04899999999998</v>
      </c>
    </row>
    <row r="1829" spans="1:30" s="37" customFormat="1" ht="15.75" customHeight="1" x14ac:dyDescent="0.2">
      <c r="A1829" s="26">
        <v>3167</v>
      </c>
      <c r="B1829" s="27" t="s">
        <v>2916</v>
      </c>
      <c r="C1829" s="27" t="s">
        <v>3094</v>
      </c>
      <c r="D1829" s="28">
        <v>0</v>
      </c>
      <c r="E1829" s="29">
        <v>4.9800000000000004</v>
      </c>
      <c r="F1829" s="29">
        <v>7.44</v>
      </c>
      <c r="G1829" s="30" t="s">
        <v>39</v>
      </c>
      <c r="H1829" s="27" t="s">
        <v>94</v>
      </c>
      <c r="I1829" s="27" t="s">
        <v>49</v>
      </c>
      <c r="J1829" s="27" t="s">
        <v>88</v>
      </c>
      <c r="K1829" s="27" t="s">
        <v>73</v>
      </c>
      <c r="L1829" s="31" t="s">
        <v>2174</v>
      </c>
      <c r="M1829" s="32">
        <v>0.36</v>
      </c>
      <c r="N1829" s="27" t="s">
        <v>33</v>
      </c>
      <c r="O1829" s="27" t="s">
        <v>34</v>
      </c>
      <c r="P1829" s="27" t="s">
        <v>123</v>
      </c>
      <c r="Q1829" s="27" t="s">
        <v>2917</v>
      </c>
      <c r="R1829" s="33">
        <v>32004</v>
      </c>
      <c r="S1829" s="34">
        <v>42174</v>
      </c>
      <c r="T1829" s="34">
        <v>42176</v>
      </c>
      <c r="U1829" s="29">
        <v>-195.34200000000001</v>
      </c>
      <c r="V1829" s="26">
        <v>15</v>
      </c>
      <c r="W1829" s="29">
        <v>78.31</v>
      </c>
      <c r="X1829" s="26">
        <v>86491</v>
      </c>
      <c r="Y1829" s="35">
        <v>4.9200000000000008</v>
      </c>
      <c r="Z1829" s="1" t="s">
        <v>3011</v>
      </c>
      <c r="AA1829" s="36">
        <v>0</v>
      </c>
      <c r="AB1829" s="54">
        <v>50.118400000000001</v>
      </c>
      <c r="AC1829" s="54">
        <v>1.8794400000000002</v>
      </c>
      <c r="AD1829" s="36">
        <v>266.21199999999999</v>
      </c>
    </row>
    <row r="1830" spans="1:30" s="37" customFormat="1" ht="15.75" customHeight="1" x14ac:dyDescent="0.2">
      <c r="A1830" s="26">
        <v>594</v>
      </c>
      <c r="B1830" s="27" t="s">
        <v>1644</v>
      </c>
      <c r="C1830" s="27" t="s">
        <v>26</v>
      </c>
      <c r="D1830" s="28">
        <v>0.04</v>
      </c>
      <c r="E1830" s="29">
        <v>3.7</v>
      </c>
      <c r="F1830" s="29">
        <v>1.61</v>
      </c>
      <c r="G1830" s="30" t="s">
        <v>39</v>
      </c>
      <c r="H1830" s="27" t="s">
        <v>40</v>
      </c>
      <c r="I1830" s="27" t="s">
        <v>29</v>
      </c>
      <c r="J1830" s="27" t="s">
        <v>126</v>
      </c>
      <c r="K1830" s="27" t="s">
        <v>51</v>
      </c>
      <c r="L1830" s="31" t="s">
        <v>2909</v>
      </c>
      <c r="M1830" s="32">
        <v>0.44</v>
      </c>
      <c r="N1830" s="27" t="s">
        <v>33</v>
      </c>
      <c r="O1830" s="27" t="s">
        <v>53</v>
      </c>
      <c r="P1830" s="27" t="s">
        <v>54</v>
      </c>
      <c r="Q1830" s="27" t="s">
        <v>1645</v>
      </c>
      <c r="R1830" s="33">
        <v>46016</v>
      </c>
      <c r="S1830" s="34">
        <v>42174</v>
      </c>
      <c r="T1830" s="34">
        <v>42175</v>
      </c>
      <c r="U1830" s="29">
        <v>18</v>
      </c>
      <c r="V1830" s="26">
        <v>18</v>
      </c>
      <c r="W1830" s="29">
        <v>67.239999999999995</v>
      </c>
      <c r="X1830" s="26">
        <v>86311</v>
      </c>
      <c r="Y1830" s="35">
        <v>4.01</v>
      </c>
      <c r="Z1830" s="1" t="s">
        <v>3012</v>
      </c>
      <c r="AA1830" s="36">
        <v>2.6640000000000006</v>
      </c>
      <c r="AB1830" s="54">
        <v>37.654400000000003</v>
      </c>
      <c r="AC1830" s="54">
        <v>1.6436444444444442</v>
      </c>
      <c r="AD1830" s="36">
        <v>44.965999999999994</v>
      </c>
    </row>
    <row r="1831" spans="1:30" s="37" customFormat="1" ht="15.75" customHeight="1" x14ac:dyDescent="0.2">
      <c r="A1831" s="26">
        <v>3167</v>
      </c>
      <c r="B1831" s="27" t="s">
        <v>2916</v>
      </c>
      <c r="C1831" s="27" t="s">
        <v>3094</v>
      </c>
      <c r="D1831" s="28">
        <v>0.1</v>
      </c>
      <c r="E1831" s="29">
        <v>3.98</v>
      </c>
      <c r="F1831" s="29">
        <v>0.83</v>
      </c>
      <c r="G1831" s="30" t="s">
        <v>39</v>
      </c>
      <c r="H1831" s="27" t="s">
        <v>94</v>
      </c>
      <c r="I1831" s="27" t="s">
        <v>49</v>
      </c>
      <c r="J1831" s="27" t="s">
        <v>50</v>
      </c>
      <c r="K1831" s="27" t="s">
        <v>51</v>
      </c>
      <c r="L1831" s="31" t="s">
        <v>2785</v>
      </c>
      <c r="M1831" s="32">
        <v>0.51</v>
      </c>
      <c r="N1831" s="27" t="s">
        <v>33</v>
      </c>
      <c r="O1831" s="27" t="s">
        <v>34</v>
      </c>
      <c r="P1831" s="27" t="s">
        <v>123</v>
      </c>
      <c r="Q1831" s="27" t="s">
        <v>2917</v>
      </c>
      <c r="R1831" s="33">
        <v>32004</v>
      </c>
      <c r="S1831" s="34">
        <v>42174</v>
      </c>
      <c r="T1831" s="34">
        <v>42176</v>
      </c>
      <c r="U1831" s="29">
        <v>-89.709199999999996</v>
      </c>
      <c r="V1831" s="26">
        <v>11</v>
      </c>
      <c r="W1831" s="29">
        <v>42.46</v>
      </c>
      <c r="X1831" s="26">
        <v>86491</v>
      </c>
      <c r="Y1831" s="35">
        <v>280.91000000000003</v>
      </c>
      <c r="Z1831" s="1" t="s">
        <v>3011</v>
      </c>
      <c r="AA1831" s="36">
        <v>4.3780000000000001</v>
      </c>
      <c r="AB1831" s="54">
        <v>20.805399999999999</v>
      </c>
      <c r="AC1831" s="54">
        <v>1.9685999999999999</v>
      </c>
      <c r="AD1831" s="36">
        <v>126.96119999999999</v>
      </c>
    </row>
    <row r="1832" spans="1:30" s="37" customFormat="1" ht="15.75" customHeight="1" x14ac:dyDescent="0.2">
      <c r="A1832" s="26">
        <v>2323</v>
      </c>
      <c r="B1832" s="27" t="s">
        <v>1675</v>
      </c>
      <c r="C1832" s="27" t="s">
        <v>3094</v>
      </c>
      <c r="D1832" s="28">
        <v>0.06</v>
      </c>
      <c r="E1832" s="29">
        <v>4.9800000000000004</v>
      </c>
      <c r="F1832" s="29">
        <v>4.62</v>
      </c>
      <c r="G1832" s="30" t="s">
        <v>87</v>
      </c>
      <c r="H1832" s="27" t="s">
        <v>3095</v>
      </c>
      <c r="I1832" s="27" t="s">
        <v>41</v>
      </c>
      <c r="J1832" s="27" t="s">
        <v>42</v>
      </c>
      <c r="K1832" s="27" t="s">
        <v>43</v>
      </c>
      <c r="L1832" s="31" t="s">
        <v>1221</v>
      </c>
      <c r="M1832" s="32">
        <v>0.64</v>
      </c>
      <c r="N1832" s="27" t="s">
        <v>33</v>
      </c>
      <c r="O1832" s="27" t="s">
        <v>60</v>
      </c>
      <c r="P1832" s="27" t="s">
        <v>90</v>
      </c>
      <c r="Q1832" s="27" t="s">
        <v>1214</v>
      </c>
      <c r="R1832" s="33">
        <v>92236</v>
      </c>
      <c r="S1832" s="34">
        <v>42174</v>
      </c>
      <c r="T1832" s="34">
        <v>42174</v>
      </c>
      <c r="U1832" s="29">
        <v>-27.004999999999999</v>
      </c>
      <c r="V1832" s="26">
        <v>7</v>
      </c>
      <c r="W1832" s="29">
        <v>38.74</v>
      </c>
      <c r="X1832" s="26">
        <v>88722</v>
      </c>
      <c r="Y1832" s="35">
        <v>4.9800000000000004</v>
      </c>
      <c r="Z1832" s="1" t="s">
        <v>3013</v>
      </c>
      <c r="AA1832" s="36">
        <v>2.0916000000000001</v>
      </c>
      <c r="AB1832" s="54">
        <v>13.946400000000001</v>
      </c>
      <c r="AC1832" s="54">
        <v>3.5419428571428573</v>
      </c>
      <c r="AD1832" s="36">
        <v>59.0334</v>
      </c>
    </row>
    <row r="1833" spans="1:30" s="37" customFormat="1" ht="15.75" customHeight="1" x14ac:dyDescent="0.2">
      <c r="A1833" s="26">
        <v>796</v>
      </c>
      <c r="B1833" s="27" t="s">
        <v>1588</v>
      </c>
      <c r="C1833" s="27" t="s">
        <v>3094</v>
      </c>
      <c r="D1833" s="28">
        <v>0.1</v>
      </c>
      <c r="E1833" s="29">
        <v>14.42</v>
      </c>
      <c r="F1833" s="29">
        <v>6.75</v>
      </c>
      <c r="G1833" s="30" t="s">
        <v>39</v>
      </c>
      <c r="H1833" s="27" t="s">
        <v>94</v>
      </c>
      <c r="I1833" s="27" t="s">
        <v>49</v>
      </c>
      <c r="J1833" s="27" t="s">
        <v>95</v>
      </c>
      <c r="K1833" s="27" t="s">
        <v>144</v>
      </c>
      <c r="L1833" s="31" t="s">
        <v>409</v>
      </c>
      <c r="M1833" s="32">
        <v>0.52</v>
      </c>
      <c r="N1833" s="27" t="s">
        <v>33</v>
      </c>
      <c r="O1833" s="27" t="s">
        <v>53</v>
      </c>
      <c r="P1833" s="27" t="s">
        <v>133</v>
      </c>
      <c r="Q1833" s="27" t="s">
        <v>1589</v>
      </c>
      <c r="R1833" s="33">
        <v>68046</v>
      </c>
      <c r="S1833" s="34">
        <v>42174</v>
      </c>
      <c r="T1833" s="34">
        <v>42177</v>
      </c>
      <c r="U1833" s="29">
        <v>-20.103999999999999</v>
      </c>
      <c r="V1833" s="26">
        <v>1</v>
      </c>
      <c r="W1833" s="29">
        <v>15.49</v>
      </c>
      <c r="X1833" s="26">
        <v>86869</v>
      </c>
      <c r="Y1833" s="35">
        <v>3.88</v>
      </c>
      <c r="Z1833" s="1" t="s">
        <v>3012</v>
      </c>
      <c r="AA1833" s="36">
        <v>1.4420000000000002</v>
      </c>
      <c r="AB1833" s="54">
        <v>7.4352</v>
      </c>
      <c r="AC1833" s="54">
        <v>8.0548000000000002</v>
      </c>
      <c r="AD1833" s="36">
        <v>27.402000000000001</v>
      </c>
    </row>
    <row r="1834" spans="1:30" s="37" customFormat="1" ht="15.75" customHeight="1" x14ac:dyDescent="0.2">
      <c r="A1834" s="26">
        <v>491</v>
      </c>
      <c r="B1834" s="27" t="s">
        <v>1073</v>
      </c>
      <c r="C1834" s="27" t="s">
        <v>26</v>
      </c>
      <c r="D1834" s="28">
        <v>0.02</v>
      </c>
      <c r="E1834" s="29">
        <v>1360.14</v>
      </c>
      <c r="F1834" s="29">
        <v>14.7</v>
      </c>
      <c r="G1834" s="30" t="s">
        <v>27</v>
      </c>
      <c r="H1834" s="27" t="s">
        <v>40</v>
      </c>
      <c r="I1834" s="27" t="s">
        <v>41</v>
      </c>
      <c r="J1834" s="27" t="s">
        <v>57</v>
      </c>
      <c r="K1834" s="27" t="s">
        <v>58</v>
      </c>
      <c r="L1834" s="31" t="s">
        <v>2772</v>
      </c>
      <c r="M1834" s="32">
        <v>0.59</v>
      </c>
      <c r="N1834" s="27" t="s">
        <v>33</v>
      </c>
      <c r="O1834" s="27" t="s">
        <v>111</v>
      </c>
      <c r="P1834" s="27" t="s">
        <v>112</v>
      </c>
      <c r="Q1834" s="27" t="s">
        <v>113</v>
      </c>
      <c r="R1834" s="33">
        <v>10154</v>
      </c>
      <c r="S1834" s="34">
        <v>42175</v>
      </c>
      <c r="T1834" s="34">
        <v>42177</v>
      </c>
      <c r="U1834" s="29">
        <v>2028.12</v>
      </c>
      <c r="V1834" s="26">
        <v>22</v>
      </c>
      <c r="W1834" s="29">
        <v>31670.6</v>
      </c>
      <c r="X1834" s="26">
        <v>6562</v>
      </c>
      <c r="Y1834" s="35">
        <v>1360.1200000000001</v>
      </c>
      <c r="Z1834" s="1" t="s">
        <v>3014</v>
      </c>
      <c r="AA1834" s="36">
        <v>598.46160000000009</v>
      </c>
      <c r="AB1834" s="54">
        <v>12984.946</v>
      </c>
      <c r="AC1834" s="54">
        <v>849.34790909090896</v>
      </c>
      <c r="AD1834" s="36">
        <v>29029.318399999996</v>
      </c>
    </row>
    <row r="1835" spans="1:30" s="37" customFormat="1" ht="15.75" customHeight="1" x14ac:dyDescent="0.2">
      <c r="A1835" s="26">
        <v>494</v>
      </c>
      <c r="B1835" s="27" t="s">
        <v>1074</v>
      </c>
      <c r="C1835" s="27" t="s">
        <v>26</v>
      </c>
      <c r="D1835" s="28">
        <v>0.02</v>
      </c>
      <c r="E1835" s="29">
        <v>1360.14</v>
      </c>
      <c r="F1835" s="29">
        <v>14.7</v>
      </c>
      <c r="G1835" s="30" t="s">
        <v>27</v>
      </c>
      <c r="H1835" s="27" t="s">
        <v>40</v>
      </c>
      <c r="I1835" s="27" t="s">
        <v>41</v>
      </c>
      <c r="J1835" s="27" t="s">
        <v>57</v>
      </c>
      <c r="K1835" s="27" t="s">
        <v>58</v>
      </c>
      <c r="L1835" s="31" t="s">
        <v>2772</v>
      </c>
      <c r="M1835" s="32">
        <v>0.59</v>
      </c>
      <c r="N1835" s="27" t="s">
        <v>33</v>
      </c>
      <c r="O1835" s="27" t="s">
        <v>60</v>
      </c>
      <c r="P1835" s="27" t="s">
        <v>67</v>
      </c>
      <c r="Q1835" s="27" t="s">
        <v>142</v>
      </c>
      <c r="R1835" s="33">
        <v>98115</v>
      </c>
      <c r="S1835" s="34">
        <v>42175</v>
      </c>
      <c r="T1835" s="34">
        <v>42177</v>
      </c>
      <c r="U1835" s="29">
        <v>3042.18</v>
      </c>
      <c r="V1835" s="26">
        <v>6</v>
      </c>
      <c r="W1835" s="29">
        <v>8637.44</v>
      </c>
      <c r="X1835" s="26">
        <v>88908</v>
      </c>
      <c r="Y1835" s="35">
        <v>1360.1200000000001</v>
      </c>
      <c r="Z1835" s="1" t="s">
        <v>3013</v>
      </c>
      <c r="AA1835" s="36">
        <v>163.21680000000003</v>
      </c>
      <c r="AB1835" s="54">
        <v>3541.3504000000003</v>
      </c>
      <c r="AC1835" s="54">
        <v>849.34826666666675</v>
      </c>
      <c r="AD1835" s="36">
        <v>5417.3432000000012</v>
      </c>
    </row>
    <row r="1836" spans="1:30" s="37" customFormat="1" ht="15.75" customHeight="1" x14ac:dyDescent="0.2">
      <c r="A1836" s="26">
        <v>1123</v>
      </c>
      <c r="B1836" s="27" t="s">
        <v>1647</v>
      </c>
      <c r="C1836" s="27" t="s">
        <v>38</v>
      </c>
      <c r="D1836" s="28">
        <v>0.09</v>
      </c>
      <c r="E1836" s="29">
        <v>175.99</v>
      </c>
      <c r="F1836" s="29">
        <v>4.99</v>
      </c>
      <c r="G1836" s="30" t="s">
        <v>39</v>
      </c>
      <c r="H1836" s="27" t="s">
        <v>3095</v>
      </c>
      <c r="I1836" s="27" t="s">
        <v>41</v>
      </c>
      <c r="J1836" s="27" t="s">
        <v>135</v>
      </c>
      <c r="K1836" s="27" t="s">
        <v>73</v>
      </c>
      <c r="L1836" s="31" t="s">
        <v>1249</v>
      </c>
      <c r="M1836" s="32">
        <v>0.59</v>
      </c>
      <c r="N1836" s="27" t="s">
        <v>33</v>
      </c>
      <c r="O1836" s="27" t="s">
        <v>60</v>
      </c>
      <c r="P1836" s="27" t="s">
        <v>90</v>
      </c>
      <c r="Q1836" s="27" t="s">
        <v>1649</v>
      </c>
      <c r="R1836" s="33">
        <v>95661</v>
      </c>
      <c r="S1836" s="34">
        <v>42175</v>
      </c>
      <c r="T1836" s="34">
        <v>42177</v>
      </c>
      <c r="U1836" s="29">
        <v>2169.7464</v>
      </c>
      <c r="V1836" s="26">
        <v>22</v>
      </c>
      <c r="W1836" s="29">
        <v>3144.56</v>
      </c>
      <c r="X1836" s="26">
        <v>87016</v>
      </c>
      <c r="Y1836" s="35">
        <v>47.919999999999995</v>
      </c>
      <c r="Z1836" s="1" t="s">
        <v>3013</v>
      </c>
      <c r="AA1836" s="36">
        <v>348.46019999999999</v>
      </c>
      <c r="AB1836" s="54">
        <v>1289.2696000000001</v>
      </c>
      <c r="AC1836" s="54">
        <v>84.331381818181811</v>
      </c>
      <c r="AD1836" s="36">
        <v>621.36340000000018</v>
      </c>
    </row>
    <row r="1837" spans="1:30" s="37" customFormat="1" ht="15.75" customHeight="1" x14ac:dyDescent="0.2">
      <c r="A1837" s="26">
        <v>1124</v>
      </c>
      <c r="B1837" s="27" t="s">
        <v>2920</v>
      </c>
      <c r="C1837" s="27" t="s">
        <v>38</v>
      </c>
      <c r="D1837" s="28">
        <v>0.09</v>
      </c>
      <c r="E1837" s="29">
        <v>160.97999999999999</v>
      </c>
      <c r="F1837" s="29">
        <v>35.020000000000003</v>
      </c>
      <c r="G1837" s="30" t="s">
        <v>27</v>
      </c>
      <c r="H1837" s="27" t="s">
        <v>3095</v>
      </c>
      <c r="I1837" s="27" t="s">
        <v>29</v>
      </c>
      <c r="J1837" s="27" t="s">
        <v>117</v>
      </c>
      <c r="K1837" s="27" t="s">
        <v>31</v>
      </c>
      <c r="L1837" s="31" t="s">
        <v>1755</v>
      </c>
      <c r="M1837" s="32">
        <v>0.72</v>
      </c>
      <c r="N1837" s="27" t="s">
        <v>33</v>
      </c>
      <c r="O1837" s="27" t="s">
        <v>111</v>
      </c>
      <c r="P1837" s="27" t="s">
        <v>248</v>
      </c>
      <c r="Q1837" s="27" t="s">
        <v>2921</v>
      </c>
      <c r="R1837" s="33">
        <v>6360</v>
      </c>
      <c r="S1837" s="34">
        <v>42175</v>
      </c>
      <c r="T1837" s="34">
        <v>42176</v>
      </c>
      <c r="U1837" s="29">
        <v>-229.93</v>
      </c>
      <c r="V1837" s="26">
        <v>18</v>
      </c>
      <c r="W1837" s="29">
        <v>2653.02</v>
      </c>
      <c r="X1837" s="26">
        <v>87016</v>
      </c>
      <c r="Y1837" s="35">
        <v>59.699999999999996</v>
      </c>
      <c r="Z1837" s="1" t="s">
        <v>3014</v>
      </c>
      <c r="AA1837" s="36">
        <v>260.7876</v>
      </c>
      <c r="AB1837" s="54">
        <v>742.8456000000001</v>
      </c>
      <c r="AC1837" s="54">
        <v>106.12079999999999</v>
      </c>
      <c r="AD1837" s="36">
        <v>2587.1424000000002</v>
      </c>
    </row>
    <row r="1838" spans="1:30" s="37" customFormat="1" ht="15.75" customHeight="1" x14ac:dyDescent="0.2">
      <c r="A1838" s="26">
        <v>2352</v>
      </c>
      <c r="B1838" s="27" t="s">
        <v>2918</v>
      </c>
      <c r="C1838" s="27" t="s">
        <v>26</v>
      </c>
      <c r="D1838" s="28">
        <v>0.06</v>
      </c>
      <c r="E1838" s="29">
        <v>59.76</v>
      </c>
      <c r="F1838" s="29">
        <v>9.7100000000000009</v>
      </c>
      <c r="G1838" s="30" t="s">
        <v>39</v>
      </c>
      <c r="H1838" s="27" t="s">
        <v>40</v>
      </c>
      <c r="I1838" s="27" t="s">
        <v>49</v>
      </c>
      <c r="J1838" s="27" t="s">
        <v>78</v>
      </c>
      <c r="K1838" s="27" t="s">
        <v>73</v>
      </c>
      <c r="L1838" s="31" t="s">
        <v>1973</v>
      </c>
      <c r="M1838" s="32">
        <v>0.56999999999999995</v>
      </c>
      <c r="N1838" s="27" t="s">
        <v>33</v>
      </c>
      <c r="O1838" s="27" t="s">
        <v>111</v>
      </c>
      <c r="P1838" s="27" t="s">
        <v>418</v>
      </c>
      <c r="Q1838" s="27" t="s">
        <v>2919</v>
      </c>
      <c r="R1838" s="33">
        <v>21501</v>
      </c>
      <c r="S1838" s="34">
        <v>42175</v>
      </c>
      <c r="T1838" s="34">
        <v>42178</v>
      </c>
      <c r="U1838" s="29">
        <v>756.67470000000003</v>
      </c>
      <c r="V1838" s="26">
        <v>18</v>
      </c>
      <c r="W1838" s="29">
        <v>1096.6300000000001</v>
      </c>
      <c r="X1838" s="26">
        <v>86165</v>
      </c>
      <c r="Y1838" s="35">
        <v>195.92000000000002</v>
      </c>
      <c r="Z1838" s="1" t="s">
        <v>3014</v>
      </c>
      <c r="AA1838" s="36">
        <v>64.540800000000004</v>
      </c>
      <c r="AB1838" s="54">
        <v>471.55090000000013</v>
      </c>
      <c r="AC1838" s="54">
        <v>34.726616666666665</v>
      </c>
      <c r="AD1838" s="36">
        <v>265.70450000000005</v>
      </c>
    </row>
    <row r="1839" spans="1:30" s="37" customFormat="1" ht="15.75" customHeight="1" x14ac:dyDescent="0.2">
      <c r="A1839" s="26">
        <v>2352</v>
      </c>
      <c r="B1839" s="27" t="s">
        <v>2918</v>
      </c>
      <c r="C1839" s="27" t="s">
        <v>26</v>
      </c>
      <c r="D1839" s="28">
        <v>7.0000000000000007E-2</v>
      </c>
      <c r="E1839" s="29">
        <v>195.99</v>
      </c>
      <c r="F1839" s="29">
        <v>4.2</v>
      </c>
      <c r="G1839" s="30" t="s">
        <v>39</v>
      </c>
      <c r="H1839" s="27" t="s">
        <v>40</v>
      </c>
      <c r="I1839" s="27" t="s">
        <v>41</v>
      </c>
      <c r="J1839" s="27" t="s">
        <v>135</v>
      </c>
      <c r="K1839" s="27" t="s">
        <v>73</v>
      </c>
      <c r="L1839" s="31" t="s">
        <v>2828</v>
      </c>
      <c r="M1839" s="32">
        <v>0.56000000000000005</v>
      </c>
      <c r="N1839" s="27" t="s">
        <v>33</v>
      </c>
      <c r="O1839" s="27" t="s">
        <v>111</v>
      </c>
      <c r="P1839" s="27" t="s">
        <v>418</v>
      </c>
      <c r="Q1839" s="27" t="s">
        <v>2919</v>
      </c>
      <c r="R1839" s="33">
        <v>21501</v>
      </c>
      <c r="S1839" s="34">
        <v>42175</v>
      </c>
      <c r="T1839" s="34">
        <v>42178</v>
      </c>
      <c r="U1839" s="29">
        <v>-222.34299999999999</v>
      </c>
      <c r="V1839" s="26">
        <v>4</v>
      </c>
      <c r="W1839" s="29">
        <v>632.12</v>
      </c>
      <c r="X1839" s="26">
        <v>86165</v>
      </c>
      <c r="Y1839" s="35">
        <v>175.9</v>
      </c>
      <c r="Z1839" s="1" t="s">
        <v>3014</v>
      </c>
      <c r="AA1839" s="36">
        <v>54.877200000000009</v>
      </c>
      <c r="AB1839" s="54">
        <v>278.13279999999997</v>
      </c>
      <c r="AC1839" s="54">
        <v>88.496800000000007</v>
      </c>
      <c r="AD1839" s="36">
        <v>795.38580000000002</v>
      </c>
    </row>
    <row r="1840" spans="1:30" s="37" customFormat="1" ht="15.75" customHeight="1" x14ac:dyDescent="0.2">
      <c r="A1840" s="26">
        <v>896</v>
      </c>
      <c r="B1840" s="27" t="s">
        <v>375</v>
      </c>
      <c r="C1840" s="27" t="s">
        <v>26</v>
      </c>
      <c r="D1840" s="28">
        <v>0.06</v>
      </c>
      <c r="E1840" s="29">
        <v>47.98</v>
      </c>
      <c r="F1840" s="29">
        <v>3.61</v>
      </c>
      <c r="G1840" s="30" t="s">
        <v>39</v>
      </c>
      <c r="H1840" s="27" t="s">
        <v>94</v>
      </c>
      <c r="I1840" s="27" t="s">
        <v>41</v>
      </c>
      <c r="J1840" s="27" t="s">
        <v>42</v>
      </c>
      <c r="K1840" s="27" t="s">
        <v>43</v>
      </c>
      <c r="L1840" s="31" t="s">
        <v>1239</v>
      </c>
      <c r="M1840" s="32">
        <v>0.71</v>
      </c>
      <c r="N1840" s="27" t="s">
        <v>33</v>
      </c>
      <c r="O1840" s="27" t="s">
        <v>53</v>
      </c>
      <c r="P1840" s="27" t="s">
        <v>187</v>
      </c>
      <c r="Q1840" s="27" t="s">
        <v>376</v>
      </c>
      <c r="R1840" s="33">
        <v>76201</v>
      </c>
      <c r="S1840" s="34">
        <v>42175</v>
      </c>
      <c r="T1840" s="34">
        <v>42177</v>
      </c>
      <c r="U1840" s="29">
        <v>35.954999999999998</v>
      </c>
      <c r="V1840" s="26">
        <v>11</v>
      </c>
      <c r="W1840" s="29">
        <v>517.67999999999995</v>
      </c>
      <c r="X1840" s="26">
        <v>90167</v>
      </c>
      <c r="Y1840" s="35">
        <v>160.88999999999999</v>
      </c>
      <c r="Z1840" s="1" t="s">
        <v>3012</v>
      </c>
      <c r="AA1840" s="36">
        <v>31.666799999999995</v>
      </c>
      <c r="AB1840" s="54">
        <v>150.12720000000002</v>
      </c>
      <c r="AC1840" s="54">
        <v>33.413890909090902</v>
      </c>
      <c r="AD1840" s="36">
        <v>446.44819999999993</v>
      </c>
    </row>
    <row r="1841" spans="1:30" s="37" customFormat="1" ht="15.75" customHeight="1" x14ac:dyDescent="0.2">
      <c r="A1841" s="26">
        <v>491</v>
      </c>
      <c r="B1841" s="27" t="s">
        <v>1073</v>
      </c>
      <c r="C1841" s="27" t="s">
        <v>3094</v>
      </c>
      <c r="D1841" s="28">
        <v>0.02</v>
      </c>
      <c r="E1841" s="29">
        <v>9.06</v>
      </c>
      <c r="F1841" s="29">
        <v>9.86</v>
      </c>
      <c r="G1841" s="30" t="s">
        <v>39</v>
      </c>
      <c r="H1841" s="27" t="s">
        <v>40</v>
      </c>
      <c r="I1841" s="27" t="s">
        <v>49</v>
      </c>
      <c r="J1841" s="27" t="s">
        <v>88</v>
      </c>
      <c r="K1841" s="27" t="s">
        <v>73</v>
      </c>
      <c r="L1841" s="31" t="s">
        <v>2286</v>
      </c>
      <c r="M1841" s="32">
        <v>0.4</v>
      </c>
      <c r="N1841" s="27" t="s">
        <v>33</v>
      </c>
      <c r="O1841" s="27" t="s">
        <v>111</v>
      </c>
      <c r="P1841" s="27" t="s">
        <v>112</v>
      </c>
      <c r="Q1841" s="27" t="s">
        <v>113</v>
      </c>
      <c r="R1841" s="33">
        <v>10154</v>
      </c>
      <c r="S1841" s="34">
        <v>42175</v>
      </c>
      <c r="T1841" s="34">
        <v>42177</v>
      </c>
      <c r="U1841" s="29">
        <v>-63.51</v>
      </c>
      <c r="V1841" s="26">
        <v>24</v>
      </c>
      <c r="W1841" s="29">
        <v>239.82</v>
      </c>
      <c r="X1841" s="26">
        <v>42852</v>
      </c>
      <c r="Y1841" s="35">
        <v>10.91</v>
      </c>
      <c r="Z1841" s="1" t="s">
        <v>3014</v>
      </c>
      <c r="AA1841" s="36">
        <v>4.3487999999999998</v>
      </c>
      <c r="AB1841" s="54">
        <v>143.892</v>
      </c>
      <c r="AC1841" s="54">
        <v>3.9969999999999999</v>
      </c>
      <c r="AD1841" s="36">
        <v>289.12119999999999</v>
      </c>
    </row>
    <row r="1842" spans="1:30" s="37" customFormat="1" ht="15.75" customHeight="1" x14ac:dyDescent="0.2">
      <c r="A1842" s="26">
        <v>1432</v>
      </c>
      <c r="B1842" s="27" t="s">
        <v>1510</v>
      </c>
      <c r="C1842" s="27" t="s">
        <v>48</v>
      </c>
      <c r="D1842" s="28">
        <v>7.0000000000000007E-2</v>
      </c>
      <c r="E1842" s="29">
        <v>10.98</v>
      </c>
      <c r="F1842" s="29">
        <v>4.8</v>
      </c>
      <c r="G1842" s="30" t="s">
        <v>39</v>
      </c>
      <c r="H1842" s="27" t="s">
        <v>94</v>
      </c>
      <c r="I1842" s="27" t="s">
        <v>49</v>
      </c>
      <c r="J1842" s="27" t="s">
        <v>345</v>
      </c>
      <c r="K1842" s="27" t="s">
        <v>73</v>
      </c>
      <c r="L1842" s="31" t="s">
        <v>1481</v>
      </c>
      <c r="M1842" s="32">
        <v>0.36</v>
      </c>
      <c r="N1842" s="27" t="s">
        <v>33</v>
      </c>
      <c r="O1842" s="27" t="s">
        <v>53</v>
      </c>
      <c r="P1842" s="27" t="s">
        <v>54</v>
      </c>
      <c r="Q1842" s="27" t="s">
        <v>1512</v>
      </c>
      <c r="R1842" s="33">
        <v>46203</v>
      </c>
      <c r="S1842" s="34">
        <v>42175</v>
      </c>
      <c r="T1842" s="34">
        <v>42182</v>
      </c>
      <c r="U1842" s="29">
        <v>52.92</v>
      </c>
      <c r="V1842" s="26">
        <v>16</v>
      </c>
      <c r="W1842" s="29">
        <v>165.21</v>
      </c>
      <c r="X1842" s="26">
        <v>86827</v>
      </c>
      <c r="Y1842" s="35">
        <v>9.0400000000000009</v>
      </c>
      <c r="Z1842" s="1" t="s">
        <v>3012</v>
      </c>
      <c r="AA1842" s="36">
        <v>12.297600000000001</v>
      </c>
      <c r="AB1842" s="54">
        <v>105.73440000000001</v>
      </c>
      <c r="AC1842" s="54">
        <v>3.717225</v>
      </c>
      <c r="AD1842" s="36">
        <v>95.192400000000006</v>
      </c>
    </row>
    <row r="1843" spans="1:30" s="37" customFormat="1" ht="15.75" customHeight="1" x14ac:dyDescent="0.2">
      <c r="A1843" s="26">
        <v>1424</v>
      </c>
      <c r="B1843" s="27" t="s">
        <v>437</v>
      </c>
      <c r="C1843" s="27" t="s">
        <v>3094</v>
      </c>
      <c r="D1843" s="28">
        <v>0.05</v>
      </c>
      <c r="E1843" s="29">
        <v>8.0399999999999991</v>
      </c>
      <c r="F1843" s="29">
        <v>8.94</v>
      </c>
      <c r="G1843" s="30" t="s">
        <v>39</v>
      </c>
      <c r="H1843" s="27" t="s">
        <v>71</v>
      </c>
      <c r="I1843" s="27" t="s">
        <v>49</v>
      </c>
      <c r="J1843" s="27" t="s">
        <v>72</v>
      </c>
      <c r="K1843" s="27" t="s">
        <v>73</v>
      </c>
      <c r="L1843" s="31" t="s">
        <v>2149</v>
      </c>
      <c r="M1843" s="32">
        <v>0.4</v>
      </c>
      <c r="N1843" s="27" t="s">
        <v>33</v>
      </c>
      <c r="O1843" s="27" t="s">
        <v>60</v>
      </c>
      <c r="P1843" s="27" t="s">
        <v>61</v>
      </c>
      <c r="Q1843" s="27" t="s">
        <v>439</v>
      </c>
      <c r="R1843" s="33">
        <v>80112</v>
      </c>
      <c r="S1843" s="34">
        <v>42175</v>
      </c>
      <c r="T1843" s="34">
        <v>42177</v>
      </c>
      <c r="U1843" s="29">
        <v>-164.3948</v>
      </c>
      <c r="V1843" s="26">
        <v>15</v>
      </c>
      <c r="W1843" s="29">
        <v>121.36</v>
      </c>
      <c r="X1843" s="26">
        <v>89449</v>
      </c>
      <c r="Y1843" s="35">
        <v>9.0400000000000009</v>
      </c>
      <c r="Z1843" s="1" t="s">
        <v>3013</v>
      </c>
      <c r="AA1843" s="36">
        <v>6.0299999999999994</v>
      </c>
      <c r="AB1843" s="54">
        <v>72.816000000000003</v>
      </c>
      <c r="AC1843" s="54">
        <v>3.2362666666666673</v>
      </c>
      <c r="AD1843" s="36">
        <v>270.78480000000002</v>
      </c>
    </row>
    <row r="1844" spans="1:30" s="37" customFormat="1" ht="15.75" customHeight="1" x14ac:dyDescent="0.2">
      <c r="A1844" s="26">
        <v>494</v>
      </c>
      <c r="B1844" s="27" t="s">
        <v>1074</v>
      </c>
      <c r="C1844" s="27" t="s">
        <v>3094</v>
      </c>
      <c r="D1844" s="28">
        <v>0.02</v>
      </c>
      <c r="E1844" s="29">
        <v>9.06</v>
      </c>
      <c r="F1844" s="29">
        <v>9.86</v>
      </c>
      <c r="G1844" s="30" t="s">
        <v>39</v>
      </c>
      <c r="H1844" s="27" t="s">
        <v>40</v>
      </c>
      <c r="I1844" s="27" t="s">
        <v>49</v>
      </c>
      <c r="J1844" s="27" t="s">
        <v>88</v>
      </c>
      <c r="K1844" s="27" t="s">
        <v>73</v>
      </c>
      <c r="L1844" s="31" t="s">
        <v>2286</v>
      </c>
      <c r="M1844" s="32">
        <v>0.4</v>
      </c>
      <c r="N1844" s="27" t="s">
        <v>33</v>
      </c>
      <c r="O1844" s="27" t="s">
        <v>60</v>
      </c>
      <c r="P1844" s="27" t="s">
        <v>67</v>
      </c>
      <c r="Q1844" s="27" t="s">
        <v>142</v>
      </c>
      <c r="R1844" s="33">
        <v>98115</v>
      </c>
      <c r="S1844" s="34">
        <v>42175</v>
      </c>
      <c r="T1844" s="34">
        <v>42177</v>
      </c>
      <c r="U1844" s="29">
        <v>-31.754999999999999</v>
      </c>
      <c r="V1844" s="26">
        <v>6</v>
      </c>
      <c r="W1844" s="29">
        <v>59.95</v>
      </c>
      <c r="X1844" s="26">
        <v>88908</v>
      </c>
      <c r="Y1844" s="35">
        <v>7.9899999999999993</v>
      </c>
      <c r="Z1844" s="1" t="s">
        <v>3013</v>
      </c>
      <c r="AA1844" s="36">
        <v>1.0871999999999999</v>
      </c>
      <c r="AB1844" s="54">
        <v>35.97</v>
      </c>
      <c r="AC1844" s="54">
        <v>3.996666666666667</v>
      </c>
      <c r="AD1844" s="36">
        <v>80.757800000000003</v>
      </c>
    </row>
    <row r="1845" spans="1:30" s="37" customFormat="1" ht="15.75" customHeight="1" x14ac:dyDescent="0.2">
      <c r="A1845" s="26">
        <v>2487</v>
      </c>
      <c r="B1845" s="27" t="s">
        <v>2746</v>
      </c>
      <c r="C1845" s="27" t="s">
        <v>3094</v>
      </c>
      <c r="D1845" s="28">
        <v>0.1</v>
      </c>
      <c r="E1845" s="29">
        <v>2.78</v>
      </c>
      <c r="F1845" s="29">
        <v>1.25</v>
      </c>
      <c r="G1845" s="30" t="s">
        <v>39</v>
      </c>
      <c r="H1845" s="27" t="s">
        <v>3095</v>
      </c>
      <c r="I1845" s="27" t="s">
        <v>49</v>
      </c>
      <c r="J1845" s="27" t="s">
        <v>50</v>
      </c>
      <c r="K1845" s="27" t="s">
        <v>51</v>
      </c>
      <c r="L1845" s="31" t="s">
        <v>382</v>
      </c>
      <c r="M1845" s="32">
        <v>0.59</v>
      </c>
      <c r="N1845" s="27" t="s">
        <v>33</v>
      </c>
      <c r="O1845" s="27" t="s">
        <v>34</v>
      </c>
      <c r="P1845" s="27" t="s">
        <v>75</v>
      </c>
      <c r="Q1845" s="27" t="s">
        <v>2747</v>
      </c>
      <c r="R1845" s="33">
        <v>30084</v>
      </c>
      <c r="S1845" s="34">
        <v>42175</v>
      </c>
      <c r="T1845" s="34">
        <v>42176</v>
      </c>
      <c r="U1845" s="29">
        <v>0.78539999999999999</v>
      </c>
      <c r="V1845" s="26">
        <v>18</v>
      </c>
      <c r="W1845" s="29">
        <v>46.42</v>
      </c>
      <c r="X1845" s="26">
        <v>91415</v>
      </c>
      <c r="Y1845" s="35">
        <v>3.04</v>
      </c>
      <c r="Z1845" s="1" t="s">
        <v>3011</v>
      </c>
      <c r="AA1845" s="36">
        <v>5.0039999999999996</v>
      </c>
      <c r="AB1845" s="54">
        <v>19.032200000000003</v>
      </c>
      <c r="AC1845" s="54">
        <v>1.5215444444444444</v>
      </c>
      <c r="AD1845" s="36">
        <v>39.380600000000001</v>
      </c>
    </row>
    <row r="1846" spans="1:30" s="37" customFormat="1" ht="15.75" customHeight="1" x14ac:dyDescent="0.2">
      <c r="A1846" s="26">
        <v>2487</v>
      </c>
      <c r="B1846" s="27" t="s">
        <v>2746</v>
      </c>
      <c r="C1846" s="27" t="s">
        <v>3094</v>
      </c>
      <c r="D1846" s="28">
        <v>0.04</v>
      </c>
      <c r="E1846" s="29">
        <v>3.08</v>
      </c>
      <c r="F1846" s="29">
        <v>0.99</v>
      </c>
      <c r="G1846" s="30" t="s">
        <v>39</v>
      </c>
      <c r="H1846" s="27" t="s">
        <v>3095</v>
      </c>
      <c r="I1846" s="27" t="s">
        <v>49</v>
      </c>
      <c r="J1846" s="27" t="s">
        <v>152</v>
      </c>
      <c r="K1846" s="27" t="s">
        <v>73</v>
      </c>
      <c r="L1846" s="31" t="s">
        <v>658</v>
      </c>
      <c r="M1846" s="32">
        <v>0.37</v>
      </c>
      <c r="N1846" s="27" t="s">
        <v>33</v>
      </c>
      <c r="O1846" s="27" t="s">
        <v>34</v>
      </c>
      <c r="P1846" s="27" t="s">
        <v>75</v>
      </c>
      <c r="Q1846" s="27" t="s">
        <v>2747</v>
      </c>
      <c r="R1846" s="33">
        <v>30084</v>
      </c>
      <c r="S1846" s="34">
        <v>42175</v>
      </c>
      <c r="T1846" s="34">
        <v>42176</v>
      </c>
      <c r="U1846" s="29">
        <v>257.08319999999998</v>
      </c>
      <c r="V1846" s="26">
        <v>14</v>
      </c>
      <c r="W1846" s="29">
        <v>43.41</v>
      </c>
      <c r="X1846" s="26">
        <v>91415</v>
      </c>
      <c r="Y1846" s="35">
        <v>2.6799999999999997</v>
      </c>
      <c r="Z1846" s="1" t="s">
        <v>3011</v>
      </c>
      <c r="AA1846" s="36">
        <v>1.7248000000000001</v>
      </c>
      <c r="AB1846" s="54">
        <v>27.348299999999998</v>
      </c>
      <c r="AC1846" s="54">
        <v>1.1472642857142856</v>
      </c>
      <c r="AD1846" s="36">
        <v>-216.38800000000001</v>
      </c>
    </row>
    <row r="1847" spans="1:30" s="37" customFormat="1" ht="15.75" customHeight="1" x14ac:dyDescent="0.2">
      <c r="A1847" s="26">
        <v>2305</v>
      </c>
      <c r="B1847" s="27" t="s">
        <v>2928</v>
      </c>
      <c r="C1847" s="27" t="s">
        <v>38</v>
      </c>
      <c r="D1847" s="28">
        <v>0</v>
      </c>
      <c r="E1847" s="29">
        <v>90.48</v>
      </c>
      <c r="F1847" s="29">
        <v>19.989999999999998</v>
      </c>
      <c r="G1847" s="30" t="s">
        <v>39</v>
      </c>
      <c r="H1847" s="27" t="s">
        <v>3095</v>
      </c>
      <c r="I1847" s="27" t="s">
        <v>49</v>
      </c>
      <c r="J1847" s="27" t="s">
        <v>345</v>
      </c>
      <c r="K1847" s="27" t="s">
        <v>73</v>
      </c>
      <c r="L1847" s="31" t="s">
        <v>502</v>
      </c>
      <c r="M1847" s="32">
        <v>0.4</v>
      </c>
      <c r="N1847" s="27" t="s">
        <v>33</v>
      </c>
      <c r="O1847" s="27" t="s">
        <v>53</v>
      </c>
      <c r="P1847" s="27" t="s">
        <v>1071</v>
      </c>
      <c r="Q1847" s="27" t="s">
        <v>130</v>
      </c>
      <c r="R1847" s="33">
        <v>57201</v>
      </c>
      <c r="S1847" s="34">
        <v>42176</v>
      </c>
      <c r="T1847" s="34">
        <v>42179</v>
      </c>
      <c r="U1847" s="29">
        <v>800.25509999999997</v>
      </c>
      <c r="V1847" s="26">
        <v>12</v>
      </c>
      <c r="W1847" s="29">
        <v>1159.79</v>
      </c>
      <c r="X1847" s="26">
        <v>89869</v>
      </c>
      <c r="Y1847" s="35">
        <v>2.81</v>
      </c>
      <c r="Z1847" s="1" t="s">
        <v>3012</v>
      </c>
      <c r="AA1847" s="36">
        <v>0</v>
      </c>
      <c r="AB1847" s="54">
        <v>695.87399999999991</v>
      </c>
      <c r="AC1847" s="54">
        <v>38.659666666666666</v>
      </c>
      <c r="AD1847" s="36">
        <v>339.54489999999998</v>
      </c>
    </row>
    <row r="1848" spans="1:30" s="37" customFormat="1" ht="15.75" customHeight="1" x14ac:dyDescent="0.2">
      <c r="A1848" s="26">
        <v>2713</v>
      </c>
      <c r="B1848" s="27" t="s">
        <v>2922</v>
      </c>
      <c r="C1848" s="27" t="s">
        <v>26</v>
      </c>
      <c r="D1848" s="28">
        <v>0.03</v>
      </c>
      <c r="E1848" s="29">
        <v>348.21</v>
      </c>
      <c r="F1848" s="29">
        <v>40.19</v>
      </c>
      <c r="G1848" s="30" t="s">
        <v>27</v>
      </c>
      <c r="H1848" s="27" t="s">
        <v>94</v>
      </c>
      <c r="I1848" s="27" t="s">
        <v>29</v>
      </c>
      <c r="J1848" s="27" t="s">
        <v>30</v>
      </c>
      <c r="K1848" s="27" t="s">
        <v>31</v>
      </c>
      <c r="L1848" s="31" t="s">
        <v>32</v>
      </c>
      <c r="M1848" s="32">
        <v>0.62</v>
      </c>
      <c r="N1848" s="27" t="s">
        <v>33</v>
      </c>
      <c r="O1848" s="27" t="s">
        <v>53</v>
      </c>
      <c r="P1848" s="27" t="s">
        <v>289</v>
      </c>
      <c r="Q1848" s="27" t="s">
        <v>2924</v>
      </c>
      <c r="R1848" s="33">
        <v>49001</v>
      </c>
      <c r="S1848" s="34">
        <v>42176</v>
      </c>
      <c r="T1848" s="34">
        <v>42177</v>
      </c>
      <c r="U1848" s="29">
        <v>-178.86959999999999</v>
      </c>
      <c r="V1848" s="26">
        <v>2</v>
      </c>
      <c r="W1848" s="29">
        <v>736.16</v>
      </c>
      <c r="X1848" s="26">
        <v>88701</v>
      </c>
      <c r="Y1848" s="35">
        <v>348.18</v>
      </c>
      <c r="Z1848" s="1" t="s">
        <v>3012</v>
      </c>
      <c r="AA1848" s="36">
        <v>20.892599999999998</v>
      </c>
      <c r="AB1848" s="54">
        <v>279.74079999999998</v>
      </c>
      <c r="AC1848" s="54">
        <v>228.20959999999999</v>
      </c>
      <c r="AD1848" s="36">
        <v>853.947</v>
      </c>
    </row>
    <row r="1849" spans="1:30" s="37" customFormat="1" ht="15.75" customHeight="1" x14ac:dyDescent="0.2">
      <c r="A1849" s="26">
        <v>2049</v>
      </c>
      <c r="B1849" s="27" t="s">
        <v>2925</v>
      </c>
      <c r="C1849" s="27" t="s">
        <v>38</v>
      </c>
      <c r="D1849" s="28">
        <v>0.03</v>
      </c>
      <c r="E1849" s="29">
        <v>15.28</v>
      </c>
      <c r="F1849" s="29">
        <v>1.99</v>
      </c>
      <c r="G1849" s="30" t="s">
        <v>39</v>
      </c>
      <c r="H1849" s="27" t="s">
        <v>94</v>
      </c>
      <c r="I1849" s="27" t="s">
        <v>41</v>
      </c>
      <c r="J1849" s="27" t="s">
        <v>42</v>
      </c>
      <c r="K1849" s="27" t="s">
        <v>43</v>
      </c>
      <c r="L1849" s="31" t="s">
        <v>512</v>
      </c>
      <c r="M1849" s="32">
        <v>0.42</v>
      </c>
      <c r="N1849" s="27" t="s">
        <v>33</v>
      </c>
      <c r="O1849" s="27" t="s">
        <v>34</v>
      </c>
      <c r="P1849" s="27" t="s">
        <v>242</v>
      </c>
      <c r="Q1849" s="27" t="s">
        <v>2926</v>
      </c>
      <c r="R1849" s="33">
        <v>22801</v>
      </c>
      <c r="S1849" s="34">
        <v>42176</v>
      </c>
      <c r="T1849" s="34">
        <v>42178</v>
      </c>
      <c r="U1849" s="29">
        <v>-266.68599999999998</v>
      </c>
      <c r="V1849" s="26">
        <v>19</v>
      </c>
      <c r="W1849" s="29">
        <v>290.98</v>
      </c>
      <c r="X1849" s="26">
        <v>88220</v>
      </c>
      <c r="Y1849" s="35">
        <v>15.25</v>
      </c>
      <c r="Z1849" s="1" t="s">
        <v>3011</v>
      </c>
      <c r="AA1849" s="36">
        <v>8.7096</v>
      </c>
      <c r="AB1849" s="54">
        <v>168.76840000000004</v>
      </c>
      <c r="AC1849" s="54">
        <v>6.4321894736842102</v>
      </c>
      <c r="AD1849" s="36">
        <v>546.96640000000002</v>
      </c>
    </row>
    <row r="1850" spans="1:30" s="37" customFormat="1" ht="15.75" customHeight="1" x14ac:dyDescent="0.2">
      <c r="A1850" s="26">
        <v>792</v>
      </c>
      <c r="B1850" s="27" t="s">
        <v>2931</v>
      </c>
      <c r="C1850" s="27" t="s">
        <v>3094</v>
      </c>
      <c r="D1850" s="28">
        <v>0.09</v>
      </c>
      <c r="E1850" s="29">
        <v>6.48</v>
      </c>
      <c r="F1850" s="29">
        <v>9.68</v>
      </c>
      <c r="G1850" s="30" t="s">
        <v>39</v>
      </c>
      <c r="H1850" s="27" t="s">
        <v>94</v>
      </c>
      <c r="I1850" s="27" t="s">
        <v>49</v>
      </c>
      <c r="J1850" s="27" t="s">
        <v>88</v>
      </c>
      <c r="K1850" s="27" t="s">
        <v>73</v>
      </c>
      <c r="L1850" s="31" t="s">
        <v>2932</v>
      </c>
      <c r="M1850" s="32">
        <v>0.36</v>
      </c>
      <c r="N1850" s="27" t="s">
        <v>33</v>
      </c>
      <c r="O1850" s="27" t="s">
        <v>53</v>
      </c>
      <c r="P1850" s="27" t="s">
        <v>207</v>
      </c>
      <c r="Q1850" s="27" t="s">
        <v>2933</v>
      </c>
      <c r="R1850" s="33">
        <v>73064</v>
      </c>
      <c r="S1850" s="34">
        <v>42176</v>
      </c>
      <c r="T1850" s="34">
        <v>42177</v>
      </c>
      <c r="U1850" s="29">
        <v>-204.16</v>
      </c>
      <c r="V1850" s="26">
        <v>16</v>
      </c>
      <c r="W1850" s="29">
        <v>99.92</v>
      </c>
      <c r="X1850" s="26">
        <v>88753</v>
      </c>
      <c r="Y1850" s="35">
        <v>1.67</v>
      </c>
      <c r="Z1850" s="1" t="s">
        <v>3012</v>
      </c>
      <c r="AA1850" s="36">
        <v>9.3312000000000008</v>
      </c>
      <c r="AB1850" s="54">
        <v>63.948800000000006</v>
      </c>
      <c r="AC1850" s="54">
        <v>2.2481999999999998</v>
      </c>
      <c r="AD1850" s="36">
        <v>285.06880000000001</v>
      </c>
    </row>
    <row r="1851" spans="1:30" s="37" customFormat="1" ht="15.75" customHeight="1" x14ac:dyDescent="0.2">
      <c r="A1851" s="26">
        <v>648</v>
      </c>
      <c r="B1851" s="27" t="s">
        <v>2929</v>
      </c>
      <c r="C1851" s="27" t="s">
        <v>3094</v>
      </c>
      <c r="D1851" s="28">
        <v>0.02</v>
      </c>
      <c r="E1851" s="29">
        <v>25.38</v>
      </c>
      <c r="F1851" s="29">
        <v>8.99</v>
      </c>
      <c r="G1851" s="30" t="s">
        <v>39</v>
      </c>
      <c r="H1851" s="27" t="s">
        <v>71</v>
      </c>
      <c r="I1851" s="27" t="s">
        <v>29</v>
      </c>
      <c r="J1851" s="27" t="s">
        <v>126</v>
      </c>
      <c r="K1851" s="27" t="s">
        <v>43</v>
      </c>
      <c r="L1851" s="31" t="s">
        <v>2385</v>
      </c>
      <c r="M1851" s="32">
        <v>0.5</v>
      </c>
      <c r="N1851" s="27" t="s">
        <v>33</v>
      </c>
      <c r="O1851" s="27" t="s">
        <v>53</v>
      </c>
      <c r="P1851" s="27" t="s">
        <v>103</v>
      </c>
      <c r="Q1851" s="27" t="s">
        <v>2930</v>
      </c>
      <c r="R1851" s="33">
        <v>60440</v>
      </c>
      <c r="S1851" s="34">
        <v>42176</v>
      </c>
      <c r="T1851" s="34">
        <v>42177</v>
      </c>
      <c r="U1851" s="29">
        <v>-10.36</v>
      </c>
      <c r="V1851" s="26">
        <v>1</v>
      </c>
      <c r="W1851" s="29">
        <v>34.11</v>
      </c>
      <c r="X1851" s="26">
        <v>91365</v>
      </c>
      <c r="Y1851" s="35">
        <v>90.48</v>
      </c>
      <c r="Z1851" s="1" t="s">
        <v>3012</v>
      </c>
      <c r="AA1851" s="36">
        <v>0.50759999999999994</v>
      </c>
      <c r="AB1851" s="54">
        <v>17.055</v>
      </c>
      <c r="AC1851" s="54">
        <v>17.055</v>
      </c>
      <c r="AD1851" s="36">
        <v>34.9724</v>
      </c>
    </row>
    <row r="1852" spans="1:30" s="37" customFormat="1" ht="15.75" customHeight="1" x14ac:dyDescent="0.2">
      <c r="A1852" s="26">
        <v>2713</v>
      </c>
      <c r="B1852" s="27" t="s">
        <v>2922</v>
      </c>
      <c r="C1852" s="27" t="s">
        <v>26</v>
      </c>
      <c r="D1852" s="28">
        <v>7.0000000000000007E-2</v>
      </c>
      <c r="E1852" s="29">
        <v>2.88</v>
      </c>
      <c r="F1852" s="29">
        <v>0.5</v>
      </c>
      <c r="G1852" s="30" t="s">
        <v>39</v>
      </c>
      <c r="H1852" s="27" t="s">
        <v>94</v>
      </c>
      <c r="I1852" s="27" t="s">
        <v>49</v>
      </c>
      <c r="J1852" s="27" t="s">
        <v>152</v>
      </c>
      <c r="K1852" s="27" t="s">
        <v>73</v>
      </c>
      <c r="L1852" s="31" t="s">
        <v>2923</v>
      </c>
      <c r="M1852" s="32">
        <v>0.39</v>
      </c>
      <c r="N1852" s="27" t="s">
        <v>33</v>
      </c>
      <c r="O1852" s="27" t="s">
        <v>53</v>
      </c>
      <c r="P1852" s="27" t="s">
        <v>289</v>
      </c>
      <c r="Q1852" s="27" t="s">
        <v>2924</v>
      </c>
      <c r="R1852" s="33">
        <v>49001</v>
      </c>
      <c r="S1852" s="34">
        <v>42176</v>
      </c>
      <c r="T1852" s="34">
        <v>42179</v>
      </c>
      <c r="U1852" s="29">
        <v>17.429400000000001</v>
      </c>
      <c r="V1852" s="26">
        <v>9</v>
      </c>
      <c r="W1852" s="29">
        <v>25.26</v>
      </c>
      <c r="X1852" s="26">
        <v>88701</v>
      </c>
      <c r="Y1852" s="35">
        <v>25.36</v>
      </c>
      <c r="Z1852" s="1" t="s">
        <v>3012</v>
      </c>
      <c r="AA1852" s="36">
        <v>1.8144</v>
      </c>
      <c r="AB1852" s="54">
        <v>15.4086</v>
      </c>
      <c r="AC1852" s="54">
        <v>1.0946</v>
      </c>
      <c r="AD1852" s="36">
        <v>5.5162000000000013</v>
      </c>
    </row>
    <row r="1853" spans="1:30" s="37" customFormat="1" ht="15.75" customHeight="1" x14ac:dyDescent="0.2">
      <c r="A1853" s="26">
        <v>2049</v>
      </c>
      <c r="B1853" s="27" t="s">
        <v>2925</v>
      </c>
      <c r="C1853" s="27" t="s">
        <v>38</v>
      </c>
      <c r="D1853" s="28">
        <v>0.09</v>
      </c>
      <c r="E1853" s="29">
        <v>1.76</v>
      </c>
      <c r="F1853" s="29">
        <v>0.7</v>
      </c>
      <c r="G1853" s="30" t="s">
        <v>39</v>
      </c>
      <c r="H1853" s="27" t="s">
        <v>94</v>
      </c>
      <c r="I1853" s="27" t="s">
        <v>49</v>
      </c>
      <c r="J1853" s="27" t="s">
        <v>50</v>
      </c>
      <c r="K1853" s="27" t="s">
        <v>51</v>
      </c>
      <c r="L1853" s="31" t="s">
        <v>2927</v>
      </c>
      <c r="M1853" s="32">
        <v>0.56000000000000005</v>
      </c>
      <c r="N1853" s="27" t="s">
        <v>33</v>
      </c>
      <c r="O1853" s="27" t="s">
        <v>34</v>
      </c>
      <c r="P1853" s="27" t="s">
        <v>242</v>
      </c>
      <c r="Q1853" s="27" t="s">
        <v>2926</v>
      </c>
      <c r="R1853" s="33">
        <v>22801</v>
      </c>
      <c r="S1853" s="34">
        <v>42176</v>
      </c>
      <c r="T1853" s="34">
        <v>42179</v>
      </c>
      <c r="U1853" s="29">
        <v>-12.278</v>
      </c>
      <c r="V1853" s="26">
        <v>13</v>
      </c>
      <c r="W1853" s="29">
        <v>21.77</v>
      </c>
      <c r="X1853" s="26">
        <v>88220</v>
      </c>
      <c r="Y1853" s="35">
        <v>6.3900000000000006</v>
      </c>
      <c r="Z1853" s="1" t="s">
        <v>3011</v>
      </c>
      <c r="AA1853" s="36">
        <v>2.0591999999999997</v>
      </c>
      <c r="AB1853" s="54">
        <v>9.5787999999999993</v>
      </c>
      <c r="AC1853" s="54">
        <v>0.93778461538461544</v>
      </c>
      <c r="AD1853" s="36">
        <v>31.288800000000002</v>
      </c>
    </row>
    <row r="1854" spans="1:30" s="37" customFormat="1" ht="15.75" customHeight="1" x14ac:dyDescent="0.2">
      <c r="A1854" s="26">
        <v>2874</v>
      </c>
      <c r="B1854" s="27" t="s">
        <v>2040</v>
      </c>
      <c r="C1854" s="27" t="s">
        <v>26</v>
      </c>
      <c r="D1854" s="28">
        <v>0.03</v>
      </c>
      <c r="E1854" s="29">
        <v>304.99</v>
      </c>
      <c r="F1854" s="29">
        <v>19.989999999999998</v>
      </c>
      <c r="G1854" s="30" t="s">
        <v>39</v>
      </c>
      <c r="H1854" s="27" t="s">
        <v>71</v>
      </c>
      <c r="I1854" s="27" t="s">
        <v>49</v>
      </c>
      <c r="J1854" s="27" t="s">
        <v>72</v>
      </c>
      <c r="K1854" s="27" t="s">
        <v>73</v>
      </c>
      <c r="L1854" s="31" t="s">
        <v>2803</v>
      </c>
      <c r="M1854" s="32">
        <v>0.4</v>
      </c>
      <c r="N1854" s="27" t="s">
        <v>33</v>
      </c>
      <c r="O1854" s="27" t="s">
        <v>53</v>
      </c>
      <c r="P1854" s="27" t="s">
        <v>133</v>
      </c>
      <c r="Q1854" s="27" t="s">
        <v>2041</v>
      </c>
      <c r="R1854" s="33">
        <v>68128</v>
      </c>
      <c r="S1854" s="34">
        <v>42177</v>
      </c>
      <c r="T1854" s="34">
        <v>42179</v>
      </c>
      <c r="U1854" s="29">
        <v>4033.6089000000002</v>
      </c>
      <c r="V1854" s="26">
        <v>19</v>
      </c>
      <c r="W1854" s="29">
        <v>5845.81</v>
      </c>
      <c r="X1854" s="26">
        <v>89874</v>
      </c>
      <c r="Y1854" s="35">
        <v>20.89</v>
      </c>
      <c r="Z1854" s="1" t="s">
        <v>3012</v>
      </c>
      <c r="AA1854" s="36">
        <v>173.84429999999998</v>
      </c>
      <c r="AB1854" s="54">
        <v>3507.4860000000003</v>
      </c>
      <c r="AC1854" s="54">
        <v>123.06968421052632</v>
      </c>
      <c r="AD1854" s="36">
        <v>1618.3668000000007</v>
      </c>
    </row>
    <row r="1855" spans="1:30" s="37" customFormat="1" ht="15.75" customHeight="1" x14ac:dyDescent="0.2">
      <c r="A1855" s="26">
        <v>522</v>
      </c>
      <c r="B1855" s="27" t="s">
        <v>2951</v>
      </c>
      <c r="C1855" s="27" t="s">
        <v>116</v>
      </c>
      <c r="D1855" s="28">
        <v>0.01</v>
      </c>
      <c r="E1855" s="29">
        <v>179.29</v>
      </c>
      <c r="F1855" s="29">
        <v>29.21</v>
      </c>
      <c r="G1855" s="30" t="s">
        <v>27</v>
      </c>
      <c r="H1855" s="27" t="s">
        <v>3095</v>
      </c>
      <c r="I1855" s="27" t="s">
        <v>29</v>
      </c>
      <c r="J1855" s="27" t="s">
        <v>30</v>
      </c>
      <c r="K1855" s="27" t="s">
        <v>31</v>
      </c>
      <c r="L1855" s="31" t="s">
        <v>543</v>
      </c>
      <c r="M1855" s="32">
        <v>0.74</v>
      </c>
      <c r="N1855" s="27" t="s">
        <v>33</v>
      </c>
      <c r="O1855" s="27" t="s">
        <v>60</v>
      </c>
      <c r="P1855" s="27" t="s">
        <v>139</v>
      </c>
      <c r="Q1855" s="27" t="s">
        <v>842</v>
      </c>
      <c r="R1855" s="33">
        <v>97756</v>
      </c>
      <c r="S1855" s="34">
        <v>42177</v>
      </c>
      <c r="T1855" s="34">
        <v>42178</v>
      </c>
      <c r="U1855" s="29">
        <v>2800.12</v>
      </c>
      <c r="V1855" s="26">
        <v>21</v>
      </c>
      <c r="W1855" s="29">
        <v>3112.13</v>
      </c>
      <c r="X1855" s="26">
        <v>89327</v>
      </c>
      <c r="Y1855" s="35">
        <v>304.96000000000004</v>
      </c>
      <c r="Z1855" s="1" t="s">
        <v>3013</v>
      </c>
      <c r="AA1855" s="36">
        <v>37.6509</v>
      </c>
      <c r="AB1855" s="54">
        <v>809.15380000000005</v>
      </c>
      <c r="AC1855" s="54">
        <v>109.66553333333333</v>
      </c>
      <c r="AD1855" s="36">
        <v>245.14910000000009</v>
      </c>
    </row>
    <row r="1856" spans="1:30" s="37" customFormat="1" ht="15.75" customHeight="1" x14ac:dyDescent="0.2">
      <c r="A1856" s="26">
        <v>102</v>
      </c>
      <c r="B1856" s="27" t="s">
        <v>2042</v>
      </c>
      <c r="C1856" s="27" t="s">
        <v>116</v>
      </c>
      <c r="D1856" s="28">
        <v>0.1</v>
      </c>
      <c r="E1856" s="29">
        <v>19.98</v>
      </c>
      <c r="F1856" s="29">
        <v>4</v>
      </c>
      <c r="G1856" s="30" t="s">
        <v>39</v>
      </c>
      <c r="H1856" s="27" t="s">
        <v>40</v>
      </c>
      <c r="I1856" s="27" t="s">
        <v>41</v>
      </c>
      <c r="J1856" s="27" t="s">
        <v>42</v>
      </c>
      <c r="K1856" s="27" t="s">
        <v>73</v>
      </c>
      <c r="L1856" s="31" t="s">
        <v>1761</v>
      </c>
      <c r="M1856" s="32">
        <v>0.68</v>
      </c>
      <c r="N1856" s="27" t="s">
        <v>33</v>
      </c>
      <c r="O1856" s="27" t="s">
        <v>111</v>
      </c>
      <c r="P1856" s="27" t="s">
        <v>403</v>
      </c>
      <c r="Q1856" s="27" t="s">
        <v>788</v>
      </c>
      <c r="R1856" s="33">
        <v>2129</v>
      </c>
      <c r="S1856" s="34">
        <v>42177</v>
      </c>
      <c r="T1856" s="34">
        <v>42179</v>
      </c>
      <c r="U1856" s="29">
        <v>-20.25</v>
      </c>
      <c r="V1856" s="26">
        <v>65</v>
      </c>
      <c r="W1856" s="29">
        <v>1233.32</v>
      </c>
      <c r="X1856" s="26">
        <v>3397</v>
      </c>
      <c r="Y1856" s="35">
        <v>65.899999999999991</v>
      </c>
      <c r="Z1856" s="1" t="s">
        <v>3014</v>
      </c>
      <c r="AA1856" s="36">
        <v>129.87</v>
      </c>
      <c r="AB1856" s="54">
        <v>394.66239999999993</v>
      </c>
      <c r="AC1856" s="54">
        <v>12.902424615384616</v>
      </c>
      <c r="AD1856" s="36">
        <v>1119.6999999999998</v>
      </c>
    </row>
    <row r="1857" spans="1:30" s="37" customFormat="1" ht="15.75" customHeight="1" x14ac:dyDescent="0.2">
      <c r="A1857" s="26">
        <v>437</v>
      </c>
      <c r="B1857" s="27" t="s">
        <v>2940</v>
      </c>
      <c r="C1857" s="27" t="s">
        <v>48</v>
      </c>
      <c r="D1857" s="28">
        <v>0.05</v>
      </c>
      <c r="E1857" s="29">
        <v>125.99</v>
      </c>
      <c r="F1857" s="29">
        <v>8.08</v>
      </c>
      <c r="G1857" s="30" t="s">
        <v>39</v>
      </c>
      <c r="H1857" s="27" t="s">
        <v>3095</v>
      </c>
      <c r="I1857" s="27" t="s">
        <v>41</v>
      </c>
      <c r="J1857" s="27" t="s">
        <v>135</v>
      </c>
      <c r="K1857" s="27" t="s">
        <v>73</v>
      </c>
      <c r="L1857" s="31" t="s">
        <v>2113</v>
      </c>
      <c r="M1857" s="32">
        <v>0.56999999999999995</v>
      </c>
      <c r="N1857" s="27" t="s">
        <v>33</v>
      </c>
      <c r="O1857" s="27" t="s">
        <v>111</v>
      </c>
      <c r="P1857" s="27" t="s">
        <v>403</v>
      </c>
      <c r="Q1857" s="27" t="s">
        <v>2941</v>
      </c>
      <c r="R1857" s="33">
        <v>1462</v>
      </c>
      <c r="S1857" s="34">
        <v>42177</v>
      </c>
      <c r="T1857" s="34">
        <v>42182</v>
      </c>
      <c r="U1857" s="29">
        <v>427.11840000000001</v>
      </c>
      <c r="V1857" s="26">
        <v>9</v>
      </c>
      <c r="W1857" s="29">
        <v>952.26</v>
      </c>
      <c r="X1857" s="26">
        <v>90695</v>
      </c>
      <c r="Y1857" s="35">
        <v>7.9700000000000006</v>
      </c>
      <c r="Z1857" s="1" t="s">
        <v>3014</v>
      </c>
      <c r="AA1857" s="36">
        <v>56.695500000000003</v>
      </c>
      <c r="AB1857" s="54">
        <v>409.47180000000003</v>
      </c>
      <c r="AC1857" s="54">
        <v>60.309799999999996</v>
      </c>
      <c r="AD1857" s="36">
        <v>460.36610000000002</v>
      </c>
    </row>
    <row r="1858" spans="1:30" s="37" customFormat="1" ht="15.75" customHeight="1" x14ac:dyDescent="0.2">
      <c r="A1858" s="26">
        <v>2874</v>
      </c>
      <c r="B1858" s="27" t="s">
        <v>2040</v>
      </c>
      <c r="C1858" s="27" t="s">
        <v>26</v>
      </c>
      <c r="D1858" s="28">
        <v>0.09</v>
      </c>
      <c r="E1858" s="29">
        <v>65.989999999999995</v>
      </c>
      <c r="F1858" s="29">
        <v>8.99</v>
      </c>
      <c r="G1858" s="30" t="s">
        <v>39</v>
      </c>
      <c r="H1858" s="27" t="s">
        <v>71</v>
      </c>
      <c r="I1858" s="27" t="s">
        <v>41</v>
      </c>
      <c r="J1858" s="27" t="s">
        <v>135</v>
      </c>
      <c r="K1858" s="27" t="s">
        <v>73</v>
      </c>
      <c r="L1858" s="31" t="s">
        <v>2936</v>
      </c>
      <c r="M1858" s="32">
        <v>0.57999999999999996</v>
      </c>
      <c r="N1858" s="27" t="s">
        <v>33</v>
      </c>
      <c r="O1858" s="27" t="s">
        <v>53</v>
      </c>
      <c r="P1858" s="27" t="s">
        <v>133</v>
      </c>
      <c r="Q1858" s="27" t="s">
        <v>2041</v>
      </c>
      <c r="R1858" s="33">
        <v>68128</v>
      </c>
      <c r="S1858" s="34">
        <v>42177</v>
      </c>
      <c r="T1858" s="34">
        <v>42179</v>
      </c>
      <c r="U1858" s="29">
        <v>141.7824</v>
      </c>
      <c r="V1858" s="26">
        <v>12</v>
      </c>
      <c r="W1858" s="29">
        <v>633.85</v>
      </c>
      <c r="X1858" s="26">
        <v>89874</v>
      </c>
      <c r="Y1858" s="35">
        <v>180.88</v>
      </c>
      <c r="Z1858" s="1" t="s">
        <v>3012</v>
      </c>
      <c r="AA1858" s="36">
        <v>71.269199999999984</v>
      </c>
      <c r="AB1858" s="54">
        <v>266.21700000000004</v>
      </c>
      <c r="AC1858" s="54">
        <v>30.636083333333332</v>
      </c>
      <c r="AD1858" s="36">
        <v>411.80840000000001</v>
      </c>
    </row>
    <row r="1859" spans="1:30" s="37" customFormat="1" ht="15.75" customHeight="1" x14ac:dyDescent="0.2">
      <c r="A1859" s="26">
        <v>3132</v>
      </c>
      <c r="B1859" s="27" t="s">
        <v>2552</v>
      </c>
      <c r="C1859" s="27" t="s">
        <v>38</v>
      </c>
      <c r="D1859" s="28">
        <v>0.1</v>
      </c>
      <c r="E1859" s="29">
        <v>180.98</v>
      </c>
      <c r="F1859" s="29">
        <v>26.2</v>
      </c>
      <c r="G1859" s="30" t="s">
        <v>27</v>
      </c>
      <c r="H1859" s="27" t="s">
        <v>94</v>
      </c>
      <c r="I1859" s="27" t="s">
        <v>29</v>
      </c>
      <c r="J1859" s="27" t="s">
        <v>109</v>
      </c>
      <c r="K1859" s="27" t="s">
        <v>58</v>
      </c>
      <c r="L1859" s="31" t="s">
        <v>2274</v>
      </c>
      <c r="M1859" s="32">
        <v>0.59</v>
      </c>
      <c r="N1859" s="27" t="s">
        <v>33</v>
      </c>
      <c r="O1859" s="27" t="s">
        <v>53</v>
      </c>
      <c r="P1859" s="27" t="s">
        <v>103</v>
      </c>
      <c r="Q1859" s="27" t="s">
        <v>2554</v>
      </c>
      <c r="R1859" s="33">
        <v>60060</v>
      </c>
      <c r="S1859" s="34">
        <v>42177</v>
      </c>
      <c r="T1859" s="34">
        <v>42178</v>
      </c>
      <c r="U1859" s="29">
        <v>-64.664000000000001</v>
      </c>
      <c r="V1859" s="26">
        <v>3</v>
      </c>
      <c r="W1859" s="29">
        <v>519.41999999999996</v>
      </c>
      <c r="X1859" s="26">
        <v>86790</v>
      </c>
      <c r="Y1859" s="35">
        <v>125.94</v>
      </c>
      <c r="Z1859" s="1" t="s">
        <v>3012</v>
      </c>
      <c r="AA1859" s="36">
        <v>54.293999999999997</v>
      </c>
      <c r="AB1859" s="54">
        <v>212.9622</v>
      </c>
      <c r="AC1859" s="54">
        <v>102.15259999999999</v>
      </c>
      <c r="AD1859" s="36">
        <v>503.59</v>
      </c>
    </row>
    <row r="1860" spans="1:30" s="37" customFormat="1" ht="15.75" customHeight="1" x14ac:dyDescent="0.2">
      <c r="A1860" s="26">
        <v>522</v>
      </c>
      <c r="B1860" s="27" t="s">
        <v>2951</v>
      </c>
      <c r="C1860" s="27" t="s">
        <v>116</v>
      </c>
      <c r="D1860" s="28">
        <v>0.02</v>
      </c>
      <c r="E1860" s="29">
        <v>150.97999999999999</v>
      </c>
      <c r="F1860" s="29">
        <v>13.99</v>
      </c>
      <c r="G1860" s="30" t="s">
        <v>87</v>
      </c>
      <c r="H1860" s="27" t="s">
        <v>3095</v>
      </c>
      <c r="I1860" s="27" t="s">
        <v>41</v>
      </c>
      <c r="J1860" s="27" t="s">
        <v>57</v>
      </c>
      <c r="K1860" s="27" t="s">
        <v>144</v>
      </c>
      <c r="L1860" s="31" t="s">
        <v>782</v>
      </c>
      <c r="M1860" s="32">
        <v>0.38</v>
      </c>
      <c r="N1860" s="27" t="s">
        <v>33</v>
      </c>
      <c r="O1860" s="27" t="s">
        <v>60</v>
      </c>
      <c r="P1860" s="27" t="s">
        <v>139</v>
      </c>
      <c r="Q1860" s="27" t="s">
        <v>842</v>
      </c>
      <c r="R1860" s="33">
        <v>97756</v>
      </c>
      <c r="S1860" s="34">
        <v>42177</v>
      </c>
      <c r="T1860" s="34">
        <v>42179</v>
      </c>
      <c r="U1860" s="29">
        <v>26.1</v>
      </c>
      <c r="V1860" s="26">
        <v>3</v>
      </c>
      <c r="W1860" s="29">
        <v>480.37</v>
      </c>
      <c r="X1860" s="26">
        <v>89327</v>
      </c>
      <c r="Y1860" s="35">
        <v>4.67</v>
      </c>
      <c r="Z1860" s="1" t="s">
        <v>3013</v>
      </c>
      <c r="AA1860" s="36">
        <v>9.0587999999999997</v>
      </c>
      <c r="AB1860" s="54">
        <v>297.82940000000002</v>
      </c>
      <c r="AC1860" s="54">
        <v>60.846866666666671</v>
      </c>
      <c r="AD1860" s="36">
        <v>431.22120000000001</v>
      </c>
    </row>
    <row r="1861" spans="1:30" s="37" customFormat="1" ht="15.75" customHeight="1" x14ac:dyDescent="0.2">
      <c r="A1861" s="26">
        <v>101</v>
      </c>
      <c r="B1861" s="27" t="s">
        <v>2946</v>
      </c>
      <c r="C1861" s="27" t="s">
        <v>116</v>
      </c>
      <c r="D1861" s="28">
        <v>0.1</v>
      </c>
      <c r="E1861" s="29">
        <v>19.98</v>
      </c>
      <c r="F1861" s="29">
        <v>4</v>
      </c>
      <c r="G1861" s="30" t="s">
        <v>39</v>
      </c>
      <c r="H1861" s="27" t="s">
        <v>40</v>
      </c>
      <c r="I1861" s="27" t="s">
        <v>41</v>
      </c>
      <c r="J1861" s="27" t="s">
        <v>42</v>
      </c>
      <c r="K1861" s="27" t="s">
        <v>73</v>
      </c>
      <c r="L1861" s="31" t="s">
        <v>1761</v>
      </c>
      <c r="M1861" s="32">
        <v>0.68</v>
      </c>
      <c r="N1861" s="27" t="s">
        <v>33</v>
      </c>
      <c r="O1861" s="27" t="s">
        <v>111</v>
      </c>
      <c r="P1861" s="27" t="s">
        <v>331</v>
      </c>
      <c r="Q1861" s="27" t="s">
        <v>2947</v>
      </c>
      <c r="R1861" s="33">
        <v>4005</v>
      </c>
      <c r="S1861" s="34">
        <v>42177</v>
      </c>
      <c r="T1861" s="34">
        <v>42179</v>
      </c>
      <c r="U1861" s="29">
        <v>-16.2</v>
      </c>
      <c r="V1861" s="26">
        <v>16</v>
      </c>
      <c r="W1861" s="29">
        <v>303.58999999999997</v>
      </c>
      <c r="X1861" s="26">
        <v>88205</v>
      </c>
      <c r="Y1861" s="35">
        <v>4.1400000000000006</v>
      </c>
      <c r="Z1861" s="1" t="s">
        <v>3014</v>
      </c>
      <c r="AA1861" s="36">
        <v>31.968000000000004</v>
      </c>
      <c r="AB1861" s="54">
        <v>97.14879999999998</v>
      </c>
      <c r="AC1861" s="54">
        <v>12.902575000000001</v>
      </c>
      <c r="AD1861" s="36">
        <v>283.82199999999995</v>
      </c>
    </row>
    <row r="1862" spans="1:30" s="37" customFormat="1" ht="15.75" customHeight="1" x14ac:dyDescent="0.2">
      <c r="A1862" s="26">
        <v>1511</v>
      </c>
      <c r="B1862" s="27" t="s">
        <v>2934</v>
      </c>
      <c r="C1862" s="27" t="s">
        <v>26</v>
      </c>
      <c r="D1862" s="28">
        <v>0.09</v>
      </c>
      <c r="E1862" s="29">
        <v>20.98</v>
      </c>
      <c r="F1862" s="29">
        <v>1.49</v>
      </c>
      <c r="G1862" s="30" t="s">
        <v>39</v>
      </c>
      <c r="H1862" s="27" t="s">
        <v>94</v>
      </c>
      <c r="I1862" s="27" t="s">
        <v>49</v>
      </c>
      <c r="J1862" s="27" t="s">
        <v>72</v>
      </c>
      <c r="K1862" s="27" t="s">
        <v>73</v>
      </c>
      <c r="L1862" s="31" t="s">
        <v>2609</v>
      </c>
      <c r="M1862" s="32">
        <v>0.35</v>
      </c>
      <c r="N1862" s="27" t="s">
        <v>33</v>
      </c>
      <c r="O1862" s="27" t="s">
        <v>53</v>
      </c>
      <c r="P1862" s="27" t="s">
        <v>54</v>
      </c>
      <c r="Q1862" s="27" t="s">
        <v>2935</v>
      </c>
      <c r="R1862" s="33">
        <v>47302</v>
      </c>
      <c r="S1862" s="34">
        <v>42177</v>
      </c>
      <c r="T1862" s="34">
        <v>42179</v>
      </c>
      <c r="U1862" s="29">
        <v>199.1823</v>
      </c>
      <c r="V1862" s="26">
        <v>14</v>
      </c>
      <c r="W1862" s="29">
        <v>288.67</v>
      </c>
      <c r="X1862" s="26">
        <v>90303</v>
      </c>
      <c r="Y1862" s="35">
        <v>4.4400000000000004</v>
      </c>
      <c r="Z1862" s="1" t="s">
        <v>3012</v>
      </c>
      <c r="AA1862" s="36">
        <v>26.434799999999999</v>
      </c>
      <c r="AB1862" s="54">
        <v>187.63550000000001</v>
      </c>
      <c r="AC1862" s="54">
        <v>7.2167500000000002</v>
      </c>
      <c r="AD1862" s="36">
        <v>61.562900000000013</v>
      </c>
    </row>
    <row r="1863" spans="1:30" s="37" customFormat="1" ht="15.75" customHeight="1" x14ac:dyDescent="0.2">
      <c r="A1863" s="26">
        <v>1127</v>
      </c>
      <c r="B1863" s="27" t="s">
        <v>1345</v>
      </c>
      <c r="C1863" s="27" t="s">
        <v>48</v>
      </c>
      <c r="D1863" s="28">
        <v>0.04</v>
      </c>
      <c r="E1863" s="29">
        <v>4.71</v>
      </c>
      <c r="F1863" s="29">
        <v>0.7</v>
      </c>
      <c r="G1863" s="30" t="s">
        <v>39</v>
      </c>
      <c r="H1863" s="27" t="s">
        <v>40</v>
      </c>
      <c r="I1863" s="27" t="s">
        <v>49</v>
      </c>
      <c r="J1863" s="27" t="s">
        <v>176</v>
      </c>
      <c r="K1863" s="27" t="s">
        <v>51</v>
      </c>
      <c r="L1863" s="31" t="s">
        <v>2724</v>
      </c>
      <c r="M1863" s="32">
        <v>0.8</v>
      </c>
      <c r="N1863" s="27" t="s">
        <v>33</v>
      </c>
      <c r="O1863" s="27" t="s">
        <v>53</v>
      </c>
      <c r="P1863" s="27" t="s">
        <v>187</v>
      </c>
      <c r="Q1863" s="27" t="s">
        <v>1346</v>
      </c>
      <c r="R1863" s="33">
        <v>78852</v>
      </c>
      <c r="S1863" s="34">
        <v>42177</v>
      </c>
      <c r="T1863" s="34">
        <v>42181</v>
      </c>
      <c r="U1863" s="29">
        <v>4.53</v>
      </c>
      <c r="V1863" s="26">
        <v>19</v>
      </c>
      <c r="W1863" s="29">
        <v>90.52</v>
      </c>
      <c r="X1863" s="26">
        <v>87222</v>
      </c>
      <c r="Y1863" s="35">
        <v>19.88</v>
      </c>
      <c r="Z1863" s="1" t="s">
        <v>3012</v>
      </c>
      <c r="AA1863" s="36">
        <v>3.5796000000000001</v>
      </c>
      <c r="AB1863" s="54">
        <v>18.103999999999996</v>
      </c>
      <c r="AC1863" s="54">
        <v>3.8113684210526317</v>
      </c>
      <c r="AD1863" s="36">
        <v>81.710399999999993</v>
      </c>
    </row>
    <row r="1864" spans="1:30" s="37" customFormat="1" ht="15.75" customHeight="1" x14ac:dyDescent="0.2">
      <c r="A1864" s="26">
        <v>1128</v>
      </c>
      <c r="B1864" s="27" t="s">
        <v>2942</v>
      </c>
      <c r="C1864" s="27" t="s">
        <v>48</v>
      </c>
      <c r="D1864" s="28">
        <v>0.06</v>
      </c>
      <c r="E1864" s="29">
        <v>4.2</v>
      </c>
      <c r="F1864" s="29">
        <v>2.2599999999999998</v>
      </c>
      <c r="G1864" s="30" t="s">
        <v>39</v>
      </c>
      <c r="H1864" s="27" t="s">
        <v>40</v>
      </c>
      <c r="I1864" s="27" t="s">
        <v>49</v>
      </c>
      <c r="J1864" s="27" t="s">
        <v>88</v>
      </c>
      <c r="K1864" s="27" t="s">
        <v>51</v>
      </c>
      <c r="L1864" s="31" t="s">
        <v>596</v>
      </c>
      <c r="M1864" s="32">
        <v>0.36</v>
      </c>
      <c r="N1864" s="27" t="s">
        <v>33</v>
      </c>
      <c r="O1864" s="27" t="s">
        <v>53</v>
      </c>
      <c r="P1864" s="27" t="s">
        <v>187</v>
      </c>
      <c r="Q1864" s="27" t="s">
        <v>2943</v>
      </c>
      <c r="R1864" s="33">
        <v>78539</v>
      </c>
      <c r="S1864" s="34">
        <v>42177</v>
      </c>
      <c r="T1864" s="34">
        <v>42182</v>
      </c>
      <c r="U1864" s="29">
        <v>9.7799999999999994</v>
      </c>
      <c r="V1864" s="26">
        <v>13</v>
      </c>
      <c r="W1864" s="29">
        <v>55.97</v>
      </c>
      <c r="X1864" s="26">
        <v>87222</v>
      </c>
      <c r="Y1864" s="35">
        <v>19.88</v>
      </c>
      <c r="Z1864" s="1" t="s">
        <v>3012</v>
      </c>
      <c r="AA1864" s="36">
        <v>3.2759999999999998</v>
      </c>
      <c r="AB1864" s="54">
        <v>35.820799999999998</v>
      </c>
      <c r="AC1864" s="54">
        <v>1.5499384615384615</v>
      </c>
      <c r="AD1864" s="36">
        <v>40.653999999999996</v>
      </c>
    </row>
    <row r="1865" spans="1:30" s="37" customFormat="1" ht="15.75" customHeight="1" x14ac:dyDescent="0.2">
      <c r="A1865" s="26">
        <v>102</v>
      </c>
      <c r="B1865" s="27" t="s">
        <v>2042</v>
      </c>
      <c r="C1865" s="27" t="s">
        <v>116</v>
      </c>
      <c r="D1865" s="28">
        <v>0.09</v>
      </c>
      <c r="E1865" s="29">
        <v>2.88</v>
      </c>
      <c r="F1865" s="29">
        <v>1.49</v>
      </c>
      <c r="G1865" s="30" t="s">
        <v>39</v>
      </c>
      <c r="H1865" s="27" t="s">
        <v>40</v>
      </c>
      <c r="I1865" s="27" t="s">
        <v>49</v>
      </c>
      <c r="J1865" s="27" t="s">
        <v>72</v>
      </c>
      <c r="K1865" s="27" t="s">
        <v>73</v>
      </c>
      <c r="L1865" s="31" t="s">
        <v>2948</v>
      </c>
      <c r="M1865" s="32">
        <v>0.36</v>
      </c>
      <c r="N1865" s="27" t="s">
        <v>33</v>
      </c>
      <c r="O1865" s="27" t="s">
        <v>111</v>
      </c>
      <c r="P1865" s="27" t="s">
        <v>403</v>
      </c>
      <c r="Q1865" s="27" t="s">
        <v>788</v>
      </c>
      <c r="R1865" s="33">
        <v>2129</v>
      </c>
      <c r="S1865" s="34">
        <v>42177</v>
      </c>
      <c r="T1865" s="34">
        <v>42178</v>
      </c>
      <c r="U1865" s="29">
        <v>-3.3809999999999998</v>
      </c>
      <c r="V1865" s="26">
        <v>17</v>
      </c>
      <c r="W1865" s="29">
        <v>47.31</v>
      </c>
      <c r="X1865" s="26">
        <v>3397</v>
      </c>
      <c r="Y1865" s="35">
        <v>2.79</v>
      </c>
      <c r="Z1865" s="1" t="s">
        <v>3014</v>
      </c>
      <c r="AA1865" s="36">
        <v>4.4063999999999997</v>
      </c>
      <c r="AB1865" s="54">
        <v>30.278400000000001</v>
      </c>
      <c r="AC1865" s="54">
        <v>1.0018588235294119</v>
      </c>
      <c r="AD1865" s="36">
        <v>44.794600000000003</v>
      </c>
    </row>
    <row r="1866" spans="1:30" s="37" customFormat="1" ht="15.75" customHeight="1" x14ac:dyDescent="0.2">
      <c r="A1866" s="26">
        <v>2279</v>
      </c>
      <c r="B1866" s="27" t="s">
        <v>2944</v>
      </c>
      <c r="C1866" s="27" t="s">
        <v>48</v>
      </c>
      <c r="D1866" s="28">
        <v>0.04</v>
      </c>
      <c r="E1866" s="29">
        <v>4.4800000000000004</v>
      </c>
      <c r="F1866" s="29">
        <v>2.5</v>
      </c>
      <c r="G1866" s="30" t="s">
        <v>87</v>
      </c>
      <c r="H1866" s="27" t="s">
        <v>71</v>
      </c>
      <c r="I1866" s="27" t="s">
        <v>49</v>
      </c>
      <c r="J1866" s="27" t="s">
        <v>345</v>
      </c>
      <c r="K1866" s="27" t="s">
        <v>73</v>
      </c>
      <c r="L1866" s="31" t="s">
        <v>1021</v>
      </c>
      <c r="M1866" s="32">
        <v>0.37</v>
      </c>
      <c r="N1866" s="27" t="s">
        <v>33</v>
      </c>
      <c r="O1866" s="27" t="s">
        <v>111</v>
      </c>
      <c r="P1866" s="27" t="s">
        <v>320</v>
      </c>
      <c r="Q1866" s="27" t="s">
        <v>2945</v>
      </c>
      <c r="R1866" s="33">
        <v>15601</v>
      </c>
      <c r="S1866" s="34">
        <v>42177</v>
      </c>
      <c r="T1866" s="34">
        <v>42181</v>
      </c>
      <c r="U1866" s="29">
        <v>10.32</v>
      </c>
      <c r="V1866" s="26">
        <v>7</v>
      </c>
      <c r="W1866" s="29">
        <v>35.93</v>
      </c>
      <c r="X1866" s="26">
        <v>85949</v>
      </c>
      <c r="Y1866" s="35">
        <v>2.79</v>
      </c>
      <c r="Z1866" s="1" t="s">
        <v>3014</v>
      </c>
      <c r="AA1866" s="36">
        <v>1.2544000000000002</v>
      </c>
      <c r="AB1866" s="54">
        <v>22.635899999999999</v>
      </c>
      <c r="AC1866" s="54">
        <v>1.8991571428571428</v>
      </c>
      <c r="AD1866" s="36">
        <v>21.855599999999999</v>
      </c>
    </row>
    <row r="1867" spans="1:30" s="37" customFormat="1" ht="15.75" customHeight="1" x14ac:dyDescent="0.2">
      <c r="A1867" s="26">
        <v>2963</v>
      </c>
      <c r="B1867" s="27" t="s">
        <v>2937</v>
      </c>
      <c r="C1867" s="27" t="s">
        <v>26</v>
      </c>
      <c r="D1867" s="28">
        <v>0.01</v>
      </c>
      <c r="E1867" s="29">
        <v>7.98</v>
      </c>
      <c r="F1867" s="29">
        <v>6.5</v>
      </c>
      <c r="G1867" s="30" t="s">
        <v>39</v>
      </c>
      <c r="H1867" s="27" t="s">
        <v>40</v>
      </c>
      <c r="I1867" s="27" t="s">
        <v>49</v>
      </c>
      <c r="J1867" s="27" t="s">
        <v>78</v>
      </c>
      <c r="K1867" s="27" t="s">
        <v>144</v>
      </c>
      <c r="L1867" s="31" t="s">
        <v>2938</v>
      </c>
      <c r="M1867" s="32">
        <v>0.59</v>
      </c>
      <c r="N1867" s="27" t="s">
        <v>33</v>
      </c>
      <c r="O1867" s="27" t="s">
        <v>111</v>
      </c>
      <c r="P1867" s="27" t="s">
        <v>418</v>
      </c>
      <c r="Q1867" s="27" t="s">
        <v>2939</v>
      </c>
      <c r="R1867" s="33">
        <v>21220</v>
      </c>
      <c r="S1867" s="34">
        <v>42177</v>
      </c>
      <c r="T1867" s="34">
        <v>42178</v>
      </c>
      <c r="U1867" s="29">
        <v>-34.591999999999999</v>
      </c>
      <c r="V1867" s="26">
        <v>4</v>
      </c>
      <c r="W1867" s="29">
        <v>34.909999999999997</v>
      </c>
      <c r="X1867" s="26">
        <v>88612</v>
      </c>
      <c r="Y1867" s="35">
        <v>150.95999999999998</v>
      </c>
      <c r="Z1867" s="1" t="s">
        <v>3014</v>
      </c>
      <c r="AA1867" s="36">
        <v>0.31920000000000004</v>
      </c>
      <c r="AB1867" s="54">
        <v>14.3131</v>
      </c>
      <c r="AC1867" s="54">
        <v>5.1492249999999995</v>
      </c>
      <c r="AD1867" s="36">
        <v>62.6828</v>
      </c>
    </row>
    <row r="1868" spans="1:30" s="37" customFormat="1" ht="15.75" customHeight="1" x14ac:dyDescent="0.2">
      <c r="A1868" s="26">
        <v>109</v>
      </c>
      <c r="B1868" s="27" t="s">
        <v>2949</v>
      </c>
      <c r="C1868" s="27" t="s">
        <v>116</v>
      </c>
      <c r="D1868" s="28">
        <v>0.09</v>
      </c>
      <c r="E1868" s="29">
        <v>2.88</v>
      </c>
      <c r="F1868" s="29">
        <v>1.49</v>
      </c>
      <c r="G1868" s="30" t="s">
        <v>39</v>
      </c>
      <c r="H1868" s="27" t="s">
        <v>40</v>
      </c>
      <c r="I1868" s="27" t="s">
        <v>49</v>
      </c>
      <c r="J1868" s="27" t="s">
        <v>72</v>
      </c>
      <c r="K1868" s="27" t="s">
        <v>73</v>
      </c>
      <c r="L1868" s="31" t="s">
        <v>2948</v>
      </c>
      <c r="M1868" s="32">
        <v>0.36</v>
      </c>
      <c r="N1868" s="27" t="s">
        <v>33</v>
      </c>
      <c r="O1868" s="27" t="s">
        <v>111</v>
      </c>
      <c r="P1868" s="27" t="s">
        <v>397</v>
      </c>
      <c r="Q1868" s="27" t="s">
        <v>2950</v>
      </c>
      <c r="R1868" s="33">
        <v>7644</v>
      </c>
      <c r="S1868" s="34">
        <v>42177</v>
      </c>
      <c r="T1868" s="34">
        <v>42178</v>
      </c>
      <c r="U1868" s="29">
        <v>-2.7048000000000001</v>
      </c>
      <c r="V1868" s="26">
        <v>4</v>
      </c>
      <c r="W1868" s="29">
        <v>11.13</v>
      </c>
      <c r="X1868" s="26">
        <v>88205</v>
      </c>
      <c r="Y1868" s="35">
        <v>5.33</v>
      </c>
      <c r="Z1868" s="1" t="s">
        <v>3014</v>
      </c>
      <c r="AA1868" s="36">
        <v>1.0367999999999999</v>
      </c>
      <c r="AB1868" s="54">
        <v>7.1232000000000006</v>
      </c>
      <c r="AC1868" s="54">
        <v>1.0017</v>
      </c>
      <c r="AD1868" s="36">
        <v>11.308000000000002</v>
      </c>
    </row>
    <row r="1869" spans="1:30" s="37" customFormat="1" ht="15.75" customHeight="1" x14ac:dyDescent="0.2">
      <c r="A1869" s="26">
        <v>522</v>
      </c>
      <c r="B1869" s="27" t="s">
        <v>2951</v>
      </c>
      <c r="C1869" s="27" t="s">
        <v>116</v>
      </c>
      <c r="D1869" s="28">
        <v>0.1</v>
      </c>
      <c r="E1869" s="29">
        <v>5.43</v>
      </c>
      <c r="F1869" s="29">
        <v>0.95</v>
      </c>
      <c r="G1869" s="30" t="s">
        <v>39</v>
      </c>
      <c r="H1869" s="27" t="s">
        <v>3095</v>
      </c>
      <c r="I1869" s="27" t="s">
        <v>49</v>
      </c>
      <c r="J1869" s="27" t="s">
        <v>88</v>
      </c>
      <c r="K1869" s="27" t="s">
        <v>51</v>
      </c>
      <c r="L1869" s="31" t="s">
        <v>2263</v>
      </c>
      <c r="M1869" s="32">
        <v>0.36</v>
      </c>
      <c r="N1869" s="27" t="s">
        <v>33</v>
      </c>
      <c r="O1869" s="27" t="s">
        <v>60</v>
      </c>
      <c r="P1869" s="27" t="s">
        <v>139</v>
      </c>
      <c r="Q1869" s="27" t="s">
        <v>842</v>
      </c>
      <c r="R1869" s="33">
        <v>97756</v>
      </c>
      <c r="S1869" s="34">
        <v>42177</v>
      </c>
      <c r="T1869" s="34">
        <v>42179</v>
      </c>
      <c r="U1869" s="29">
        <v>-2.58</v>
      </c>
      <c r="V1869" s="26">
        <v>1</v>
      </c>
      <c r="W1869" s="29">
        <v>5.76</v>
      </c>
      <c r="X1869" s="26">
        <v>89327</v>
      </c>
      <c r="Y1869" s="35">
        <v>179.28</v>
      </c>
      <c r="Z1869" s="1" t="s">
        <v>3013</v>
      </c>
      <c r="AA1869" s="36">
        <v>0.54300000000000004</v>
      </c>
      <c r="AB1869" s="54">
        <v>3.6863999999999999</v>
      </c>
      <c r="AC1869" s="54">
        <v>2.0735999999999999</v>
      </c>
      <c r="AD1869" s="36">
        <v>6.8469999999999995</v>
      </c>
    </row>
    <row r="1870" spans="1:30" s="37" customFormat="1" ht="15.75" customHeight="1" x14ac:dyDescent="0.2">
      <c r="A1870" s="26">
        <v>1548</v>
      </c>
      <c r="B1870" s="27" t="s">
        <v>2955</v>
      </c>
      <c r="C1870" s="27" t="s">
        <v>48</v>
      </c>
      <c r="D1870" s="28">
        <v>0</v>
      </c>
      <c r="E1870" s="29">
        <v>599.99</v>
      </c>
      <c r="F1870" s="29">
        <v>24.49</v>
      </c>
      <c r="G1870" s="30" t="s">
        <v>39</v>
      </c>
      <c r="H1870" s="27" t="s">
        <v>94</v>
      </c>
      <c r="I1870" s="27" t="s">
        <v>41</v>
      </c>
      <c r="J1870" s="27" t="s">
        <v>64</v>
      </c>
      <c r="K1870" s="27" t="s">
        <v>65</v>
      </c>
      <c r="L1870" s="31" t="s">
        <v>2956</v>
      </c>
      <c r="M1870" s="32">
        <v>0.44</v>
      </c>
      <c r="N1870" s="27" t="s">
        <v>33</v>
      </c>
      <c r="O1870" s="27" t="s">
        <v>53</v>
      </c>
      <c r="P1870" s="27" t="s">
        <v>54</v>
      </c>
      <c r="Q1870" s="27" t="s">
        <v>2432</v>
      </c>
      <c r="R1870" s="33">
        <v>47374</v>
      </c>
      <c r="S1870" s="34">
        <v>42178</v>
      </c>
      <c r="T1870" s="34">
        <v>42180</v>
      </c>
      <c r="U1870" s="29">
        <v>-367.16500000000002</v>
      </c>
      <c r="V1870" s="26">
        <v>18</v>
      </c>
      <c r="W1870" s="29">
        <v>11015.82</v>
      </c>
      <c r="X1870" s="26">
        <v>88487</v>
      </c>
      <c r="Y1870" s="35">
        <v>200.89</v>
      </c>
      <c r="Z1870" s="1" t="s">
        <v>3012</v>
      </c>
      <c r="AA1870" s="36">
        <v>0</v>
      </c>
      <c r="AB1870" s="54">
        <v>6168.8592000000008</v>
      </c>
      <c r="AC1870" s="54">
        <v>269.2756</v>
      </c>
      <c r="AD1870" s="36">
        <v>11358.494999999999</v>
      </c>
    </row>
    <row r="1871" spans="1:30" s="37" customFormat="1" ht="15.75" customHeight="1" x14ac:dyDescent="0.2">
      <c r="A1871" s="26">
        <v>445</v>
      </c>
      <c r="B1871" s="27" t="s">
        <v>2142</v>
      </c>
      <c r="C1871" s="27" t="s">
        <v>38</v>
      </c>
      <c r="D1871" s="28">
        <v>0.09</v>
      </c>
      <c r="E1871" s="29">
        <v>200.98</v>
      </c>
      <c r="F1871" s="29">
        <v>55.96</v>
      </c>
      <c r="G1871" s="30" t="s">
        <v>27</v>
      </c>
      <c r="H1871" s="27" t="s">
        <v>3095</v>
      </c>
      <c r="I1871" s="27" t="s">
        <v>29</v>
      </c>
      <c r="J1871" s="27" t="s">
        <v>117</v>
      </c>
      <c r="K1871" s="27" t="s">
        <v>31</v>
      </c>
      <c r="L1871" s="31" t="s">
        <v>1639</v>
      </c>
      <c r="M1871" s="32">
        <v>0.75</v>
      </c>
      <c r="N1871" s="27" t="s">
        <v>33</v>
      </c>
      <c r="O1871" s="27" t="s">
        <v>53</v>
      </c>
      <c r="P1871" s="27" t="s">
        <v>133</v>
      </c>
      <c r="Q1871" s="27" t="s">
        <v>1377</v>
      </c>
      <c r="R1871" s="33">
        <v>68701</v>
      </c>
      <c r="S1871" s="34">
        <v>42178</v>
      </c>
      <c r="T1871" s="34">
        <v>42179</v>
      </c>
      <c r="U1871" s="29">
        <v>-512.87199999999996</v>
      </c>
      <c r="V1871" s="26">
        <v>9</v>
      </c>
      <c r="W1871" s="29">
        <v>1766.68</v>
      </c>
      <c r="X1871" s="26">
        <v>88084</v>
      </c>
      <c r="Y1871" s="35">
        <v>2.69</v>
      </c>
      <c r="Z1871" s="1" t="s">
        <v>3012</v>
      </c>
      <c r="AA1871" s="36">
        <v>162.79379999999998</v>
      </c>
      <c r="AB1871" s="54">
        <v>441.67</v>
      </c>
      <c r="AC1871" s="54">
        <v>147.22333333333333</v>
      </c>
      <c r="AD1871" s="36">
        <v>2060.7982000000002</v>
      </c>
    </row>
    <row r="1872" spans="1:30" s="37" customFormat="1" ht="15.75" customHeight="1" x14ac:dyDescent="0.2">
      <c r="A1872" s="26">
        <v>2352</v>
      </c>
      <c r="B1872" s="27" t="s">
        <v>2918</v>
      </c>
      <c r="C1872" s="27" t="s">
        <v>3094</v>
      </c>
      <c r="D1872" s="28">
        <v>0.09</v>
      </c>
      <c r="E1872" s="29">
        <v>71.37</v>
      </c>
      <c r="F1872" s="29">
        <v>69</v>
      </c>
      <c r="G1872" s="30" t="s">
        <v>39</v>
      </c>
      <c r="H1872" s="27" t="s">
        <v>71</v>
      </c>
      <c r="I1872" s="27" t="s">
        <v>29</v>
      </c>
      <c r="J1872" s="27" t="s">
        <v>30</v>
      </c>
      <c r="K1872" s="27" t="s">
        <v>65</v>
      </c>
      <c r="L1872" s="31" t="s">
        <v>1031</v>
      </c>
      <c r="M1872" s="32">
        <v>0.68</v>
      </c>
      <c r="N1872" s="27" t="s">
        <v>33</v>
      </c>
      <c r="O1872" s="27" t="s">
        <v>111</v>
      </c>
      <c r="P1872" s="27" t="s">
        <v>418</v>
      </c>
      <c r="Q1872" s="27" t="s">
        <v>2919</v>
      </c>
      <c r="R1872" s="33">
        <v>21501</v>
      </c>
      <c r="S1872" s="34">
        <v>42178</v>
      </c>
      <c r="T1872" s="34">
        <v>42179</v>
      </c>
      <c r="U1872" s="29">
        <v>-1537.1356000000001</v>
      </c>
      <c r="V1872" s="26">
        <v>19</v>
      </c>
      <c r="W1872" s="29">
        <v>1302.98</v>
      </c>
      <c r="X1872" s="26">
        <v>86166</v>
      </c>
      <c r="Y1872" s="35">
        <v>180.92</v>
      </c>
      <c r="Z1872" s="1" t="s">
        <v>3014</v>
      </c>
      <c r="AA1872" s="36">
        <v>122.04270000000001</v>
      </c>
      <c r="AB1872" s="54">
        <v>416.95359999999994</v>
      </c>
      <c r="AC1872" s="54">
        <v>46.632968421052638</v>
      </c>
      <c r="AD1872" s="36">
        <v>2649.0729000000001</v>
      </c>
    </row>
    <row r="1873" spans="1:30" s="37" customFormat="1" ht="15.75" customHeight="1" x14ac:dyDescent="0.2">
      <c r="A1873" s="26">
        <v>2216</v>
      </c>
      <c r="B1873" s="27" t="s">
        <v>2959</v>
      </c>
      <c r="C1873" s="27" t="s">
        <v>48</v>
      </c>
      <c r="D1873" s="28">
        <v>0.02</v>
      </c>
      <c r="E1873" s="29">
        <v>256.99</v>
      </c>
      <c r="F1873" s="29">
        <v>11.25</v>
      </c>
      <c r="G1873" s="30" t="s">
        <v>39</v>
      </c>
      <c r="H1873" s="27" t="s">
        <v>94</v>
      </c>
      <c r="I1873" s="27" t="s">
        <v>41</v>
      </c>
      <c r="J1873" s="27" t="s">
        <v>42</v>
      </c>
      <c r="K1873" s="27" t="s">
        <v>73</v>
      </c>
      <c r="L1873" s="31" t="s">
        <v>2621</v>
      </c>
      <c r="M1873" s="32">
        <v>0.51</v>
      </c>
      <c r="N1873" s="27" t="s">
        <v>33</v>
      </c>
      <c r="O1873" s="27" t="s">
        <v>111</v>
      </c>
      <c r="P1873" s="27" t="s">
        <v>317</v>
      </c>
      <c r="Q1873" s="27" t="s">
        <v>2133</v>
      </c>
      <c r="R1873" s="33">
        <v>44256</v>
      </c>
      <c r="S1873" s="34">
        <v>42178</v>
      </c>
      <c r="T1873" s="34">
        <v>42185</v>
      </c>
      <c r="U1873" s="29">
        <v>-214.10400000000001</v>
      </c>
      <c r="V1873" s="26">
        <v>3</v>
      </c>
      <c r="W1873" s="29">
        <v>808.44</v>
      </c>
      <c r="X1873" s="26">
        <v>90314</v>
      </c>
      <c r="Y1873" s="35">
        <v>599.99</v>
      </c>
      <c r="Z1873" s="1" t="s">
        <v>3014</v>
      </c>
      <c r="AA1873" s="36">
        <v>15.4194</v>
      </c>
      <c r="AB1873" s="54">
        <v>396.13560000000001</v>
      </c>
      <c r="AC1873" s="54">
        <v>137.43480000000002</v>
      </c>
      <c r="AD1873" s="36">
        <v>995.8746000000001</v>
      </c>
    </row>
    <row r="1874" spans="1:30" s="37" customFormat="1" ht="15.75" customHeight="1" x14ac:dyDescent="0.2">
      <c r="A1874" s="26">
        <v>2333</v>
      </c>
      <c r="B1874" s="27" t="s">
        <v>2953</v>
      </c>
      <c r="C1874" s="27" t="s">
        <v>38</v>
      </c>
      <c r="D1874" s="28">
        <v>0.06</v>
      </c>
      <c r="E1874" s="29">
        <v>180.98</v>
      </c>
      <c r="F1874" s="29">
        <v>26.2</v>
      </c>
      <c r="G1874" s="30" t="s">
        <v>27</v>
      </c>
      <c r="H1874" s="27" t="s">
        <v>3095</v>
      </c>
      <c r="I1874" s="27" t="s">
        <v>29</v>
      </c>
      <c r="J1874" s="27" t="s">
        <v>109</v>
      </c>
      <c r="K1874" s="27" t="s">
        <v>58</v>
      </c>
      <c r="L1874" s="31" t="s">
        <v>2274</v>
      </c>
      <c r="M1874" s="32">
        <v>0.59</v>
      </c>
      <c r="N1874" s="27" t="s">
        <v>33</v>
      </c>
      <c r="O1874" s="27" t="s">
        <v>53</v>
      </c>
      <c r="P1874" s="27" t="s">
        <v>357</v>
      </c>
      <c r="Q1874" s="27" t="s">
        <v>2954</v>
      </c>
      <c r="R1874" s="33">
        <v>54302</v>
      </c>
      <c r="S1874" s="34">
        <v>42178</v>
      </c>
      <c r="T1874" s="34">
        <v>42179</v>
      </c>
      <c r="U1874" s="29">
        <v>-122.235</v>
      </c>
      <c r="V1874" s="26">
        <v>1</v>
      </c>
      <c r="W1874" s="29">
        <v>191.73</v>
      </c>
      <c r="X1874" s="26">
        <v>89611</v>
      </c>
      <c r="Y1874" s="35">
        <v>3.21</v>
      </c>
      <c r="Z1874" s="1" t="s">
        <v>3012</v>
      </c>
      <c r="AA1874" s="36">
        <v>10.858799999999999</v>
      </c>
      <c r="AB1874" s="54">
        <v>78.609300000000005</v>
      </c>
      <c r="AC1874" s="54">
        <v>113.12069999999999</v>
      </c>
      <c r="AD1874" s="36">
        <v>276.90620000000001</v>
      </c>
    </row>
    <row r="1875" spans="1:30" s="37" customFormat="1" ht="15.75" customHeight="1" x14ac:dyDescent="0.2">
      <c r="A1875" s="26">
        <v>2216</v>
      </c>
      <c r="B1875" s="27" t="s">
        <v>2959</v>
      </c>
      <c r="C1875" s="27" t="s">
        <v>48</v>
      </c>
      <c r="D1875" s="28">
        <v>0.01</v>
      </c>
      <c r="E1875" s="29">
        <v>6.48</v>
      </c>
      <c r="F1875" s="29">
        <v>5.14</v>
      </c>
      <c r="G1875" s="30" t="s">
        <v>39</v>
      </c>
      <c r="H1875" s="27" t="s">
        <v>94</v>
      </c>
      <c r="I1875" s="27" t="s">
        <v>49</v>
      </c>
      <c r="J1875" s="27" t="s">
        <v>88</v>
      </c>
      <c r="K1875" s="27" t="s">
        <v>73</v>
      </c>
      <c r="L1875" s="31" t="s">
        <v>1745</v>
      </c>
      <c r="M1875" s="32">
        <v>0.37</v>
      </c>
      <c r="N1875" s="27" t="s">
        <v>33</v>
      </c>
      <c r="O1875" s="27" t="s">
        <v>111</v>
      </c>
      <c r="P1875" s="27" t="s">
        <v>317</v>
      </c>
      <c r="Q1875" s="27" t="s">
        <v>2133</v>
      </c>
      <c r="R1875" s="33">
        <v>44256</v>
      </c>
      <c r="S1875" s="34">
        <v>42178</v>
      </c>
      <c r="T1875" s="34">
        <v>42180</v>
      </c>
      <c r="U1875" s="29">
        <v>-26.936</v>
      </c>
      <c r="V1875" s="26">
        <v>10</v>
      </c>
      <c r="W1875" s="29">
        <v>67.41</v>
      </c>
      <c r="X1875" s="26">
        <v>90314</v>
      </c>
      <c r="Y1875" s="35">
        <v>256.97000000000003</v>
      </c>
      <c r="Z1875" s="1" t="s">
        <v>3014</v>
      </c>
      <c r="AA1875" s="36">
        <v>0.64800000000000013</v>
      </c>
      <c r="AB1875" s="54">
        <v>42.468299999999999</v>
      </c>
      <c r="AC1875" s="54">
        <v>2.49417</v>
      </c>
      <c r="AD1875" s="36">
        <v>88.557999999999993</v>
      </c>
    </row>
    <row r="1876" spans="1:30" s="37" customFormat="1" ht="15.75" customHeight="1" x14ac:dyDescent="0.2">
      <c r="A1876" s="26">
        <v>445</v>
      </c>
      <c r="B1876" s="27" t="s">
        <v>2142</v>
      </c>
      <c r="C1876" s="27" t="s">
        <v>38</v>
      </c>
      <c r="D1876" s="28">
        <v>0.09</v>
      </c>
      <c r="E1876" s="29">
        <v>2.78</v>
      </c>
      <c r="F1876" s="29">
        <v>0.97</v>
      </c>
      <c r="G1876" s="30" t="s">
        <v>39</v>
      </c>
      <c r="H1876" s="27" t="s">
        <v>3095</v>
      </c>
      <c r="I1876" s="27" t="s">
        <v>49</v>
      </c>
      <c r="J1876" s="27" t="s">
        <v>50</v>
      </c>
      <c r="K1876" s="27" t="s">
        <v>51</v>
      </c>
      <c r="L1876" s="31" t="s">
        <v>2952</v>
      </c>
      <c r="M1876" s="32">
        <v>0.59</v>
      </c>
      <c r="N1876" s="27" t="s">
        <v>33</v>
      </c>
      <c r="O1876" s="27" t="s">
        <v>53</v>
      </c>
      <c r="P1876" s="27" t="s">
        <v>133</v>
      </c>
      <c r="Q1876" s="27" t="s">
        <v>1377</v>
      </c>
      <c r="R1876" s="33">
        <v>68701</v>
      </c>
      <c r="S1876" s="34">
        <v>42178</v>
      </c>
      <c r="T1876" s="34">
        <v>42179</v>
      </c>
      <c r="U1876" s="29">
        <v>-3.7839999999999998</v>
      </c>
      <c r="V1876" s="26">
        <v>11</v>
      </c>
      <c r="W1876" s="29">
        <v>29.02</v>
      </c>
      <c r="X1876" s="26">
        <v>88084</v>
      </c>
      <c r="Y1876" s="35">
        <v>6.4700000000000006</v>
      </c>
      <c r="Z1876" s="1" t="s">
        <v>3012</v>
      </c>
      <c r="AA1876" s="36">
        <v>2.7521999999999998</v>
      </c>
      <c r="AB1876" s="54">
        <v>11.898200000000001</v>
      </c>
      <c r="AC1876" s="54">
        <v>1.5565272727272725</v>
      </c>
      <c r="AD1876" s="36">
        <v>29.081800000000001</v>
      </c>
    </row>
    <row r="1877" spans="1:30" s="37" customFormat="1" ht="15.75" customHeight="1" x14ac:dyDescent="0.2">
      <c r="A1877" s="26">
        <v>2215</v>
      </c>
      <c r="B1877" s="27" t="s">
        <v>2957</v>
      </c>
      <c r="C1877" s="27" t="s">
        <v>48</v>
      </c>
      <c r="D1877" s="28">
        <v>7.0000000000000007E-2</v>
      </c>
      <c r="E1877" s="29">
        <v>3.28</v>
      </c>
      <c r="F1877" s="29">
        <v>3.97</v>
      </c>
      <c r="G1877" s="30" t="s">
        <v>39</v>
      </c>
      <c r="H1877" s="27" t="s">
        <v>94</v>
      </c>
      <c r="I1877" s="27" t="s">
        <v>49</v>
      </c>
      <c r="J1877" s="27" t="s">
        <v>50</v>
      </c>
      <c r="K1877" s="27" t="s">
        <v>51</v>
      </c>
      <c r="L1877" s="31" t="s">
        <v>367</v>
      </c>
      <c r="M1877" s="32">
        <v>0.56000000000000005</v>
      </c>
      <c r="N1877" s="27" t="s">
        <v>33</v>
      </c>
      <c r="O1877" s="27" t="s">
        <v>111</v>
      </c>
      <c r="P1877" s="27" t="s">
        <v>317</v>
      </c>
      <c r="Q1877" s="27" t="s">
        <v>2958</v>
      </c>
      <c r="R1877" s="33">
        <v>44646</v>
      </c>
      <c r="S1877" s="34">
        <v>42178</v>
      </c>
      <c r="T1877" s="34">
        <v>42178</v>
      </c>
      <c r="U1877" s="29">
        <v>-22.175999999999998</v>
      </c>
      <c r="V1877" s="26">
        <v>4</v>
      </c>
      <c r="W1877" s="29">
        <v>14.76</v>
      </c>
      <c r="X1877" s="26">
        <v>90314</v>
      </c>
      <c r="Y1877" s="35">
        <v>71.28</v>
      </c>
      <c r="Z1877" s="1" t="s">
        <v>3014</v>
      </c>
      <c r="AA1877" s="36">
        <v>0.91839999999999999</v>
      </c>
      <c r="AB1877" s="54">
        <v>6.4943999999999988</v>
      </c>
      <c r="AC1877" s="54">
        <v>2.0664000000000002</v>
      </c>
      <c r="AD1877" s="36">
        <v>32.047600000000003</v>
      </c>
    </row>
    <row r="1878" spans="1:30" s="37" customFormat="1" ht="15.75" customHeight="1" x14ac:dyDescent="0.2">
      <c r="A1878" s="26">
        <v>3084</v>
      </c>
      <c r="B1878" s="27" t="s">
        <v>2234</v>
      </c>
      <c r="C1878" s="27" t="s">
        <v>3094</v>
      </c>
      <c r="D1878" s="28">
        <v>0.01</v>
      </c>
      <c r="E1878" s="29">
        <v>7.1</v>
      </c>
      <c r="F1878" s="29">
        <v>6.05</v>
      </c>
      <c r="G1878" s="30" t="s">
        <v>39</v>
      </c>
      <c r="H1878" s="27" t="s">
        <v>3095</v>
      </c>
      <c r="I1878" s="27" t="s">
        <v>49</v>
      </c>
      <c r="J1878" s="27" t="s">
        <v>72</v>
      </c>
      <c r="K1878" s="27" t="s">
        <v>73</v>
      </c>
      <c r="L1878" s="31" t="s">
        <v>251</v>
      </c>
      <c r="M1878" s="32">
        <v>0.39</v>
      </c>
      <c r="N1878" s="27" t="s">
        <v>33</v>
      </c>
      <c r="O1878" s="27" t="s">
        <v>60</v>
      </c>
      <c r="P1878" s="27" t="s">
        <v>67</v>
      </c>
      <c r="Q1878" s="27" t="s">
        <v>487</v>
      </c>
      <c r="R1878" s="33">
        <v>98503</v>
      </c>
      <c r="S1878" s="34">
        <v>42179</v>
      </c>
      <c r="T1878" s="34">
        <v>42180</v>
      </c>
      <c r="U1878" s="29">
        <v>-39.186250000000001</v>
      </c>
      <c r="V1878" s="26">
        <v>18</v>
      </c>
      <c r="W1878" s="29">
        <v>133.19</v>
      </c>
      <c r="X1878" s="26">
        <v>89880</v>
      </c>
      <c r="Y1878" s="35">
        <v>20.9</v>
      </c>
      <c r="Z1878" s="1" t="s">
        <v>3013</v>
      </c>
      <c r="AA1878" s="36">
        <v>1.2779999999999998</v>
      </c>
      <c r="AB1878" s="54">
        <v>81.245899999999992</v>
      </c>
      <c r="AC1878" s="54">
        <v>2.8857833333333334</v>
      </c>
      <c r="AD1878" s="36">
        <v>165.04825</v>
      </c>
    </row>
    <row r="1879" spans="1:30" s="37" customFormat="1" ht="15.75" customHeight="1" x14ac:dyDescent="0.2">
      <c r="A1879" s="26">
        <v>3325</v>
      </c>
      <c r="B1879" s="27" t="s">
        <v>2283</v>
      </c>
      <c r="C1879" s="27" t="s">
        <v>48</v>
      </c>
      <c r="D1879" s="28">
        <v>0</v>
      </c>
      <c r="E1879" s="29">
        <v>8.74</v>
      </c>
      <c r="F1879" s="29">
        <v>8.2899999999999991</v>
      </c>
      <c r="G1879" s="30" t="s">
        <v>39</v>
      </c>
      <c r="H1879" s="27" t="s">
        <v>40</v>
      </c>
      <c r="I1879" s="27" t="s">
        <v>49</v>
      </c>
      <c r="J1879" s="27" t="s">
        <v>345</v>
      </c>
      <c r="K1879" s="27" t="s">
        <v>73</v>
      </c>
      <c r="L1879" s="31" t="s">
        <v>440</v>
      </c>
      <c r="M1879" s="32">
        <v>0.38</v>
      </c>
      <c r="N1879" s="27" t="s">
        <v>33</v>
      </c>
      <c r="O1879" s="27" t="s">
        <v>60</v>
      </c>
      <c r="P1879" s="27" t="s">
        <v>139</v>
      </c>
      <c r="Q1879" s="27" t="s">
        <v>2285</v>
      </c>
      <c r="R1879" s="33">
        <v>97420</v>
      </c>
      <c r="S1879" s="34">
        <v>42179</v>
      </c>
      <c r="T1879" s="34">
        <v>42181</v>
      </c>
      <c r="U1879" s="29">
        <v>-79.400000000000006</v>
      </c>
      <c r="V1879" s="26">
        <v>14</v>
      </c>
      <c r="W1879" s="29">
        <v>131.62</v>
      </c>
      <c r="X1879" s="26">
        <v>90986</v>
      </c>
      <c r="Y1879" s="35">
        <v>8.74</v>
      </c>
      <c r="Z1879" s="1" t="s">
        <v>3013</v>
      </c>
      <c r="AA1879" s="36">
        <v>0</v>
      </c>
      <c r="AB1879" s="54">
        <v>81.604399999999998</v>
      </c>
      <c r="AC1879" s="54">
        <v>3.572542857142857</v>
      </c>
      <c r="AD1879" s="36">
        <v>202.73000000000002</v>
      </c>
    </row>
    <row r="1880" spans="1:30" s="37" customFormat="1" ht="15.75" customHeight="1" x14ac:dyDescent="0.2">
      <c r="A1880" s="26">
        <v>2044</v>
      </c>
      <c r="B1880" s="27" t="s">
        <v>2960</v>
      </c>
      <c r="C1880" s="27" t="s">
        <v>48</v>
      </c>
      <c r="D1880" s="28">
        <v>0.09</v>
      </c>
      <c r="E1880" s="29">
        <v>20.99</v>
      </c>
      <c r="F1880" s="29">
        <v>2.5</v>
      </c>
      <c r="G1880" s="30" t="s">
        <v>39</v>
      </c>
      <c r="H1880" s="27" t="s">
        <v>94</v>
      </c>
      <c r="I1880" s="27" t="s">
        <v>41</v>
      </c>
      <c r="J1880" s="27" t="s">
        <v>135</v>
      </c>
      <c r="K1880" s="27" t="s">
        <v>51</v>
      </c>
      <c r="L1880" s="31" t="s">
        <v>1201</v>
      </c>
      <c r="M1880" s="32">
        <v>0.81</v>
      </c>
      <c r="N1880" s="27" t="s">
        <v>33</v>
      </c>
      <c r="O1880" s="27" t="s">
        <v>34</v>
      </c>
      <c r="P1880" s="27" t="s">
        <v>45</v>
      </c>
      <c r="Q1880" s="27" t="s">
        <v>2961</v>
      </c>
      <c r="R1880" s="33">
        <v>72756</v>
      </c>
      <c r="S1880" s="34">
        <v>42179</v>
      </c>
      <c r="T1880" s="34">
        <v>42186</v>
      </c>
      <c r="U1880" s="29">
        <v>-136.12200000000001</v>
      </c>
      <c r="V1880" s="26">
        <v>6</v>
      </c>
      <c r="W1880" s="29">
        <v>100.11</v>
      </c>
      <c r="X1880" s="26">
        <v>88692</v>
      </c>
      <c r="Y1880" s="35">
        <v>10.600000000000001</v>
      </c>
      <c r="Z1880" s="1" t="s">
        <v>3011</v>
      </c>
      <c r="AA1880" s="36">
        <v>11.334599999999998</v>
      </c>
      <c r="AB1880" s="54">
        <v>19.020899999999994</v>
      </c>
      <c r="AC1880" s="54">
        <v>13.514849999999999</v>
      </c>
      <c r="AD1880" s="36">
        <v>222.3974</v>
      </c>
    </row>
    <row r="1881" spans="1:30" s="37" customFormat="1" ht="15.75" customHeight="1" x14ac:dyDescent="0.2">
      <c r="A1881" s="26">
        <v>3084</v>
      </c>
      <c r="B1881" s="27" t="s">
        <v>2234</v>
      </c>
      <c r="C1881" s="27" t="s">
        <v>3094</v>
      </c>
      <c r="D1881" s="28">
        <v>0.05</v>
      </c>
      <c r="E1881" s="29">
        <v>18.97</v>
      </c>
      <c r="F1881" s="29">
        <v>9.0299999999999994</v>
      </c>
      <c r="G1881" s="30" t="s">
        <v>39</v>
      </c>
      <c r="H1881" s="27" t="s">
        <v>3095</v>
      </c>
      <c r="I1881" s="27" t="s">
        <v>49</v>
      </c>
      <c r="J1881" s="27" t="s">
        <v>88</v>
      </c>
      <c r="K1881" s="27" t="s">
        <v>73</v>
      </c>
      <c r="L1881" s="31" t="s">
        <v>630</v>
      </c>
      <c r="M1881" s="32">
        <v>0.37</v>
      </c>
      <c r="N1881" s="27" t="s">
        <v>33</v>
      </c>
      <c r="O1881" s="27" t="s">
        <v>60</v>
      </c>
      <c r="P1881" s="27" t="s">
        <v>67</v>
      </c>
      <c r="Q1881" s="27" t="s">
        <v>487</v>
      </c>
      <c r="R1881" s="33">
        <v>98503</v>
      </c>
      <c r="S1881" s="34">
        <v>42179</v>
      </c>
      <c r="T1881" s="34">
        <v>42180</v>
      </c>
      <c r="U1881" s="29">
        <v>-1.89</v>
      </c>
      <c r="V1881" s="26">
        <v>5</v>
      </c>
      <c r="W1881" s="29">
        <v>97.33</v>
      </c>
      <c r="X1881" s="26">
        <v>89880</v>
      </c>
      <c r="Y1881" s="35">
        <v>2.75</v>
      </c>
      <c r="Z1881" s="1" t="s">
        <v>3013</v>
      </c>
      <c r="AA1881" s="36">
        <v>4.7424999999999997</v>
      </c>
      <c r="AB1881" s="54">
        <v>61.317900000000002</v>
      </c>
      <c r="AC1881" s="54">
        <v>7.20242</v>
      </c>
      <c r="AD1881" s="36">
        <v>85.447499999999991</v>
      </c>
    </row>
    <row r="1882" spans="1:30" s="37" customFormat="1" ht="15.75" customHeight="1" x14ac:dyDescent="0.2">
      <c r="A1882" s="26">
        <v>721</v>
      </c>
      <c r="B1882" s="27" t="s">
        <v>2140</v>
      </c>
      <c r="C1882" s="27" t="s">
        <v>3094</v>
      </c>
      <c r="D1882" s="28">
        <v>0.04</v>
      </c>
      <c r="E1882" s="29">
        <v>10.64</v>
      </c>
      <c r="F1882" s="29">
        <v>5.16</v>
      </c>
      <c r="G1882" s="30" t="s">
        <v>39</v>
      </c>
      <c r="H1882" s="27" t="s">
        <v>94</v>
      </c>
      <c r="I1882" s="27" t="s">
        <v>29</v>
      </c>
      <c r="J1882" s="27" t="s">
        <v>126</v>
      </c>
      <c r="K1882" s="27" t="s">
        <v>73</v>
      </c>
      <c r="L1882" s="31" t="s">
        <v>1844</v>
      </c>
      <c r="M1882" s="32">
        <v>0.56999999999999995</v>
      </c>
      <c r="N1882" s="27" t="s">
        <v>33</v>
      </c>
      <c r="O1882" s="27" t="s">
        <v>53</v>
      </c>
      <c r="P1882" s="27" t="s">
        <v>54</v>
      </c>
      <c r="Q1882" s="27" t="s">
        <v>2141</v>
      </c>
      <c r="R1882" s="33">
        <v>46041</v>
      </c>
      <c r="S1882" s="34">
        <v>42179</v>
      </c>
      <c r="T1882" s="34">
        <v>42180</v>
      </c>
      <c r="U1882" s="29">
        <v>24.096</v>
      </c>
      <c r="V1882" s="26">
        <v>6</v>
      </c>
      <c r="W1882" s="29">
        <v>66.900000000000006</v>
      </c>
      <c r="X1882" s="26">
        <v>91053</v>
      </c>
      <c r="Y1882" s="35">
        <v>7.09</v>
      </c>
      <c r="Z1882" s="1" t="s">
        <v>3012</v>
      </c>
      <c r="AA1882" s="36">
        <v>2.5536000000000003</v>
      </c>
      <c r="AB1882" s="54">
        <v>28.767000000000007</v>
      </c>
      <c r="AC1882" s="54">
        <v>6.3554999999999993</v>
      </c>
      <c r="AD1882" s="36">
        <v>35.090400000000002</v>
      </c>
    </row>
    <row r="1883" spans="1:30" s="37" customFormat="1" ht="15.75" customHeight="1" x14ac:dyDescent="0.2">
      <c r="A1883" s="26">
        <v>721</v>
      </c>
      <c r="B1883" s="27" t="s">
        <v>2140</v>
      </c>
      <c r="C1883" s="27" t="s">
        <v>3094</v>
      </c>
      <c r="D1883" s="28">
        <v>0.03</v>
      </c>
      <c r="E1883" s="29">
        <v>2.78</v>
      </c>
      <c r="F1883" s="29">
        <v>1.34</v>
      </c>
      <c r="G1883" s="30" t="s">
        <v>87</v>
      </c>
      <c r="H1883" s="27" t="s">
        <v>94</v>
      </c>
      <c r="I1883" s="27" t="s">
        <v>49</v>
      </c>
      <c r="J1883" s="27" t="s">
        <v>50</v>
      </c>
      <c r="K1883" s="27" t="s">
        <v>51</v>
      </c>
      <c r="L1883" s="31" t="s">
        <v>2962</v>
      </c>
      <c r="M1883" s="32">
        <v>0.45</v>
      </c>
      <c r="N1883" s="27" t="s">
        <v>33</v>
      </c>
      <c r="O1883" s="27" t="s">
        <v>53</v>
      </c>
      <c r="P1883" s="27" t="s">
        <v>54</v>
      </c>
      <c r="Q1883" s="27" t="s">
        <v>2141</v>
      </c>
      <c r="R1883" s="33">
        <v>46041</v>
      </c>
      <c r="S1883" s="34">
        <v>42179</v>
      </c>
      <c r="T1883" s="34">
        <v>42181</v>
      </c>
      <c r="U1883" s="29">
        <v>6.9720000000000004</v>
      </c>
      <c r="V1883" s="26">
        <v>15</v>
      </c>
      <c r="W1883" s="29">
        <v>43.13</v>
      </c>
      <c r="X1883" s="26">
        <v>91053</v>
      </c>
      <c r="Y1883" s="35">
        <v>18.919999999999998</v>
      </c>
      <c r="Z1883" s="1" t="s">
        <v>3012</v>
      </c>
      <c r="AA1883" s="36">
        <v>1.2509999999999999</v>
      </c>
      <c r="AB1883" s="54">
        <v>23.721500000000002</v>
      </c>
      <c r="AC1883" s="54">
        <v>1.2939000000000001</v>
      </c>
      <c r="AD1883" s="36">
        <v>33.567</v>
      </c>
    </row>
    <row r="1884" spans="1:30" s="37" customFormat="1" ht="15.75" customHeight="1" x14ac:dyDescent="0.2">
      <c r="A1884" s="26">
        <v>1442</v>
      </c>
      <c r="B1884" s="27" t="s">
        <v>877</v>
      </c>
      <c r="C1884" s="27" t="s">
        <v>3094</v>
      </c>
      <c r="D1884" s="28">
        <v>0.04</v>
      </c>
      <c r="E1884" s="29">
        <v>177.98</v>
      </c>
      <c r="F1884" s="29">
        <v>0.99</v>
      </c>
      <c r="G1884" s="30" t="s">
        <v>39</v>
      </c>
      <c r="H1884" s="27" t="s">
        <v>94</v>
      </c>
      <c r="I1884" s="27" t="s">
        <v>49</v>
      </c>
      <c r="J1884" s="27" t="s">
        <v>95</v>
      </c>
      <c r="K1884" s="27" t="s">
        <v>73</v>
      </c>
      <c r="L1884" s="31" t="s">
        <v>2853</v>
      </c>
      <c r="M1884" s="32">
        <v>0.56000000000000005</v>
      </c>
      <c r="N1884" s="27" t="s">
        <v>33</v>
      </c>
      <c r="O1884" s="27" t="s">
        <v>53</v>
      </c>
      <c r="P1884" s="27" t="s">
        <v>80</v>
      </c>
      <c r="Q1884" s="27" t="s">
        <v>878</v>
      </c>
      <c r="R1884" s="33">
        <v>65807</v>
      </c>
      <c r="S1884" s="34">
        <v>42180</v>
      </c>
      <c r="T1884" s="34">
        <v>42182</v>
      </c>
      <c r="U1884" s="29">
        <v>1909.8855000000001</v>
      </c>
      <c r="V1884" s="26">
        <v>15</v>
      </c>
      <c r="W1884" s="29">
        <v>2767.95</v>
      </c>
      <c r="X1884" s="26">
        <v>89076</v>
      </c>
      <c r="Y1884" s="35">
        <v>46.85</v>
      </c>
      <c r="Z1884" s="1" t="s">
        <v>3012</v>
      </c>
      <c r="AA1884" s="36">
        <v>106.78799999999998</v>
      </c>
      <c r="AB1884" s="54">
        <v>1217.8979999999997</v>
      </c>
      <c r="AC1884" s="54">
        <v>103.33680000000001</v>
      </c>
      <c r="AD1884" s="36">
        <v>750.28649999999971</v>
      </c>
    </row>
    <row r="1885" spans="1:30" s="37" customFormat="1" ht="15.75" customHeight="1" x14ac:dyDescent="0.2">
      <c r="A1885" s="26">
        <v>1419</v>
      </c>
      <c r="B1885" s="27" t="s">
        <v>2968</v>
      </c>
      <c r="C1885" s="27" t="s">
        <v>3094</v>
      </c>
      <c r="D1885" s="28">
        <v>0.01</v>
      </c>
      <c r="E1885" s="29">
        <v>124.49</v>
      </c>
      <c r="F1885" s="29">
        <v>51.94</v>
      </c>
      <c r="G1885" s="30" t="s">
        <v>27</v>
      </c>
      <c r="H1885" s="27" t="s">
        <v>3095</v>
      </c>
      <c r="I1885" s="27" t="s">
        <v>29</v>
      </c>
      <c r="J1885" s="27" t="s">
        <v>30</v>
      </c>
      <c r="K1885" s="27" t="s">
        <v>31</v>
      </c>
      <c r="L1885" s="31" t="s">
        <v>1149</v>
      </c>
      <c r="M1885" s="32">
        <v>0.63</v>
      </c>
      <c r="N1885" s="27" t="s">
        <v>33</v>
      </c>
      <c r="O1885" s="27" t="s">
        <v>53</v>
      </c>
      <c r="P1885" s="27" t="s">
        <v>54</v>
      </c>
      <c r="Q1885" s="27" t="s">
        <v>2029</v>
      </c>
      <c r="R1885" s="33">
        <v>47905</v>
      </c>
      <c r="S1885" s="34">
        <v>42180</v>
      </c>
      <c r="T1885" s="34">
        <v>42181</v>
      </c>
      <c r="U1885" s="29">
        <v>-94.674644999999998</v>
      </c>
      <c r="V1885" s="26">
        <v>18</v>
      </c>
      <c r="W1885" s="29">
        <v>2376.12</v>
      </c>
      <c r="X1885" s="26">
        <v>90540</v>
      </c>
      <c r="Y1885" s="35">
        <v>17.63</v>
      </c>
      <c r="Z1885" s="1" t="s">
        <v>3012</v>
      </c>
      <c r="AA1885" s="36">
        <v>22.408199999999997</v>
      </c>
      <c r="AB1885" s="54">
        <v>879.1644</v>
      </c>
      <c r="AC1885" s="54">
        <v>83.164199999999994</v>
      </c>
      <c r="AD1885" s="36">
        <v>2396.446445</v>
      </c>
    </row>
    <row r="1886" spans="1:30" s="37" customFormat="1" ht="15.75" customHeight="1" x14ac:dyDescent="0.2">
      <c r="A1886" s="26">
        <v>447</v>
      </c>
      <c r="B1886" s="27" t="s">
        <v>2967</v>
      </c>
      <c r="C1886" s="27" t="s">
        <v>3094</v>
      </c>
      <c r="D1886" s="28">
        <v>0.05</v>
      </c>
      <c r="E1886" s="29">
        <v>200.99</v>
      </c>
      <c r="F1886" s="29">
        <v>4.2</v>
      </c>
      <c r="G1886" s="30" t="s">
        <v>39</v>
      </c>
      <c r="H1886" s="27" t="s">
        <v>94</v>
      </c>
      <c r="I1886" s="27" t="s">
        <v>41</v>
      </c>
      <c r="J1886" s="27" t="s">
        <v>135</v>
      </c>
      <c r="K1886" s="27" t="s">
        <v>73</v>
      </c>
      <c r="L1886" s="31" t="s">
        <v>794</v>
      </c>
      <c r="M1886" s="32">
        <v>0.59</v>
      </c>
      <c r="N1886" s="27" t="s">
        <v>33</v>
      </c>
      <c r="O1886" s="27" t="s">
        <v>53</v>
      </c>
      <c r="P1886" s="27" t="s">
        <v>84</v>
      </c>
      <c r="Q1886" s="27" t="s">
        <v>1649</v>
      </c>
      <c r="R1886" s="33">
        <v>55113</v>
      </c>
      <c r="S1886" s="34">
        <v>42180</v>
      </c>
      <c r="T1886" s="34">
        <v>42180</v>
      </c>
      <c r="U1886" s="29">
        <v>1268.8064999999999</v>
      </c>
      <c r="V1886" s="26">
        <v>11</v>
      </c>
      <c r="W1886" s="29">
        <v>1838.85</v>
      </c>
      <c r="X1886" s="26">
        <v>90449</v>
      </c>
      <c r="Y1886" s="35">
        <v>3.61</v>
      </c>
      <c r="Z1886" s="1" t="s">
        <v>3012</v>
      </c>
      <c r="AA1886" s="36">
        <v>110.54450000000003</v>
      </c>
      <c r="AB1886" s="54">
        <v>753.92849999999999</v>
      </c>
      <c r="AC1886" s="54">
        <v>98.629227272727263</v>
      </c>
      <c r="AD1886" s="36">
        <v>455.29899999999998</v>
      </c>
    </row>
    <row r="1887" spans="1:30" s="37" customFormat="1" ht="15.75" customHeight="1" x14ac:dyDescent="0.2">
      <c r="A1887" s="26">
        <v>3176</v>
      </c>
      <c r="B1887" s="27" t="s">
        <v>2409</v>
      </c>
      <c r="C1887" s="27" t="s">
        <v>48</v>
      </c>
      <c r="D1887" s="28">
        <v>0.02</v>
      </c>
      <c r="E1887" s="29">
        <v>58.14</v>
      </c>
      <c r="F1887" s="29">
        <v>36.61</v>
      </c>
      <c r="G1887" s="30" t="s">
        <v>27</v>
      </c>
      <c r="H1887" s="27" t="s">
        <v>40</v>
      </c>
      <c r="I1887" s="27" t="s">
        <v>29</v>
      </c>
      <c r="J1887" s="27" t="s">
        <v>117</v>
      </c>
      <c r="K1887" s="27" t="s">
        <v>31</v>
      </c>
      <c r="L1887" s="31" t="s">
        <v>2575</v>
      </c>
      <c r="M1887" s="32">
        <v>0.61</v>
      </c>
      <c r="N1887" s="27" t="s">
        <v>33</v>
      </c>
      <c r="O1887" s="27" t="s">
        <v>34</v>
      </c>
      <c r="P1887" s="27" t="s">
        <v>123</v>
      </c>
      <c r="Q1887" s="27" t="s">
        <v>2411</v>
      </c>
      <c r="R1887" s="33">
        <v>32216</v>
      </c>
      <c r="S1887" s="34">
        <v>42180</v>
      </c>
      <c r="T1887" s="34">
        <v>42186</v>
      </c>
      <c r="U1887" s="29">
        <v>0.25800000000000001</v>
      </c>
      <c r="V1887" s="26">
        <v>22</v>
      </c>
      <c r="W1887" s="29">
        <v>1358.02</v>
      </c>
      <c r="X1887" s="26">
        <v>90821</v>
      </c>
      <c r="Y1887" s="35">
        <v>58.12</v>
      </c>
      <c r="Z1887" s="1" t="s">
        <v>3011</v>
      </c>
      <c r="AA1887" s="36">
        <v>25.581600000000002</v>
      </c>
      <c r="AB1887" s="54">
        <v>529.62779999999998</v>
      </c>
      <c r="AC1887" s="54">
        <v>37.654190909090907</v>
      </c>
      <c r="AD1887" s="36">
        <v>1295.5704000000001</v>
      </c>
    </row>
    <row r="1888" spans="1:30" s="37" customFormat="1" ht="15.75" customHeight="1" x14ac:dyDescent="0.2">
      <c r="A1888" s="26">
        <v>3261</v>
      </c>
      <c r="B1888" s="27" t="s">
        <v>2972</v>
      </c>
      <c r="C1888" s="27" t="s">
        <v>3094</v>
      </c>
      <c r="D1888" s="28">
        <v>7.0000000000000007E-2</v>
      </c>
      <c r="E1888" s="29">
        <v>105.34</v>
      </c>
      <c r="F1888" s="29">
        <v>24.49</v>
      </c>
      <c r="G1888" s="30" t="s">
        <v>87</v>
      </c>
      <c r="H1888" s="27" t="s">
        <v>40</v>
      </c>
      <c r="I1888" s="27" t="s">
        <v>29</v>
      </c>
      <c r="J1888" s="27" t="s">
        <v>126</v>
      </c>
      <c r="K1888" s="27" t="s">
        <v>65</v>
      </c>
      <c r="L1888" s="31" t="s">
        <v>681</v>
      </c>
      <c r="M1888" s="32">
        <v>0.61</v>
      </c>
      <c r="N1888" s="27" t="s">
        <v>33</v>
      </c>
      <c r="O1888" s="27" t="s">
        <v>53</v>
      </c>
      <c r="P1888" s="27" t="s">
        <v>289</v>
      </c>
      <c r="Q1888" s="27" t="s">
        <v>2973</v>
      </c>
      <c r="R1888" s="33">
        <v>49221</v>
      </c>
      <c r="S1888" s="34">
        <v>42180</v>
      </c>
      <c r="T1888" s="34">
        <v>42181</v>
      </c>
      <c r="U1888" s="29">
        <v>710.67240000000004</v>
      </c>
      <c r="V1888" s="26">
        <v>10</v>
      </c>
      <c r="W1888" s="29">
        <v>1029.96</v>
      </c>
      <c r="X1888" s="26">
        <v>90296</v>
      </c>
      <c r="Y1888" s="35">
        <v>15.540000000000001</v>
      </c>
      <c r="Z1888" s="1" t="s">
        <v>3012</v>
      </c>
      <c r="AA1888" s="36">
        <v>73.738000000000014</v>
      </c>
      <c r="AB1888" s="54">
        <v>401.68440000000004</v>
      </c>
      <c r="AC1888" s="54">
        <v>62.827560000000005</v>
      </c>
      <c r="AD1888" s="36">
        <v>221.05959999999993</v>
      </c>
    </row>
    <row r="1889" spans="1:30" s="37" customFormat="1" ht="15.75" customHeight="1" x14ac:dyDescent="0.2">
      <c r="A1889" s="26">
        <v>2903</v>
      </c>
      <c r="B1889" s="27" t="s">
        <v>2969</v>
      </c>
      <c r="C1889" s="27" t="s">
        <v>3094</v>
      </c>
      <c r="D1889" s="28">
        <v>0.06</v>
      </c>
      <c r="E1889" s="29">
        <v>70.89</v>
      </c>
      <c r="F1889" s="29">
        <v>89.3</v>
      </c>
      <c r="G1889" s="30" t="s">
        <v>27</v>
      </c>
      <c r="H1889" s="27" t="s">
        <v>3095</v>
      </c>
      <c r="I1889" s="27" t="s">
        <v>29</v>
      </c>
      <c r="J1889" s="27" t="s">
        <v>30</v>
      </c>
      <c r="K1889" s="27" t="s">
        <v>31</v>
      </c>
      <c r="L1889" s="31" t="s">
        <v>2970</v>
      </c>
      <c r="M1889" s="32">
        <v>0.72</v>
      </c>
      <c r="N1889" s="27" t="s">
        <v>33</v>
      </c>
      <c r="O1889" s="27" t="s">
        <v>111</v>
      </c>
      <c r="P1889" s="27" t="s">
        <v>317</v>
      </c>
      <c r="Q1889" s="27" t="s">
        <v>2971</v>
      </c>
      <c r="R1889" s="33">
        <v>43068</v>
      </c>
      <c r="S1889" s="34">
        <v>42180</v>
      </c>
      <c r="T1889" s="34">
        <v>42180</v>
      </c>
      <c r="U1889" s="29">
        <v>65.077020000000005</v>
      </c>
      <c r="V1889" s="26">
        <v>6</v>
      </c>
      <c r="W1889" s="29">
        <v>364.26</v>
      </c>
      <c r="X1889" s="26">
        <v>87374</v>
      </c>
      <c r="Y1889" s="35">
        <v>130.94</v>
      </c>
      <c r="Z1889" s="1" t="s">
        <v>3014</v>
      </c>
      <c r="AA1889" s="36">
        <v>25.520400000000002</v>
      </c>
      <c r="AB1889" s="54">
        <v>101.9928</v>
      </c>
      <c r="AC1889" s="54">
        <v>43.711199999999998</v>
      </c>
      <c r="AD1889" s="36">
        <v>184.36257999999998</v>
      </c>
    </row>
    <row r="1890" spans="1:30" s="37" customFormat="1" ht="15.75" customHeight="1" x14ac:dyDescent="0.2">
      <c r="A1890" s="26">
        <v>3176</v>
      </c>
      <c r="B1890" s="27" t="s">
        <v>2409</v>
      </c>
      <c r="C1890" s="27" t="s">
        <v>48</v>
      </c>
      <c r="D1890" s="28">
        <v>0.03</v>
      </c>
      <c r="E1890" s="29">
        <v>15.57</v>
      </c>
      <c r="F1890" s="29">
        <v>1.39</v>
      </c>
      <c r="G1890" s="30" t="s">
        <v>39</v>
      </c>
      <c r="H1890" s="27" t="s">
        <v>40</v>
      </c>
      <c r="I1890" s="27" t="s">
        <v>49</v>
      </c>
      <c r="J1890" s="27" t="s">
        <v>345</v>
      </c>
      <c r="K1890" s="27" t="s">
        <v>73</v>
      </c>
      <c r="L1890" s="31" t="s">
        <v>2340</v>
      </c>
      <c r="M1890" s="32">
        <v>0.38</v>
      </c>
      <c r="N1890" s="27" t="s">
        <v>33</v>
      </c>
      <c r="O1890" s="27" t="s">
        <v>34</v>
      </c>
      <c r="P1890" s="27" t="s">
        <v>123</v>
      </c>
      <c r="Q1890" s="27" t="s">
        <v>2411</v>
      </c>
      <c r="R1890" s="33">
        <v>32216</v>
      </c>
      <c r="S1890" s="34">
        <v>42180</v>
      </c>
      <c r="T1890" s="34">
        <v>42186</v>
      </c>
      <c r="U1890" s="29">
        <v>63.222000000000001</v>
      </c>
      <c r="V1890" s="26">
        <v>22</v>
      </c>
      <c r="W1890" s="29">
        <v>358.84</v>
      </c>
      <c r="X1890" s="26">
        <v>90821</v>
      </c>
      <c r="Y1890" s="35">
        <v>200.94</v>
      </c>
      <c r="Z1890" s="1" t="s">
        <v>3011</v>
      </c>
      <c r="AA1890" s="36">
        <v>10.276200000000001</v>
      </c>
      <c r="AB1890" s="54">
        <v>222.48079999999999</v>
      </c>
      <c r="AC1890" s="54">
        <v>6.198145454545454</v>
      </c>
      <c r="AD1890" s="36">
        <v>283.95179999999999</v>
      </c>
    </row>
    <row r="1891" spans="1:30" s="37" customFormat="1" ht="15.75" customHeight="1" x14ac:dyDescent="0.2">
      <c r="A1891" s="26">
        <v>1551</v>
      </c>
      <c r="B1891" s="27" t="s">
        <v>2963</v>
      </c>
      <c r="C1891" s="27" t="s">
        <v>48</v>
      </c>
      <c r="D1891" s="28">
        <v>7.0000000000000007E-2</v>
      </c>
      <c r="E1891" s="29">
        <v>17.7</v>
      </c>
      <c r="F1891" s="29">
        <v>9.4700000000000006</v>
      </c>
      <c r="G1891" s="30" t="s">
        <v>39</v>
      </c>
      <c r="H1891" s="27" t="s">
        <v>40</v>
      </c>
      <c r="I1891" s="27" t="s">
        <v>49</v>
      </c>
      <c r="J1891" s="27" t="s">
        <v>78</v>
      </c>
      <c r="K1891" s="27" t="s">
        <v>73</v>
      </c>
      <c r="L1891" s="31" t="s">
        <v>1051</v>
      </c>
      <c r="M1891" s="32">
        <v>0.59</v>
      </c>
      <c r="N1891" s="27" t="s">
        <v>33</v>
      </c>
      <c r="O1891" s="27" t="s">
        <v>34</v>
      </c>
      <c r="P1891" s="27" t="s">
        <v>35</v>
      </c>
      <c r="Q1891" s="27" t="s">
        <v>2964</v>
      </c>
      <c r="R1891" s="33">
        <v>39530</v>
      </c>
      <c r="S1891" s="34">
        <v>42180</v>
      </c>
      <c r="T1891" s="34">
        <v>42186</v>
      </c>
      <c r="U1891" s="29">
        <v>-243.54400000000001</v>
      </c>
      <c r="V1891" s="26">
        <v>18</v>
      </c>
      <c r="W1891" s="29">
        <v>300.67</v>
      </c>
      <c r="X1891" s="26">
        <v>87488</v>
      </c>
      <c r="Y1891" s="35">
        <v>124.47999999999999</v>
      </c>
      <c r="Z1891" s="1" t="s">
        <v>3011</v>
      </c>
      <c r="AA1891" s="36">
        <v>22.302000000000003</v>
      </c>
      <c r="AB1891" s="54">
        <v>123.27470000000001</v>
      </c>
      <c r="AC1891" s="54">
        <v>9.8552944444444446</v>
      </c>
      <c r="AD1891" s="36">
        <v>512.44200000000001</v>
      </c>
    </row>
    <row r="1892" spans="1:30" s="37" customFormat="1" ht="15.75" customHeight="1" x14ac:dyDescent="0.2">
      <c r="A1892" s="26">
        <v>1416</v>
      </c>
      <c r="B1892" s="27" t="s">
        <v>2430</v>
      </c>
      <c r="C1892" s="27" t="s">
        <v>38</v>
      </c>
      <c r="D1892" s="28">
        <v>0.04</v>
      </c>
      <c r="E1892" s="29">
        <v>46.89</v>
      </c>
      <c r="F1892" s="29">
        <v>5.0999999999999996</v>
      </c>
      <c r="G1892" s="30" t="s">
        <v>39</v>
      </c>
      <c r="H1892" s="27" t="s">
        <v>3095</v>
      </c>
      <c r="I1892" s="27" t="s">
        <v>49</v>
      </c>
      <c r="J1892" s="27" t="s">
        <v>95</v>
      </c>
      <c r="K1892" s="27" t="s">
        <v>144</v>
      </c>
      <c r="L1892" s="31" t="s">
        <v>1843</v>
      </c>
      <c r="M1892" s="32">
        <v>0.46</v>
      </c>
      <c r="N1892" s="27" t="s">
        <v>33</v>
      </c>
      <c r="O1892" s="27" t="s">
        <v>53</v>
      </c>
      <c r="P1892" s="27" t="s">
        <v>54</v>
      </c>
      <c r="Q1892" s="27" t="s">
        <v>1512</v>
      </c>
      <c r="R1892" s="33">
        <v>46203</v>
      </c>
      <c r="S1892" s="34">
        <v>42180</v>
      </c>
      <c r="T1892" s="34">
        <v>42182</v>
      </c>
      <c r="U1892" s="29">
        <v>87.12</v>
      </c>
      <c r="V1892" s="26">
        <v>4</v>
      </c>
      <c r="W1892" s="29">
        <v>182.61</v>
      </c>
      <c r="X1892" s="26">
        <v>90540</v>
      </c>
      <c r="Y1892" s="35">
        <v>177.94</v>
      </c>
      <c r="Z1892" s="1" t="s">
        <v>3012</v>
      </c>
      <c r="AA1892" s="36">
        <v>7.5024000000000006</v>
      </c>
      <c r="AB1892" s="54">
        <v>98.609400000000008</v>
      </c>
      <c r="AC1892" s="54">
        <v>21.000150000000001</v>
      </c>
      <c r="AD1892" s="36">
        <v>82.88760000000002</v>
      </c>
    </row>
    <row r="1893" spans="1:30" s="37" customFormat="1" ht="15.75" customHeight="1" x14ac:dyDescent="0.2">
      <c r="A1893" s="26">
        <v>447</v>
      </c>
      <c r="B1893" s="27" t="s">
        <v>2967</v>
      </c>
      <c r="C1893" s="27" t="s">
        <v>3094</v>
      </c>
      <c r="D1893" s="28">
        <v>0.04</v>
      </c>
      <c r="E1893" s="29">
        <v>130.97999999999999</v>
      </c>
      <c r="F1893" s="29">
        <v>30</v>
      </c>
      <c r="G1893" s="30" t="s">
        <v>27</v>
      </c>
      <c r="H1893" s="27" t="s">
        <v>94</v>
      </c>
      <c r="I1893" s="27" t="s">
        <v>29</v>
      </c>
      <c r="J1893" s="27" t="s">
        <v>109</v>
      </c>
      <c r="K1893" s="27" t="s">
        <v>58</v>
      </c>
      <c r="L1893" s="31" t="s">
        <v>2199</v>
      </c>
      <c r="M1893" s="32">
        <v>0.78</v>
      </c>
      <c r="N1893" s="27" t="s">
        <v>33</v>
      </c>
      <c r="O1893" s="27" t="s">
        <v>53</v>
      </c>
      <c r="P1893" s="27" t="s">
        <v>84</v>
      </c>
      <c r="Q1893" s="27" t="s">
        <v>1649</v>
      </c>
      <c r="R1893" s="33">
        <v>55113</v>
      </c>
      <c r="S1893" s="34">
        <v>42180</v>
      </c>
      <c r="T1893" s="34">
        <v>42183</v>
      </c>
      <c r="U1893" s="29">
        <v>-82.903999999999996</v>
      </c>
      <c r="V1893" s="26">
        <v>1</v>
      </c>
      <c r="W1893" s="29">
        <v>159.51</v>
      </c>
      <c r="X1893" s="26">
        <v>90449</v>
      </c>
      <c r="Y1893" s="35">
        <v>70.83</v>
      </c>
      <c r="Z1893" s="1" t="s">
        <v>3012</v>
      </c>
      <c r="AA1893" s="36">
        <v>5.2391999999999994</v>
      </c>
      <c r="AB1893" s="54">
        <v>35.092199999999991</v>
      </c>
      <c r="AC1893" s="54">
        <v>124.4178</v>
      </c>
      <c r="AD1893" s="36">
        <v>207.1748</v>
      </c>
    </row>
    <row r="1894" spans="1:30" s="37" customFormat="1" ht="15.75" customHeight="1" x14ac:dyDescent="0.2">
      <c r="A1894" s="26">
        <v>3128</v>
      </c>
      <c r="B1894" s="27" t="s">
        <v>2965</v>
      </c>
      <c r="C1894" s="27" t="s">
        <v>48</v>
      </c>
      <c r="D1894" s="28">
        <v>0.08</v>
      </c>
      <c r="E1894" s="29">
        <v>3.69</v>
      </c>
      <c r="F1894" s="29">
        <v>2.5</v>
      </c>
      <c r="G1894" s="30" t="s">
        <v>39</v>
      </c>
      <c r="H1894" s="27" t="s">
        <v>3095</v>
      </c>
      <c r="I1894" s="27" t="s">
        <v>49</v>
      </c>
      <c r="J1894" s="27" t="s">
        <v>345</v>
      </c>
      <c r="K1894" s="27" t="s">
        <v>73</v>
      </c>
      <c r="L1894" s="31" t="s">
        <v>2230</v>
      </c>
      <c r="M1894" s="32">
        <v>0.39</v>
      </c>
      <c r="N1894" s="27" t="s">
        <v>33</v>
      </c>
      <c r="O1894" s="27" t="s">
        <v>34</v>
      </c>
      <c r="P1894" s="27" t="s">
        <v>168</v>
      </c>
      <c r="Q1894" s="27" t="s">
        <v>2966</v>
      </c>
      <c r="R1894" s="33">
        <v>71109</v>
      </c>
      <c r="S1894" s="34">
        <v>42180</v>
      </c>
      <c r="T1894" s="34">
        <v>42185</v>
      </c>
      <c r="U1894" s="29">
        <v>-139.07599999999999</v>
      </c>
      <c r="V1894" s="26">
        <v>9</v>
      </c>
      <c r="W1894" s="29">
        <v>31.98</v>
      </c>
      <c r="X1894" s="26">
        <v>89810</v>
      </c>
      <c r="Y1894" s="35">
        <v>105.27000000000001</v>
      </c>
      <c r="Z1894" s="1" t="s">
        <v>3011</v>
      </c>
      <c r="AA1894" s="36">
        <v>2.6568000000000001</v>
      </c>
      <c r="AB1894" s="54">
        <v>19.5078</v>
      </c>
      <c r="AC1894" s="54">
        <v>1.3857999999999999</v>
      </c>
      <c r="AD1894" s="36">
        <v>165.89919999999998</v>
      </c>
    </row>
    <row r="1895" spans="1:30" s="37" customFormat="1" ht="15.75" customHeight="1" x14ac:dyDescent="0.2">
      <c r="A1895" s="26">
        <v>2062</v>
      </c>
      <c r="B1895" s="27" t="s">
        <v>866</v>
      </c>
      <c r="C1895" s="27" t="s">
        <v>48</v>
      </c>
      <c r="D1895" s="28">
        <v>0.04</v>
      </c>
      <c r="E1895" s="29">
        <v>291.73</v>
      </c>
      <c r="F1895" s="29">
        <v>48.8</v>
      </c>
      <c r="G1895" s="30" t="s">
        <v>27</v>
      </c>
      <c r="H1895" s="27" t="s">
        <v>94</v>
      </c>
      <c r="I1895" s="27" t="s">
        <v>29</v>
      </c>
      <c r="J1895" s="27" t="s">
        <v>109</v>
      </c>
      <c r="K1895" s="27" t="s">
        <v>58</v>
      </c>
      <c r="L1895" s="31" t="s">
        <v>110</v>
      </c>
      <c r="M1895" s="32">
        <v>0.56000000000000005</v>
      </c>
      <c r="N1895" s="27" t="s">
        <v>33</v>
      </c>
      <c r="O1895" s="27" t="s">
        <v>34</v>
      </c>
      <c r="P1895" s="27" t="s">
        <v>242</v>
      </c>
      <c r="Q1895" s="27" t="s">
        <v>868</v>
      </c>
      <c r="R1895" s="33">
        <v>23111</v>
      </c>
      <c r="S1895" s="34">
        <v>42181</v>
      </c>
      <c r="T1895" s="34">
        <v>42185</v>
      </c>
      <c r="U1895" s="29">
        <v>-115.90389999999999</v>
      </c>
      <c r="V1895" s="26">
        <v>22</v>
      </c>
      <c r="W1895" s="29">
        <v>6676.61</v>
      </c>
      <c r="X1895" s="26">
        <v>87148</v>
      </c>
      <c r="Y1895" s="35">
        <v>100.89</v>
      </c>
      <c r="Z1895" s="1" t="s">
        <v>3011</v>
      </c>
      <c r="AA1895" s="36">
        <v>256.72240000000005</v>
      </c>
      <c r="AB1895" s="54">
        <v>2937.7083999999995</v>
      </c>
      <c r="AC1895" s="54">
        <v>169.95007272727273</v>
      </c>
      <c r="AD1895" s="36">
        <v>6486.9915000000001</v>
      </c>
    </row>
    <row r="1896" spans="1:30" s="37" customFormat="1" ht="15.75" customHeight="1" x14ac:dyDescent="0.2">
      <c r="A1896" s="26">
        <v>2197</v>
      </c>
      <c r="B1896" s="27" t="s">
        <v>2974</v>
      </c>
      <c r="C1896" s="27" t="s">
        <v>26</v>
      </c>
      <c r="D1896" s="28">
        <v>0.08</v>
      </c>
      <c r="E1896" s="29">
        <v>100.97</v>
      </c>
      <c r="F1896" s="29">
        <v>7.18</v>
      </c>
      <c r="G1896" s="30" t="s">
        <v>39</v>
      </c>
      <c r="H1896" s="27" t="s">
        <v>3095</v>
      </c>
      <c r="I1896" s="27" t="s">
        <v>41</v>
      </c>
      <c r="J1896" s="27" t="s">
        <v>42</v>
      </c>
      <c r="K1896" s="27" t="s">
        <v>73</v>
      </c>
      <c r="L1896" s="31" t="s">
        <v>2801</v>
      </c>
      <c r="M1896" s="32">
        <v>0.46</v>
      </c>
      <c r="N1896" s="27" t="s">
        <v>33</v>
      </c>
      <c r="O1896" s="27" t="s">
        <v>111</v>
      </c>
      <c r="P1896" s="27" t="s">
        <v>112</v>
      </c>
      <c r="Q1896" s="27" t="s">
        <v>1856</v>
      </c>
      <c r="R1896" s="33">
        <v>11756</v>
      </c>
      <c r="S1896" s="34">
        <v>42181</v>
      </c>
      <c r="T1896" s="34">
        <v>42182</v>
      </c>
      <c r="U1896" s="29">
        <v>126.22499999999999</v>
      </c>
      <c r="V1896" s="26">
        <v>7</v>
      </c>
      <c r="W1896" s="29">
        <v>650.25</v>
      </c>
      <c r="X1896" s="26">
        <v>89176</v>
      </c>
      <c r="Y1896" s="35">
        <v>13.4</v>
      </c>
      <c r="Z1896" s="1" t="s">
        <v>3014</v>
      </c>
      <c r="AA1896" s="36">
        <v>56.543199999999999</v>
      </c>
      <c r="AB1896" s="54">
        <v>351.13500000000005</v>
      </c>
      <c r="AC1896" s="54">
        <v>42.730714285714285</v>
      </c>
      <c r="AD1896" s="36">
        <v>460.30180000000001</v>
      </c>
    </row>
    <row r="1897" spans="1:30" s="37" customFormat="1" ht="15.75" customHeight="1" x14ac:dyDescent="0.2">
      <c r="A1897" s="26">
        <v>2587</v>
      </c>
      <c r="B1897" s="27" t="s">
        <v>1427</v>
      </c>
      <c r="C1897" s="27" t="s">
        <v>3094</v>
      </c>
      <c r="D1897" s="28">
        <v>0.02</v>
      </c>
      <c r="E1897" s="29">
        <v>22.72</v>
      </c>
      <c r="F1897" s="29">
        <v>8.99</v>
      </c>
      <c r="G1897" s="30" t="s">
        <v>39</v>
      </c>
      <c r="H1897" s="27" t="s">
        <v>71</v>
      </c>
      <c r="I1897" s="27" t="s">
        <v>29</v>
      </c>
      <c r="J1897" s="27" t="s">
        <v>126</v>
      </c>
      <c r="K1897" s="27" t="s">
        <v>43</v>
      </c>
      <c r="L1897" s="31" t="s">
        <v>328</v>
      </c>
      <c r="M1897" s="32">
        <v>0.44</v>
      </c>
      <c r="N1897" s="27" t="s">
        <v>33</v>
      </c>
      <c r="O1897" s="27" t="s">
        <v>53</v>
      </c>
      <c r="P1897" s="27" t="s">
        <v>357</v>
      </c>
      <c r="Q1897" s="27" t="s">
        <v>1429</v>
      </c>
      <c r="R1897" s="33">
        <v>54220</v>
      </c>
      <c r="S1897" s="34">
        <v>42181</v>
      </c>
      <c r="T1897" s="34">
        <v>42181</v>
      </c>
      <c r="U1897" s="29">
        <v>200.0172</v>
      </c>
      <c r="V1897" s="26">
        <v>12</v>
      </c>
      <c r="W1897" s="29">
        <v>289.88</v>
      </c>
      <c r="X1897" s="26">
        <v>91167</v>
      </c>
      <c r="Y1897" s="35">
        <v>291.69</v>
      </c>
      <c r="Z1897" s="1" t="s">
        <v>3012</v>
      </c>
      <c r="AA1897" s="36">
        <v>5.4527999999999999</v>
      </c>
      <c r="AB1897" s="54">
        <v>162.33280000000002</v>
      </c>
      <c r="AC1897" s="54">
        <v>10.628933333333332</v>
      </c>
      <c r="AD1897" s="36">
        <v>75.419999999999987</v>
      </c>
    </row>
    <row r="1898" spans="1:30" s="37" customFormat="1" ht="15.75" customHeight="1" x14ac:dyDescent="0.2">
      <c r="A1898" s="26">
        <v>2197</v>
      </c>
      <c r="B1898" s="27" t="s">
        <v>2974</v>
      </c>
      <c r="C1898" s="27" t="s">
        <v>26</v>
      </c>
      <c r="D1898" s="28">
        <v>0</v>
      </c>
      <c r="E1898" s="29">
        <v>13.4</v>
      </c>
      <c r="F1898" s="29">
        <v>4.95</v>
      </c>
      <c r="G1898" s="30" t="s">
        <v>39</v>
      </c>
      <c r="H1898" s="27" t="s">
        <v>3095</v>
      </c>
      <c r="I1898" s="27" t="s">
        <v>29</v>
      </c>
      <c r="J1898" s="27" t="s">
        <v>126</v>
      </c>
      <c r="K1898" s="27" t="s">
        <v>43</v>
      </c>
      <c r="L1898" s="31" t="s">
        <v>1205</v>
      </c>
      <c r="M1898" s="32">
        <v>0.37</v>
      </c>
      <c r="N1898" s="27" t="s">
        <v>33</v>
      </c>
      <c r="O1898" s="27" t="s">
        <v>111</v>
      </c>
      <c r="P1898" s="27" t="s">
        <v>112</v>
      </c>
      <c r="Q1898" s="27" t="s">
        <v>1856</v>
      </c>
      <c r="R1898" s="33">
        <v>11756</v>
      </c>
      <c r="S1898" s="34">
        <v>42181</v>
      </c>
      <c r="T1898" s="34">
        <v>42182</v>
      </c>
      <c r="U1898" s="29">
        <v>187.7628</v>
      </c>
      <c r="V1898" s="26">
        <v>19</v>
      </c>
      <c r="W1898" s="29">
        <v>272.12</v>
      </c>
      <c r="X1898" s="26">
        <v>89176</v>
      </c>
      <c r="Y1898" s="35">
        <v>22.7</v>
      </c>
      <c r="Z1898" s="1" t="s">
        <v>3014</v>
      </c>
      <c r="AA1898" s="36">
        <v>0</v>
      </c>
      <c r="AB1898" s="54">
        <v>171.43559999999999</v>
      </c>
      <c r="AC1898" s="54">
        <v>5.2991789473684205</v>
      </c>
      <c r="AD1898" s="36">
        <v>79.407200000000017</v>
      </c>
    </row>
    <row r="1899" spans="1:30" s="37" customFormat="1" ht="15.75" customHeight="1" x14ac:dyDescent="0.2">
      <c r="A1899" s="26">
        <v>937</v>
      </c>
      <c r="B1899" s="27" t="s">
        <v>2976</v>
      </c>
      <c r="C1899" s="27" t="s">
        <v>3094</v>
      </c>
      <c r="D1899" s="28">
        <v>0.01</v>
      </c>
      <c r="E1899" s="29">
        <v>65.989999999999995</v>
      </c>
      <c r="F1899" s="29">
        <v>3.99</v>
      </c>
      <c r="G1899" s="30" t="s">
        <v>39</v>
      </c>
      <c r="H1899" s="27" t="s">
        <v>94</v>
      </c>
      <c r="I1899" s="27" t="s">
        <v>41</v>
      </c>
      <c r="J1899" s="27" t="s">
        <v>135</v>
      </c>
      <c r="K1899" s="27" t="s">
        <v>73</v>
      </c>
      <c r="L1899" s="31" t="s">
        <v>1634</v>
      </c>
      <c r="M1899" s="32">
        <v>0.59</v>
      </c>
      <c r="N1899" s="27" t="s">
        <v>33</v>
      </c>
      <c r="O1899" s="27" t="s">
        <v>60</v>
      </c>
      <c r="P1899" s="27" t="s">
        <v>90</v>
      </c>
      <c r="Q1899" s="27" t="s">
        <v>959</v>
      </c>
      <c r="R1899" s="33">
        <v>90278</v>
      </c>
      <c r="S1899" s="34">
        <v>42182</v>
      </c>
      <c r="T1899" s="34">
        <v>42183</v>
      </c>
      <c r="U1899" s="29">
        <v>-95.210499999999996</v>
      </c>
      <c r="V1899" s="26">
        <v>3</v>
      </c>
      <c r="W1899" s="29">
        <v>166.59</v>
      </c>
      <c r="X1899" s="26">
        <v>90589</v>
      </c>
      <c r="Y1899" s="35">
        <v>2.8400000000000003</v>
      </c>
      <c r="Z1899" s="1" t="s">
        <v>3013</v>
      </c>
      <c r="AA1899" s="36">
        <v>1.9796999999999998</v>
      </c>
      <c r="AB1899" s="54">
        <v>68.301900000000003</v>
      </c>
      <c r="AC1899" s="54">
        <v>32.762700000000002</v>
      </c>
      <c r="AD1899" s="36">
        <v>255.83080000000001</v>
      </c>
    </row>
    <row r="1900" spans="1:30" s="37" customFormat="1" ht="15.75" customHeight="1" x14ac:dyDescent="0.2">
      <c r="A1900" s="26">
        <v>936</v>
      </c>
      <c r="B1900" s="27" t="s">
        <v>1227</v>
      </c>
      <c r="C1900" s="27" t="s">
        <v>3094</v>
      </c>
      <c r="D1900" s="28">
        <v>0.05</v>
      </c>
      <c r="E1900" s="29">
        <v>5.98</v>
      </c>
      <c r="F1900" s="29">
        <v>5.46</v>
      </c>
      <c r="G1900" s="30" t="s">
        <v>39</v>
      </c>
      <c r="H1900" s="27" t="s">
        <v>94</v>
      </c>
      <c r="I1900" s="27" t="s">
        <v>49</v>
      </c>
      <c r="J1900" s="27" t="s">
        <v>88</v>
      </c>
      <c r="K1900" s="27" t="s">
        <v>73</v>
      </c>
      <c r="L1900" s="31" t="s">
        <v>1156</v>
      </c>
      <c r="M1900" s="32">
        <v>0.36</v>
      </c>
      <c r="N1900" s="27" t="s">
        <v>33</v>
      </c>
      <c r="O1900" s="27" t="s">
        <v>60</v>
      </c>
      <c r="P1900" s="27" t="s">
        <v>90</v>
      </c>
      <c r="Q1900" s="27" t="s">
        <v>1229</v>
      </c>
      <c r="R1900" s="33">
        <v>92374</v>
      </c>
      <c r="S1900" s="34">
        <v>42182</v>
      </c>
      <c r="T1900" s="34">
        <v>42182</v>
      </c>
      <c r="U1900" s="29">
        <v>-31.885000000000002</v>
      </c>
      <c r="V1900" s="26">
        <v>17</v>
      </c>
      <c r="W1900" s="29">
        <v>104.95</v>
      </c>
      <c r="X1900" s="26">
        <v>90589</v>
      </c>
      <c r="Y1900" s="35">
        <v>5.9300000000000006</v>
      </c>
      <c r="Z1900" s="1" t="s">
        <v>3013</v>
      </c>
      <c r="AA1900" s="36">
        <v>5.0830000000000011</v>
      </c>
      <c r="AB1900" s="54">
        <v>67.168000000000006</v>
      </c>
      <c r="AC1900" s="54">
        <v>2.2224705882352942</v>
      </c>
      <c r="AD1900" s="36">
        <v>126.292</v>
      </c>
    </row>
    <row r="1901" spans="1:30" s="37" customFormat="1" ht="15.75" customHeight="1" x14ac:dyDescent="0.2">
      <c r="A1901" s="26">
        <v>2617</v>
      </c>
      <c r="B1901" s="27" t="s">
        <v>2977</v>
      </c>
      <c r="C1901" s="27" t="s">
        <v>3094</v>
      </c>
      <c r="D1901" s="28">
        <v>0.1</v>
      </c>
      <c r="E1901" s="29">
        <v>3.25</v>
      </c>
      <c r="F1901" s="29">
        <v>49</v>
      </c>
      <c r="G1901" s="30" t="s">
        <v>39</v>
      </c>
      <c r="H1901" s="27" t="s">
        <v>94</v>
      </c>
      <c r="I1901" s="27" t="s">
        <v>49</v>
      </c>
      <c r="J1901" s="27" t="s">
        <v>95</v>
      </c>
      <c r="K1901" s="27" t="s">
        <v>65</v>
      </c>
      <c r="L1901" s="31" t="s">
        <v>2719</v>
      </c>
      <c r="M1901" s="32">
        <v>0.56000000000000005</v>
      </c>
      <c r="N1901" s="27" t="s">
        <v>33</v>
      </c>
      <c r="O1901" s="27" t="s">
        <v>53</v>
      </c>
      <c r="P1901" s="27" t="s">
        <v>1071</v>
      </c>
      <c r="Q1901" s="27" t="s">
        <v>2978</v>
      </c>
      <c r="R1901" s="33">
        <v>57401</v>
      </c>
      <c r="S1901" s="34">
        <v>42182</v>
      </c>
      <c r="T1901" s="34">
        <v>42183</v>
      </c>
      <c r="U1901" s="29">
        <v>-286.245</v>
      </c>
      <c r="V1901" s="26">
        <v>6</v>
      </c>
      <c r="W1901" s="29">
        <v>40.69</v>
      </c>
      <c r="X1901" s="26">
        <v>91496</v>
      </c>
      <c r="Y1901" s="35">
        <v>65.97999999999999</v>
      </c>
      <c r="Z1901" s="1" t="s">
        <v>3012</v>
      </c>
      <c r="AA1901" s="36">
        <v>1.9500000000000002</v>
      </c>
      <c r="AB1901" s="54">
        <v>17.903599999999997</v>
      </c>
      <c r="AC1901" s="54">
        <v>3.7977333333333334</v>
      </c>
      <c r="AD1901" s="36">
        <v>275.98500000000001</v>
      </c>
    </row>
    <row r="1902" spans="1:30" s="37" customFormat="1" ht="15.75" customHeight="1" x14ac:dyDescent="0.2">
      <c r="A1902" s="26">
        <v>1380</v>
      </c>
      <c r="B1902" s="27" t="s">
        <v>2975</v>
      </c>
      <c r="C1902" s="27" t="s">
        <v>48</v>
      </c>
      <c r="D1902" s="28">
        <v>0.05</v>
      </c>
      <c r="E1902" s="29">
        <v>2.89</v>
      </c>
      <c r="F1902" s="29">
        <v>0.5</v>
      </c>
      <c r="G1902" s="30" t="s">
        <v>39</v>
      </c>
      <c r="H1902" s="27" t="s">
        <v>71</v>
      </c>
      <c r="I1902" s="27" t="s">
        <v>49</v>
      </c>
      <c r="J1902" s="27" t="s">
        <v>152</v>
      </c>
      <c r="K1902" s="27" t="s">
        <v>73</v>
      </c>
      <c r="L1902" s="31" t="s">
        <v>729</v>
      </c>
      <c r="M1902" s="32">
        <v>0.38</v>
      </c>
      <c r="N1902" s="27" t="s">
        <v>33</v>
      </c>
      <c r="O1902" s="27" t="s">
        <v>111</v>
      </c>
      <c r="P1902" s="27" t="s">
        <v>1356</v>
      </c>
      <c r="Q1902" s="27" t="s">
        <v>1877</v>
      </c>
      <c r="R1902" s="33">
        <v>3801</v>
      </c>
      <c r="S1902" s="34">
        <v>42182</v>
      </c>
      <c r="T1902" s="34">
        <v>42188</v>
      </c>
      <c r="U1902" s="29">
        <v>18.0642</v>
      </c>
      <c r="V1902" s="26">
        <v>9</v>
      </c>
      <c r="W1902" s="29">
        <v>26.18</v>
      </c>
      <c r="X1902" s="26">
        <v>88213</v>
      </c>
      <c r="Y1902" s="35">
        <v>3.15</v>
      </c>
      <c r="Z1902" s="1" t="s">
        <v>3014</v>
      </c>
      <c r="AA1902" s="36">
        <v>1.3005000000000002</v>
      </c>
      <c r="AB1902" s="54">
        <v>16.2316</v>
      </c>
      <c r="AC1902" s="54">
        <v>1.1053777777777778</v>
      </c>
      <c r="AD1902" s="36">
        <v>6.3153000000000006</v>
      </c>
    </row>
    <row r="1903" spans="1:30" s="37" customFormat="1" ht="15.75" customHeight="1" x14ac:dyDescent="0.2">
      <c r="A1903" s="26">
        <v>1193</v>
      </c>
      <c r="B1903" s="27" t="s">
        <v>1351</v>
      </c>
      <c r="C1903" s="27" t="s">
        <v>48</v>
      </c>
      <c r="D1903" s="28">
        <v>0.09</v>
      </c>
      <c r="E1903" s="29">
        <v>49.99</v>
      </c>
      <c r="F1903" s="29">
        <v>19.989999999999998</v>
      </c>
      <c r="G1903" s="30" t="s">
        <v>39</v>
      </c>
      <c r="H1903" s="27" t="s">
        <v>3095</v>
      </c>
      <c r="I1903" s="27" t="s">
        <v>41</v>
      </c>
      <c r="J1903" s="27" t="s">
        <v>42</v>
      </c>
      <c r="K1903" s="27" t="s">
        <v>73</v>
      </c>
      <c r="L1903" s="31" t="s">
        <v>1288</v>
      </c>
      <c r="M1903" s="32">
        <v>0.41</v>
      </c>
      <c r="N1903" s="27" t="s">
        <v>33</v>
      </c>
      <c r="O1903" s="27" t="s">
        <v>111</v>
      </c>
      <c r="P1903" s="27" t="s">
        <v>374</v>
      </c>
      <c r="Q1903" s="27" t="s">
        <v>67</v>
      </c>
      <c r="R1903" s="33">
        <v>20016</v>
      </c>
      <c r="S1903" s="34">
        <v>42183</v>
      </c>
      <c r="T1903" s="34">
        <v>42185</v>
      </c>
      <c r="U1903" s="29">
        <v>-17.03</v>
      </c>
      <c r="V1903" s="26">
        <v>48</v>
      </c>
      <c r="W1903" s="29">
        <v>2373.3200000000002</v>
      </c>
      <c r="X1903" s="26">
        <v>11206</v>
      </c>
      <c r="Y1903" s="35">
        <v>100.89</v>
      </c>
      <c r="Z1903" s="1" t="s">
        <v>3014</v>
      </c>
      <c r="AA1903" s="36">
        <v>215.95680000000002</v>
      </c>
      <c r="AB1903" s="54">
        <v>1400.2588000000003</v>
      </c>
      <c r="AC1903" s="54">
        <v>20.272108333333332</v>
      </c>
      <c r="AD1903" s="36">
        <v>2154.4032000000002</v>
      </c>
    </row>
    <row r="1904" spans="1:30" s="37" customFormat="1" ht="15.75" customHeight="1" x14ac:dyDescent="0.2">
      <c r="A1904" s="26">
        <v>1357</v>
      </c>
      <c r="B1904" s="27" t="s">
        <v>2750</v>
      </c>
      <c r="C1904" s="27" t="s">
        <v>38</v>
      </c>
      <c r="D1904" s="28">
        <v>7.0000000000000007E-2</v>
      </c>
      <c r="E1904" s="29">
        <v>119.99</v>
      </c>
      <c r="F1904" s="29">
        <v>16.8</v>
      </c>
      <c r="G1904" s="30" t="s">
        <v>27</v>
      </c>
      <c r="H1904" s="27" t="s">
        <v>71</v>
      </c>
      <c r="I1904" s="27" t="s">
        <v>41</v>
      </c>
      <c r="J1904" s="27" t="s">
        <v>57</v>
      </c>
      <c r="K1904" s="27" t="s">
        <v>31</v>
      </c>
      <c r="L1904" s="31" t="s">
        <v>2984</v>
      </c>
      <c r="M1904" s="32">
        <v>0.35</v>
      </c>
      <c r="N1904" s="27" t="s">
        <v>33</v>
      </c>
      <c r="O1904" s="27" t="s">
        <v>53</v>
      </c>
      <c r="P1904" s="27" t="s">
        <v>187</v>
      </c>
      <c r="Q1904" s="27" t="s">
        <v>2751</v>
      </c>
      <c r="R1904" s="33">
        <v>78596</v>
      </c>
      <c r="S1904" s="34">
        <v>42183</v>
      </c>
      <c r="T1904" s="34">
        <v>42185</v>
      </c>
      <c r="U1904" s="29">
        <v>1206.5961</v>
      </c>
      <c r="V1904" s="26">
        <v>15</v>
      </c>
      <c r="W1904" s="29">
        <v>1748.69</v>
      </c>
      <c r="X1904" s="26">
        <v>88185</v>
      </c>
      <c r="Y1904" s="35">
        <v>5.6800000000000006</v>
      </c>
      <c r="Z1904" s="1" t="s">
        <v>3012</v>
      </c>
      <c r="AA1904" s="36">
        <v>125.98950000000001</v>
      </c>
      <c r="AB1904" s="54">
        <v>1136.6485</v>
      </c>
      <c r="AC1904" s="54">
        <v>40.802766666666663</v>
      </c>
      <c r="AD1904" s="36">
        <v>399.30440000000021</v>
      </c>
    </row>
    <row r="1905" spans="1:30" s="37" customFormat="1" ht="15.75" customHeight="1" x14ac:dyDescent="0.2">
      <c r="A1905" s="26">
        <v>2987</v>
      </c>
      <c r="B1905" s="27" t="s">
        <v>2979</v>
      </c>
      <c r="C1905" s="27" t="s">
        <v>26</v>
      </c>
      <c r="D1905" s="28">
        <v>0.09</v>
      </c>
      <c r="E1905" s="29">
        <v>100.98</v>
      </c>
      <c r="F1905" s="29">
        <v>35.840000000000003</v>
      </c>
      <c r="G1905" s="30" t="s">
        <v>27</v>
      </c>
      <c r="H1905" s="27" t="s">
        <v>71</v>
      </c>
      <c r="I1905" s="27" t="s">
        <v>29</v>
      </c>
      <c r="J1905" s="27" t="s">
        <v>117</v>
      </c>
      <c r="K1905" s="27" t="s">
        <v>31</v>
      </c>
      <c r="L1905" s="31" t="s">
        <v>118</v>
      </c>
      <c r="M1905" s="32">
        <v>0.62</v>
      </c>
      <c r="N1905" s="27" t="s">
        <v>33</v>
      </c>
      <c r="O1905" s="27" t="s">
        <v>53</v>
      </c>
      <c r="P1905" s="27" t="s">
        <v>213</v>
      </c>
      <c r="Q1905" s="27" t="s">
        <v>2980</v>
      </c>
      <c r="R1905" s="33">
        <v>50265</v>
      </c>
      <c r="S1905" s="34">
        <v>42183</v>
      </c>
      <c r="T1905" s="34">
        <v>42183</v>
      </c>
      <c r="U1905" s="29">
        <v>-103.624</v>
      </c>
      <c r="V1905" s="26">
        <v>17</v>
      </c>
      <c r="W1905" s="29">
        <v>1700.38</v>
      </c>
      <c r="X1905" s="26">
        <v>91180</v>
      </c>
      <c r="Y1905" s="35">
        <v>4.95</v>
      </c>
      <c r="Z1905" s="1" t="s">
        <v>3012</v>
      </c>
      <c r="AA1905" s="36">
        <v>154.49940000000001</v>
      </c>
      <c r="AB1905" s="54">
        <v>646.14440000000002</v>
      </c>
      <c r="AC1905" s="54">
        <v>62.013858823529418</v>
      </c>
      <c r="AD1905" s="36">
        <v>1613.6646000000001</v>
      </c>
    </row>
    <row r="1906" spans="1:30" s="37" customFormat="1" ht="15.75" customHeight="1" x14ac:dyDescent="0.2">
      <c r="A1906" s="26">
        <v>1203</v>
      </c>
      <c r="B1906" s="27" t="s">
        <v>2990</v>
      </c>
      <c r="C1906" s="27" t="s">
        <v>48</v>
      </c>
      <c r="D1906" s="28">
        <v>0.09</v>
      </c>
      <c r="E1906" s="29">
        <v>49.99</v>
      </c>
      <c r="F1906" s="29">
        <v>19.989999999999998</v>
      </c>
      <c r="G1906" s="30" t="s">
        <v>39</v>
      </c>
      <c r="H1906" s="27" t="s">
        <v>3095</v>
      </c>
      <c r="I1906" s="27" t="s">
        <v>41</v>
      </c>
      <c r="J1906" s="27" t="s">
        <v>42</v>
      </c>
      <c r="K1906" s="27" t="s">
        <v>73</v>
      </c>
      <c r="L1906" s="31" t="s">
        <v>1288</v>
      </c>
      <c r="M1906" s="32">
        <v>0.41</v>
      </c>
      <c r="N1906" s="27" t="s">
        <v>33</v>
      </c>
      <c r="O1906" s="27" t="s">
        <v>111</v>
      </c>
      <c r="P1906" s="27" t="s">
        <v>584</v>
      </c>
      <c r="Q1906" s="27" t="s">
        <v>585</v>
      </c>
      <c r="R1906" s="33">
        <v>2920</v>
      </c>
      <c r="S1906" s="34">
        <v>42183</v>
      </c>
      <c r="T1906" s="34">
        <v>42185</v>
      </c>
      <c r="U1906" s="29">
        <v>-8.5150000000000006</v>
      </c>
      <c r="V1906" s="26">
        <v>12</v>
      </c>
      <c r="W1906" s="29">
        <v>593.33000000000004</v>
      </c>
      <c r="X1906" s="26">
        <v>87587</v>
      </c>
      <c r="Y1906" s="35">
        <v>119.92</v>
      </c>
      <c r="Z1906" s="1" t="s">
        <v>3014</v>
      </c>
      <c r="AA1906" s="36">
        <v>53.989200000000004</v>
      </c>
      <c r="AB1906" s="54">
        <v>350.06470000000007</v>
      </c>
      <c r="AC1906" s="54">
        <v>20.272108333333332</v>
      </c>
      <c r="AD1906" s="36">
        <v>527.86580000000004</v>
      </c>
    </row>
    <row r="1907" spans="1:30" s="37" customFormat="1" ht="15.75" customHeight="1" x14ac:dyDescent="0.2">
      <c r="A1907" s="26">
        <v>1733</v>
      </c>
      <c r="B1907" s="27" t="s">
        <v>2001</v>
      </c>
      <c r="C1907" s="27" t="s">
        <v>38</v>
      </c>
      <c r="D1907" s="28">
        <v>0.02</v>
      </c>
      <c r="E1907" s="29">
        <v>30.98</v>
      </c>
      <c r="F1907" s="29">
        <v>17.079999999999998</v>
      </c>
      <c r="G1907" s="30" t="s">
        <v>39</v>
      </c>
      <c r="H1907" s="27" t="s">
        <v>3095</v>
      </c>
      <c r="I1907" s="27" t="s">
        <v>49</v>
      </c>
      <c r="J1907" s="27" t="s">
        <v>88</v>
      </c>
      <c r="K1907" s="27" t="s">
        <v>73</v>
      </c>
      <c r="L1907" s="31" t="s">
        <v>2985</v>
      </c>
      <c r="M1907" s="32">
        <v>0.4</v>
      </c>
      <c r="N1907" s="27" t="s">
        <v>33</v>
      </c>
      <c r="O1907" s="27" t="s">
        <v>111</v>
      </c>
      <c r="P1907" s="27" t="s">
        <v>374</v>
      </c>
      <c r="Q1907" s="27" t="s">
        <v>67</v>
      </c>
      <c r="R1907" s="33">
        <v>20012</v>
      </c>
      <c r="S1907" s="34">
        <v>42183</v>
      </c>
      <c r="T1907" s="34">
        <v>42184</v>
      </c>
      <c r="U1907" s="29">
        <v>-32.28</v>
      </c>
      <c r="V1907" s="26">
        <v>13</v>
      </c>
      <c r="W1907" s="29">
        <v>438.25</v>
      </c>
      <c r="X1907" s="26">
        <v>59937</v>
      </c>
      <c r="Y1907" s="35">
        <v>30.96</v>
      </c>
      <c r="Z1907" s="1" t="s">
        <v>3014</v>
      </c>
      <c r="AA1907" s="36">
        <v>8.0548000000000002</v>
      </c>
      <c r="AB1907" s="54">
        <v>262.95</v>
      </c>
      <c r="AC1907" s="54">
        <v>13.484615384615385</v>
      </c>
      <c r="AD1907" s="36">
        <v>445.39519999999999</v>
      </c>
    </row>
    <row r="1908" spans="1:30" s="37" customFormat="1" ht="15.75" customHeight="1" x14ac:dyDescent="0.2">
      <c r="A1908" s="26">
        <v>1193</v>
      </c>
      <c r="B1908" s="27" t="s">
        <v>1351</v>
      </c>
      <c r="C1908" s="27" t="s">
        <v>48</v>
      </c>
      <c r="D1908" s="28">
        <v>0.03</v>
      </c>
      <c r="E1908" s="29">
        <v>28.53</v>
      </c>
      <c r="F1908" s="29">
        <v>1.49</v>
      </c>
      <c r="G1908" s="30" t="s">
        <v>39</v>
      </c>
      <c r="H1908" s="27" t="s">
        <v>3095</v>
      </c>
      <c r="I1908" s="27" t="s">
        <v>49</v>
      </c>
      <c r="J1908" s="27" t="s">
        <v>72</v>
      </c>
      <c r="K1908" s="27" t="s">
        <v>73</v>
      </c>
      <c r="L1908" s="31" t="s">
        <v>1832</v>
      </c>
      <c r="M1908" s="32">
        <v>0.38</v>
      </c>
      <c r="N1908" s="27" t="s">
        <v>33</v>
      </c>
      <c r="O1908" s="27" t="s">
        <v>111</v>
      </c>
      <c r="P1908" s="27" t="s">
        <v>374</v>
      </c>
      <c r="Q1908" s="27" t="s">
        <v>67</v>
      </c>
      <c r="R1908" s="33">
        <v>20016</v>
      </c>
      <c r="S1908" s="34">
        <v>42183</v>
      </c>
      <c r="T1908" s="34">
        <v>42186</v>
      </c>
      <c r="U1908" s="29">
        <v>39.627000000000002</v>
      </c>
      <c r="V1908" s="26">
        <v>11</v>
      </c>
      <c r="W1908" s="29">
        <v>325.73</v>
      </c>
      <c r="X1908" s="26">
        <v>11206</v>
      </c>
      <c r="Y1908" s="35">
        <v>30.96</v>
      </c>
      <c r="Z1908" s="1" t="s">
        <v>3014</v>
      </c>
      <c r="AA1908" s="36">
        <v>9.4148999999999994</v>
      </c>
      <c r="AB1908" s="54">
        <v>201.95260000000002</v>
      </c>
      <c r="AC1908" s="54">
        <v>11.252490909090909</v>
      </c>
      <c r="AD1908" s="36">
        <v>275.19810000000001</v>
      </c>
    </row>
    <row r="1909" spans="1:30" s="37" customFormat="1" ht="15.75" customHeight="1" x14ac:dyDescent="0.2">
      <c r="A1909" s="26">
        <v>2801</v>
      </c>
      <c r="B1909" s="27" t="s">
        <v>2991</v>
      </c>
      <c r="C1909" s="27" t="s">
        <v>48</v>
      </c>
      <c r="D1909" s="28">
        <v>0</v>
      </c>
      <c r="E1909" s="29">
        <v>17.52</v>
      </c>
      <c r="F1909" s="29">
        <v>8.17</v>
      </c>
      <c r="G1909" s="30" t="s">
        <v>39</v>
      </c>
      <c r="H1909" s="27" t="s">
        <v>71</v>
      </c>
      <c r="I1909" s="27" t="s">
        <v>49</v>
      </c>
      <c r="J1909" s="27" t="s">
        <v>95</v>
      </c>
      <c r="K1909" s="27" t="s">
        <v>144</v>
      </c>
      <c r="L1909" s="31" t="s">
        <v>2992</v>
      </c>
      <c r="M1909" s="32">
        <v>0.5</v>
      </c>
      <c r="N1909" s="27" t="s">
        <v>33</v>
      </c>
      <c r="O1909" s="27" t="s">
        <v>60</v>
      </c>
      <c r="P1909" s="27" t="s">
        <v>588</v>
      </c>
      <c r="Q1909" s="27" t="s">
        <v>1718</v>
      </c>
      <c r="R1909" s="33">
        <v>85224</v>
      </c>
      <c r="S1909" s="34">
        <v>42183</v>
      </c>
      <c r="T1909" s="34">
        <v>42188</v>
      </c>
      <c r="U1909" s="29">
        <v>52.764000000000003</v>
      </c>
      <c r="V1909" s="26">
        <v>15</v>
      </c>
      <c r="W1909" s="29">
        <v>284.33999999999997</v>
      </c>
      <c r="X1909" s="26">
        <v>91049</v>
      </c>
      <c r="Y1909" s="35">
        <v>28.5</v>
      </c>
      <c r="Z1909" s="1" t="s">
        <v>3013</v>
      </c>
      <c r="AA1909" s="36">
        <v>0</v>
      </c>
      <c r="AB1909" s="54">
        <v>142.16999999999999</v>
      </c>
      <c r="AC1909" s="54">
        <v>9.4779999999999998</v>
      </c>
      <c r="AD1909" s="36">
        <v>223.40599999999998</v>
      </c>
    </row>
    <row r="1910" spans="1:30" s="37" customFormat="1" ht="15.75" customHeight="1" x14ac:dyDescent="0.2">
      <c r="A1910" s="26">
        <v>3226</v>
      </c>
      <c r="B1910" s="27" t="s">
        <v>501</v>
      </c>
      <c r="C1910" s="27" t="s">
        <v>116</v>
      </c>
      <c r="D1910" s="28">
        <v>0.06</v>
      </c>
      <c r="E1910" s="29">
        <v>22.24</v>
      </c>
      <c r="F1910" s="29">
        <v>1.99</v>
      </c>
      <c r="G1910" s="30" t="s">
        <v>39</v>
      </c>
      <c r="H1910" s="27" t="s">
        <v>3095</v>
      </c>
      <c r="I1910" s="27" t="s">
        <v>41</v>
      </c>
      <c r="J1910" s="27" t="s">
        <v>42</v>
      </c>
      <c r="K1910" s="27" t="s">
        <v>43</v>
      </c>
      <c r="L1910" s="31" t="s">
        <v>2993</v>
      </c>
      <c r="M1910" s="32">
        <v>0.43</v>
      </c>
      <c r="N1910" s="27" t="s">
        <v>33</v>
      </c>
      <c r="O1910" s="27" t="s">
        <v>34</v>
      </c>
      <c r="P1910" s="27" t="s">
        <v>400</v>
      </c>
      <c r="Q1910" s="27" t="s">
        <v>503</v>
      </c>
      <c r="R1910" s="33">
        <v>37075</v>
      </c>
      <c r="S1910" s="34">
        <v>42183</v>
      </c>
      <c r="T1910" s="34">
        <v>42185</v>
      </c>
      <c r="U1910" s="29">
        <v>95.388000000000005</v>
      </c>
      <c r="V1910" s="26">
        <v>12</v>
      </c>
      <c r="W1910" s="29">
        <v>255.88</v>
      </c>
      <c r="X1910" s="26">
        <v>86509</v>
      </c>
      <c r="Y1910" s="35">
        <v>49.9</v>
      </c>
      <c r="Z1910" s="1" t="s">
        <v>3011</v>
      </c>
      <c r="AA1910" s="36">
        <v>16.012799999999999</v>
      </c>
      <c r="AB1910" s="54">
        <v>145.85160000000002</v>
      </c>
      <c r="AC1910" s="54">
        <v>9.1690333333333331</v>
      </c>
      <c r="AD1910" s="36">
        <v>142.48919999999998</v>
      </c>
    </row>
    <row r="1911" spans="1:30" s="37" customFormat="1" ht="15.75" customHeight="1" x14ac:dyDescent="0.2">
      <c r="A1911" s="26">
        <v>1735</v>
      </c>
      <c r="B1911" s="27" t="s">
        <v>2986</v>
      </c>
      <c r="C1911" s="27" t="s">
        <v>38</v>
      </c>
      <c r="D1911" s="28">
        <v>0.02</v>
      </c>
      <c r="E1911" s="29">
        <v>30.98</v>
      </c>
      <c r="F1911" s="29">
        <v>17.079999999999998</v>
      </c>
      <c r="G1911" s="30" t="s">
        <v>39</v>
      </c>
      <c r="H1911" s="27" t="s">
        <v>3095</v>
      </c>
      <c r="I1911" s="27" t="s">
        <v>49</v>
      </c>
      <c r="J1911" s="27" t="s">
        <v>88</v>
      </c>
      <c r="K1911" s="27" t="s">
        <v>73</v>
      </c>
      <c r="L1911" s="31" t="s">
        <v>2985</v>
      </c>
      <c r="M1911" s="32">
        <v>0.4</v>
      </c>
      <c r="N1911" s="27" t="s">
        <v>33</v>
      </c>
      <c r="O1911" s="27" t="s">
        <v>111</v>
      </c>
      <c r="P1911" s="27" t="s">
        <v>112</v>
      </c>
      <c r="Q1911" s="27" t="s">
        <v>2987</v>
      </c>
      <c r="R1911" s="33">
        <v>11550</v>
      </c>
      <c r="S1911" s="34">
        <v>42183</v>
      </c>
      <c r="T1911" s="34">
        <v>42184</v>
      </c>
      <c r="U1911" s="29">
        <v>-16.14</v>
      </c>
      <c r="V1911" s="26">
        <v>3</v>
      </c>
      <c r="W1911" s="29">
        <v>101.13</v>
      </c>
      <c r="X1911" s="26">
        <v>88444</v>
      </c>
      <c r="Y1911" s="35">
        <v>28.5</v>
      </c>
      <c r="Z1911" s="1" t="s">
        <v>3014</v>
      </c>
      <c r="AA1911" s="36">
        <v>1.8588</v>
      </c>
      <c r="AB1911" s="54">
        <v>60.677999999999997</v>
      </c>
      <c r="AC1911" s="54">
        <v>13.484000000000002</v>
      </c>
      <c r="AD1911" s="36">
        <v>98.331199999999995</v>
      </c>
    </row>
    <row r="1912" spans="1:30" s="37" customFormat="1" ht="15.75" customHeight="1" x14ac:dyDescent="0.2">
      <c r="A1912" s="26">
        <v>1191</v>
      </c>
      <c r="B1912" s="27" t="s">
        <v>2988</v>
      </c>
      <c r="C1912" s="27" t="s">
        <v>48</v>
      </c>
      <c r="D1912" s="28">
        <v>0.03</v>
      </c>
      <c r="E1912" s="29">
        <v>28.53</v>
      </c>
      <c r="F1912" s="29">
        <v>1.49</v>
      </c>
      <c r="G1912" s="30" t="s">
        <v>39</v>
      </c>
      <c r="H1912" s="27" t="s">
        <v>3095</v>
      </c>
      <c r="I1912" s="27" t="s">
        <v>49</v>
      </c>
      <c r="J1912" s="27" t="s">
        <v>72</v>
      </c>
      <c r="K1912" s="27" t="s">
        <v>73</v>
      </c>
      <c r="L1912" s="31" t="s">
        <v>1832</v>
      </c>
      <c r="M1912" s="32">
        <v>0.38</v>
      </c>
      <c r="N1912" s="27" t="s">
        <v>33</v>
      </c>
      <c r="O1912" s="27" t="s">
        <v>111</v>
      </c>
      <c r="P1912" s="27" t="s">
        <v>248</v>
      </c>
      <c r="Q1912" s="27" t="s">
        <v>2989</v>
      </c>
      <c r="R1912" s="33">
        <v>6050</v>
      </c>
      <c r="S1912" s="34">
        <v>42183</v>
      </c>
      <c r="T1912" s="34">
        <v>42186</v>
      </c>
      <c r="U1912" s="29">
        <v>59.4405</v>
      </c>
      <c r="V1912" s="26">
        <v>3</v>
      </c>
      <c r="W1912" s="29">
        <v>88.84</v>
      </c>
      <c r="X1912" s="26">
        <v>87587</v>
      </c>
      <c r="Y1912" s="35">
        <v>49.9</v>
      </c>
      <c r="Z1912" s="1" t="s">
        <v>3014</v>
      </c>
      <c r="AA1912" s="36">
        <v>2.5676999999999999</v>
      </c>
      <c r="AB1912" s="54">
        <v>55.080800000000004</v>
      </c>
      <c r="AC1912" s="54">
        <v>11.253066666666667</v>
      </c>
      <c r="AD1912" s="36">
        <v>25.341799999999999</v>
      </c>
    </row>
    <row r="1913" spans="1:30" s="37" customFormat="1" ht="15.75" customHeight="1" x14ac:dyDescent="0.2">
      <c r="A1913" s="26">
        <v>3209</v>
      </c>
      <c r="B1913" s="27" t="s">
        <v>2982</v>
      </c>
      <c r="C1913" s="27" t="s">
        <v>26</v>
      </c>
      <c r="D1913" s="28">
        <v>0.03</v>
      </c>
      <c r="E1913" s="29">
        <v>4.9800000000000004</v>
      </c>
      <c r="F1913" s="29">
        <v>4.62</v>
      </c>
      <c r="G1913" s="30" t="s">
        <v>87</v>
      </c>
      <c r="H1913" s="27" t="s">
        <v>94</v>
      </c>
      <c r="I1913" s="27" t="s">
        <v>41</v>
      </c>
      <c r="J1913" s="27" t="s">
        <v>42</v>
      </c>
      <c r="K1913" s="27" t="s">
        <v>43</v>
      </c>
      <c r="L1913" s="31" t="s">
        <v>1221</v>
      </c>
      <c r="M1913" s="32">
        <v>0.64</v>
      </c>
      <c r="N1913" s="27" t="s">
        <v>33</v>
      </c>
      <c r="O1913" s="27" t="s">
        <v>60</v>
      </c>
      <c r="P1913" s="27" t="s">
        <v>90</v>
      </c>
      <c r="Q1913" s="27" t="s">
        <v>2983</v>
      </c>
      <c r="R1913" s="33">
        <v>90210</v>
      </c>
      <c r="S1913" s="34">
        <v>42183</v>
      </c>
      <c r="T1913" s="34">
        <v>42184</v>
      </c>
      <c r="U1913" s="29">
        <v>-30.45</v>
      </c>
      <c r="V1913" s="26">
        <v>8</v>
      </c>
      <c r="W1913" s="29">
        <v>44.24</v>
      </c>
      <c r="X1913" s="26">
        <v>90739</v>
      </c>
      <c r="Y1913" s="35">
        <v>17.52</v>
      </c>
      <c r="Z1913" s="1" t="s">
        <v>3013</v>
      </c>
      <c r="AA1913" s="36">
        <v>1.1952</v>
      </c>
      <c r="AB1913" s="54">
        <v>15.926400000000001</v>
      </c>
      <c r="AC1913" s="54">
        <v>3.5392000000000001</v>
      </c>
      <c r="AD1913" s="36">
        <v>68.874799999999993</v>
      </c>
    </row>
    <row r="1914" spans="1:30" s="37" customFormat="1" ht="15.75" customHeight="1" x14ac:dyDescent="0.2">
      <c r="A1914" s="26">
        <v>2987</v>
      </c>
      <c r="B1914" s="27" t="s">
        <v>2979</v>
      </c>
      <c r="C1914" s="27" t="s">
        <v>26</v>
      </c>
      <c r="D1914" s="28">
        <v>0.1</v>
      </c>
      <c r="E1914" s="29">
        <v>5.78</v>
      </c>
      <c r="F1914" s="29">
        <v>7.96</v>
      </c>
      <c r="G1914" s="30" t="s">
        <v>39</v>
      </c>
      <c r="H1914" s="27" t="s">
        <v>71</v>
      </c>
      <c r="I1914" s="27" t="s">
        <v>49</v>
      </c>
      <c r="J1914" s="27" t="s">
        <v>88</v>
      </c>
      <c r="K1914" s="27" t="s">
        <v>73</v>
      </c>
      <c r="L1914" s="31" t="s">
        <v>2981</v>
      </c>
      <c r="M1914" s="32">
        <v>0.36</v>
      </c>
      <c r="N1914" s="27" t="s">
        <v>33</v>
      </c>
      <c r="O1914" s="27" t="s">
        <v>53</v>
      </c>
      <c r="P1914" s="27" t="s">
        <v>213</v>
      </c>
      <c r="Q1914" s="27" t="s">
        <v>2980</v>
      </c>
      <c r="R1914" s="33">
        <v>50265</v>
      </c>
      <c r="S1914" s="34">
        <v>42183</v>
      </c>
      <c r="T1914" s="34">
        <v>42183</v>
      </c>
      <c r="U1914" s="29">
        <v>-57.823999999999998</v>
      </c>
      <c r="V1914" s="26">
        <v>6</v>
      </c>
      <c r="W1914" s="29">
        <v>35.96</v>
      </c>
      <c r="X1914" s="26">
        <v>91180</v>
      </c>
      <c r="Y1914" s="35">
        <v>22.18</v>
      </c>
      <c r="Z1914" s="1" t="s">
        <v>3012</v>
      </c>
      <c r="AA1914" s="36">
        <v>3.4680000000000004</v>
      </c>
      <c r="AB1914" s="54">
        <v>23.014400000000002</v>
      </c>
      <c r="AC1914" s="54">
        <v>2.1576</v>
      </c>
      <c r="AD1914" s="36">
        <v>82.355999999999995</v>
      </c>
    </row>
    <row r="1915" spans="1:30" s="37" customFormat="1" ht="15.75" customHeight="1" x14ac:dyDescent="0.2">
      <c r="A1915" s="26">
        <v>1502</v>
      </c>
      <c r="B1915" s="27" t="s">
        <v>2437</v>
      </c>
      <c r="C1915" s="27" t="s">
        <v>48</v>
      </c>
      <c r="D1915" s="28">
        <v>0</v>
      </c>
      <c r="E1915" s="29">
        <v>205.99</v>
      </c>
      <c r="F1915" s="29">
        <v>8.99</v>
      </c>
      <c r="G1915" s="30" t="s">
        <v>39</v>
      </c>
      <c r="H1915" s="27" t="s">
        <v>3095</v>
      </c>
      <c r="I1915" s="27" t="s">
        <v>41</v>
      </c>
      <c r="J1915" s="27" t="s">
        <v>135</v>
      </c>
      <c r="K1915" s="27" t="s">
        <v>73</v>
      </c>
      <c r="L1915" s="31" t="s">
        <v>1032</v>
      </c>
      <c r="M1915" s="32">
        <v>0.6</v>
      </c>
      <c r="N1915" s="27" t="s">
        <v>33</v>
      </c>
      <c r="O1915" s="27" t="s">
        <v>34</v>
      </c>
      <c r="P1915" s="27" t="s">
        <v>123</v>
      </c>
      <c r="Q1915" s="27" t="s">
        <v>2438</v>
      </c>
      <c r="R1915" s="33">
        <v>33065</v>
      </c>
      <c r="S1915" s="34">
        <v>42184</v>
      </c>
      <c r="T1915" s="34">
        <v>42187</v>
      </c>
      <c r="U1915" s="29">
        <v>186.55799999999999</v>
      </c>
      <c r="V1915" s="26">
        <v>13</v>
      </c>
      <c r="W1915" s="29">
        <v>2435.52</v>
      </c>
      <c r="X1915" s="26">
        <v>89194</v>
      </c>
      <c r="Y1915" s="35">
        <v>6.3900000000000006</v>
      </c>
      <c r="Z1915" s="1" t="s">
        <v>3011</v>
      </c>
      <c r="AA1915" s="36">
        <v>0</v>
      </c>
      <c r="AB1915" s="54">
        <v>974.20800000000008</v>
      </c>
      <c r="AC1915" s="54">
        <v>112.40861538461539</v>
      </c>
      <c r="AD1915" s="36">
        <v>2239.9719999999998</v>
      </c>
    </row>
    <row r="1916" spans="1:30" s="37" customFormat="1" ht="15.75" customHeight="1" x14ac:dyDescent="0.2">
      <c r="A1916" s="26">
        <v>3374</v>
      </c>
      <c r="B1916" s="27" t="s">
        <v>2742</v>
      </c>
      <c r="C1916" s="27" t="s">
        <v>38</v>
      </c>
      <c r="D1916" s="28">
        <v>0.05</v>
      </c>
      <c r="E1916" s="29">
        <v>73.98</v>
      </c>
      <c r="F1916" s="29">
        <v>12.14</v>
      </c>
      <c r="G1916" s="30" t="s">
        <v>39</v>
      </c>
      <c r="H1916" s="27" t="s">
        <v>71</v>
      </c>
      <c r="I1916" s="27" t="s">
        <v>41</v>
      </c>
      <c r="J1916" s="27" t="s">
        <v>42</v>
      </c>
      <c r="K1916" s="27" t="s">
        <v>73</v>
      </c>
      <c r="L1916" s="31" t="s">
        <v>733</v>
      </c>
      <c r="M1916" s="32">
        <v>0.67</v>
      </c>
      <c r="N1916" s="27" t="s">
        <v>33</v>
      </c>
      <c r="O1916" s="27" t="s">
        <v>111</v>
      </c>
      <c r="P1916" s="27" t="s">
        <v>418</v>
      </c>
      <c r="Q1916" s="27" t="s">
        <v>2743</v>
      </c>
      <c r="R1916" s="33">
        <v>21113</v>
      </c>
      <c r="S1916" s="34">
        <v>42184</v>
      </c>
      <c r="T1916" s="34">
        <v>42185</v>
      </c>
      <c r="U1916" s="29">
        <v>-1.9039999999999999</v>
      </c>
      <c r="V1916" s="26">
        <v>8</v>
      </c>
      <c r="W1916" s="29">
        <v>600.4</v>
      </c>
      <c r="X1916" s="26">
        <v>87474</v>
      </c>
      <c r="Y1916" s="35">
        <v>73.930000000000007</v>
      </c>
      <c r="Z1916" s="1" t="s">
        <v>3014</v>
      </c>
      <c r="AA1916" s="36">
        <v>29.592000000000002</v>
      </c>
      <c r="AB1916" s="54">
        <v>198.13199999999998</v>
      </c>
      <c r="AC1916" s="54">
        <v>50.283500000000004</v>
      </c>
      <c r="AD1916" s="36">
        <v>560.572</v>
      </c>
    </row>
    <row r="1917" spans="1:30" s="37" customFormat="1" ht="15.75" customHeight="1" x14ac:dyDescent="0.2">
      <c r="A1917" s="26">
        <v>1183</v>
      </c>
      <c r="B1917" s="27" t="s">
        <v>2998</v>
      </c>
      <c r="C1917" s="27" t="s">
        <v>3094</v>
      </c>
      <c r="D1917" s="28">
        <v>0.04</v>
      </c>
      <c r="E1917" s="29">
        <v>35.99</v>
      </c>
      <c r="F1917" s="29">
        <v>3.3</v>
      </c>
      <c r="G1917" s="30" t="s">
        <v>39</v>
      </c>
      <c r="H1917" s="27" t="s">
        <v>71</v>
      </c>
      <c r="I1917" s="27" t="s">
        <v>41</v>
      </c>
      <c r="J1917" s="27" t="s">
        <v>135</v>
      </c>
      <c r="K1917" s="27" t="s">
        <v>43</v>
      </c>
      <c r="L1917" s="31" t="s">
        <v>1910</v>
      </c>
      <c r="M1917" s="32">
        <v>0.39</v>
      </c>
      <c r="N1917" s="27" t="s">
        <v>33</v>
      </c>
      <c r="O1917" s="27" t="s">
        <v>60</v>
      </c>
      <c r="P1917" s="27" t="s">
        <v>146</v>
      </c>
      <c r="Q1917" s="27" t="s">
        <v>2999</v>
      </c>
      <c r="R1917" s="33">
        <v>84663</v>
      </c>
      <c r="S1917" s="34">
        <v>42184</v>
      </c>
      <c r="T1917" s="34">
        <v>42184</v>
      </c>
      <c r="U1917" s="29">
        <v>184.19550000000001</v>
      </c>
      <c r="V1917" s="26">
        <v>9</v>
      </c>
      <c r="W1917" s="29">
        <v>266.95</v>
      </c>
      <c r="X1917" s="26">
        <v>86914</v>
      </c>
      <c r="Y1917" s="35">
        <v>5.98</v>
      </c>
      <c r="Z1917" s="1" t="s">
        <v>3013</v>
      </c>
      <c r="AA1917" s="36">
        <v>12.956400000000002</v>
      </c>
      <c r="AB1917" s="54">
        <v>162.83949999999999</v>
      </c>
      <c r="AC1917" s="54">
        <v>11.567833333333335</v>
      </c>
      <c r="AD1917" s="36">
        <v>66.498099999999965</v>
      </c>
    </row>
    <row r="1918" spans="1:30" s="37" customFormat="1" ht="15.75" customHeight="1" x14ac:dyDescent="0.2">
      <c r="A1918" s="26">
        <v>1109</v>
      </c>
      <c r="B1918" s="27" t="s">
        <v>2996</v>
      </c>
      <c r="C1918" s="27" t="s">
        <v>116</v>
      </c>
      <c r="D1918" s="28">
        <v>0.08</v>
      </c>
      <c r="E1918" s="29">
        <v>8.3699999999999992</v>
      </c>
      <c r="F1918" s="29">
        <v>10.16</v>
      </c>
      <c r="G1918" s="30" t="s">
        <v>39</v>
      </c>
      <c r="H1918" s="27" t="s">
        <v>40</v>
      </c>
      <c r="I1918" s="27" t="s">
        <v>29</v>
      </c>
      <c r="J1918" s="27" t="s">
        <v>126</v>
      </c>
      <c r="K1918" s="27" t="s">
        <v>65</v>
      </c>
      <c r="L1918" s="31" t="s">
        <v>1572</v>
      </c>
      <c r="M1918" s="32">
        <v>0.59</v>
      </c>
      <c r="N1918" s="27" t="s">
        <v>33</v>
      </c>
      <c r="O1918" s="27" t="s">
        <v>53</v>
      </c>
      <c r="P1918" s="27" t="s">
        <v>187</v>
      </c>
      <c r="Q1918" s="27" t="s">
        <v>2997</v>
      </c>
      <c r="R1918" s="33">
        <v>78041</v>
      </c>
      <c r="S1918" s="34">
        <v>42184</v>
      </c>
      <c r="T1918" s="34">
        <v>42184</v>
      </c>
      <c r="U1918" s="29">
        <v>-169.232</v>
      </c>
      <c r="V1918" s="26">
        <v>13</v>
      </c>
      <c r="W1918" s="29">
        <v>108.99</v>
      </c>
      <c r="X1918" s="26">
        <v>86410</v>
      </c>
      <c r="Y1918" s="35">
        <v>3.48</v>
      </c>
      <c r="Z1918" s="1" t="s">
        <v>3012</v>
      </c>
      <c r="AA1918" s="36">
        <v>8.7047999999999988</v>
      </c>
      <c r="AB1918" s="54">
        <v>44.685900000000004</v>
      </c>
      <c r="AC1918" s="54">
        <v>4.9464692307692308</v>
      </c>
      <c r="AD1918" s="36">
        <v>259.35719999999998</v>
      </c>
    </row>
    <row r="1919" spans="1:30" s="37" customFormat="1" ht="15.75" customHeight="1" x14ac:dyDescent="0.2">
      <c r="A1919" s="26">
        <v>2448</v>
      </c>
      <c r="B1919" s="27" t="s">
        <v>2994</v>
      </c>
      <c r="C1919" s="27" t="s">
        <v>38</v>
      </c>
      <c r="D1919" s="28">
        <v>0.09</v>
      </c>
      <c r="E1919" s="29">
        <v>6.48</v>
      </c>
      <c r="F1919" s="29">
        <v>7.03</v>
      </c>
      <c r="G1919" s="30" t="s">
        <v>39</v>
      </c>
      <c r="H1919" s="27" t="s">
        <v>40</v>
      </c>
      <c r="I1919" s="27" t="s">
        <v>49</v>
      </c>
      <c r="J1919" s="27" t="s">
        <v>88</v>
      </c>
      <c r="K1919" s="27" t="s">
        <v>73</v>
      </c>
      <c r="L1919" s="31" t="s">
        <v>2523</v>
      </c>
      <c r="M1919" s="32">
        <v>0.37</v>
      </c>
      <c r="N1919" s="27" t="s">
        <v>33</v>
      </c>
      <c r="O1919" s="27" t="s">
        <v>53</v>
      </c>
      <c r="P1919" s="27" t="s">
        <v>84</v>
      </c>
      <c r="Q1919" s="27" t="s">
        <v>159</v>
      </c>
      <c r="R1919" s="33">
        <v>55410</v>
      </c>
      <c r="S1919" s="34">
        <v>42184</v>
      </c>
      <c r="T1919" s="34">
        <v>42186</v>
      </c>
      <c r="U1919" s="29">
        <v>-126.208</v>
      </c>
      <c r="V1919" s="26">
        <v>16</v>
      </c>
      <c r="W1919" s="29">
        <v>96.96</v>
      </c>
      <c r="X1919" s="26">
        <v>87790</v>
      </c>
      <c r="Y1919" s="35">
        <v>5.76</v>
      </c>
      <c r="Z1919" s="1" t="s">
        <v>3012</v>
      </c>
      <c r="AA1919" s="36">
        <v>9.3312000000000008</v>
      </c>
      <c r="AB1919" s="54">
        <v>61.084799999999994</v>
      </c>
      <c r="AC1919" s="54">
        <v>2.2422</v>
      </c>
      <c r="AD1919" s="36">
        <v>206.80680000000001</v>
      </c>
    </row>
    <row r="1920" spans="1:30" s="37" customFormat="1" ht="15.75" customHeight="1" x14ac:dyDescent="0.2">
      <c r="A1920" s="26">
        <v>1502</v>
      </c>
      <c r="B1920" s="27" t="s">
        <v>2437</v>
      </c>
      <c r="C1920" s="27" t="s">
        <v>48</v>
      </c>
      <c r="D1920" s="28">
        <v>0.08</v>
      </c>
      <c r="E1920" s="29">
        <v>5.84</v>
      </c>
      <c r="F1920" s="29">
        <v>1</v>
      </c>
      <c r="G1920" s="30" t="s">
        <v>87</v>
      </c>
      <c r="H1920" s="27" t="s">
        <v>3095</v>
      </c>
      <c r="I1920" s="27" t="s">
        <v>49</v>
      </c>
      <c r="J1920" s="27" t="s">
        <v>50</v>
      </c>
      <c r="K1920" s="27" t="s">
        <v>51</v>
      </c>
      <c r="L1920" s="31" t="s">
        <v>2995</v>
      </c>
      <c r="M1920" s="32">
        <v>0.38</v>
      </c>
      <c r="N1920" s="27" t="s">
        <v>33</v>
      </c>
      <c r="O1920" s="27" t="s">
        <v>34</v>
      </c>
      <c r="P1920" s="27" t="s">
        <v>123</v>
      </c>
      <c r="Q1920" s="27" t="s">
        <v>2438</v>
      </c>
      <c r="R1920" s="33">
        <v>33065</v>
      </c>
      <c r="S1920" s="34">
        <v>42184</v>
      </c>
      <c r="T1920" s="34">
        <v>42188</v>
      </c>
      <c r="U1920" s="29">
        <v>731.92200000000003</v>
      </c>
      <c r="V1920" s="26">
        <v>11</v>
      </c>
      <c r="W1920" s="29">
        <v>61.39</v>
      </c>
      <c r="X1920" s="26">
        <v>89194</v>
      </c>
      <c r="Y1920" s="35">
        <v>205.99</v>
      </c>
      <c r="Z1920" s="1" t="s">
        <v>3011</v>
      </c>
      <c r="AA1920" s="36">
        <v>5.1391999999999998</v>
      </c>
      <c r="AB1920" s="54">
        <v>38.061799999999998</v>
      </c>
      <c r="AC1920" s="54">
        <v>2.1207454545454545</v>
      </c>
      <c r="AD1920" s="36">
        <v>-676.6712</v>
      </c>
    </row>
    <row r="1921" spans="1:30" s="37" customFormat="1" ht="15.75" customHeight="1" x14ac:dyDescent="0.2">
      <c r="A1921" s="26">
        <v>3374</v>
      </c>
      <c r="B1921" s="27" t="s">
        <v>2742</v>
      </c>
      <c r="C1921" s="27" t="s">
        <v>38</v>
      </c>
      <c r="D1921" s="28">
        <v>0</v>
      </c>
      <c r="E1921" s="29">
        <v>5.98</v>
      </c>
      <c r="F1921" s="29">
        <v>7.15</v>
      </c>
      <c r="G1921" s="30" t="s">
        <v>39</v>
      </c>
      <c r="H1921" s="27" t="s">
        <v>71</v>
      </c>
      <c r="I1921" s="27" t="s">
        <v>49</v>
      </c>
      <c r="J1921" s="27" t="s">
        <v>88</v>
      </c>
      <c r="K1921" s="27" t="s">
        <v>73</v>
      </c>
      <c r="L1921" s="31" t="s">
        <v>2538</v>
      </c>
      <c r="M1921" s="32">
        <v>0.36</v>
      </c>
      <c r="N1921" s="27" t="s">
        <v>33</v>
      </c>
      <c r="O1921" s="27" t="s">
        <v>111</v>
      </c>
      <c r="P1921" s="27" t="s">
        <v>418</v>
      </c>
      <c r="Q1921" s="27" t="s">
        <v>2743</v>
      </c>
      <c r="R1921" s="33">
        <v>21113</v>
      </c>
      <c r="S1921" s="34">
        <v>42184</v>
      </c>
      <c r="T1921" s="34">
        <v>42186</v>
      </c>
      <c r="U1921" s="29">
        <v>-37.048000000000002</v>
      </c>
      <c r="V1921" s="26">
        <v>5</v>
      </c>
      <c r="W1921" s="29">
        <v>34.25</v>
      </c>
      <c r="X1921" s="26">
        <v>87474</v>
      </c>
      <c r="Y1921" s="35">
        <v>8.2899999999999991</v>
      </c>
      <c r="Z1921" s="1" t="s">
        <v>3014</v>
      </c>
      <c r="AA1921" s="36">
        <v>0</v>
      </c>
      <c r="AB1921" s="54">
        <v>21.92</v>
      </c>
      <c r="AC1921" s="54">
        <v>2.4659999999999997</v>
      </c>
      <c r="AD1921" s="36">
        <v>64.147999999999996</v>
      </c>
    </row>
    <row r="1922" spans="1:30" s="37" customFormat="1" ht="15.75" customHeight="1" x14ac:dyDescent="0.2">
      <c r="A1922" s="26">
        <v>3374</v>
      </c>
      <c r="B1922" s="27" t="s">
        <v>2742</v>
      </c>
      <c r="C1922" s="27" t="s">
        <v>38</v>
      </c>
      <c r="D1922" s="28">
        <v>0.09</v>
      </c>
      <c r="E1922" s="29">
        <v>3.57</v>
      </c>
      <c r="F1922" s="29">
        <v>4.17</v>
      </c>
      <c r="G1922" s="30" t="s">
        <v>39</v>
      </c>
      <c r="H1922" s="27" t="s">
        <v>71</v>
      </c>
      <c r="I1922" s="27" t="s">
        <v>49</v>
      </c>
      <c r="J1922" s="27" t="s">
        <v>50</v>
      </c>
      <c r="K1922" s="27" t="s">
        <v>43</v>
      </c>
      <c r="L1922" s="31" t="s">
        <v>792</v>
      </c>
      <c r="M1922" s="32">
        <v>0.59</v>
      </c>
      <c r="N1922" s="27" t="s">
        <v>33</v>
      </c>
      <c r="O1922" s="27" t="s">
        <v>111</v>
      </c>
      <c r="P1922" s="27" t="s">
        <v>418</v>
      </c>
      <c r="Q1922" s="27" t="s">
        <v>2743</v>
      </c>
      <c r="R1922" s="33">
        <v>21113</v>
      </c>
      <c r="S1922" s="34">
        <v>42184</v>
      </c>
      <c r="T1922" s="34">
        <v>42186</v>
      </c>
      <c r="U1922" s="29">
        <v>-56.887999999999998</v>
      </c>
      <c r="V1922" s="26">
        <v>9</v>
      </c>
      <c r="W1922" s="29">
        <v>31.45</v>
      </c>
      <c r="X1922" s="26">
        <v>87474</v>
      </c>
      <c r="Y1922" s="35">
        <v>35.950000000000003</v>
      </c>
      <c r="Z1922" s="1" t="s">
        <v>3014</v>
      </c>
      <c r="AA1922" s="36">
        <v>2.8916999999999997</v>
      </c>
      <c r="AB1922" s="54">
        <v>12.894500000000001</v>
      </c>
      <c r="AC1922" s="54">
        <v>2.061722222222222</v>
      </c>
      <c r="AD1922" s="36">
        <v>81.276299999999992</v>
      </c>
    </row>
    <row r="1923" spans="1:30" s="37" customFormat="1" ht="15.75" customHeight="1" x14ac:dyDescent="0.2">
      <c r="A1923" s="26">
        <v>2089</v>
      </c>
      <c r="B1923" s="27" t="s">
        <v>3002</v>
      </c>
      <c r="C1923" s="27" t="s">
        <v>48</v>
      </c>
      <c r="D1923" s="28">
        <v>0.08</v>
      </c>
      <c r="E1923" s="29">
        <v>599.99</v>
      </c>
      <c r="F1923" s="29">
        <v>24.49</v>
      </c>
      <c r="G1923" s="30" t="s">
        <v>39</v>
      </c>
      <c r="H1923" s="27" t="s">
        <v>94</v>
      </c>
      <c r="I1923" s="27" t="s">
        <v>41</v>
      </c>
      <c r="J1923" s="27" t="s">
        <v>64</v>
      </c>
      <c r="K1923" s="27" t="s">
        <v>65</v>
      </c>
      <c r="L1923" s="31" t="s">
        <v>3005</v>
      </c>
      <c r="M1923" s="32">
        <v>0.37</v>
      </c>
      <c r="N1923" s="27" t="s">
        <v>33</v>
      </c>
      <c r="O1923" s="27" t="s">
        <v>111</v>
      </c>
      <c r="P1923" s="27" t="s">
        <v>112</v>
      </c>
      <c r="Q1923" s="27" t="s">
        <v>3004</v>
      </c>
      <c r="R1923" s="33">
        <v>10956</v>
      </c>
      <c r="S1923" s="34">
        <v>42185</v>
      </c>
      <c r="T1923" s="34">
        <v>42193</v>
      </c>
      <c r="U1923" s="29">
        <v>8798.1831000000002</v>
      </c>
      <c r="V1923" s="26">
        <v>22</v>
      </c>
      <c r="W1923" s="29">
        <v>12750.99</v>
      </c>
      <c r="X1923" s="26">
        <v>88348</v>
      </c>
      <c r="Y1923" s="35">
        <v>7.88</v>
      </c>
      <c r="Z1923" s="1" t="s">
        <v>3014</v>
      </c>
      <c r="AA1923" s="36">
        <v>1055.9824000000001</v>
      </c>
      <c r="AB1923" s="54">
        <v>8033.1237000000001</v>
      </c>
      <c r="AC1923" s="54">
        <v>214.44846818181819</v>
      </c>
      <c r="AD1923" s="36">
        <v>2872.334499999999</v>
      </c>
    </row>
    <row r="1924" spans="1:30" s="37" customFormat="1" ht="15.75" customHeight="1" x14ac:dyDescent="0.2">
      <c r="A1924" s="26">
        <v>2276</v>
      </c>
      <c r="B1924" s="27" t="s">
        <v>3009</v>
      </c>
      <c r="C1924" s="27" t="s">
        <v>3094</v>
      </c>
      <c r="D1924" s="28">
        <v>0.01</v>
      </c>
      <c r="E1924" s="29">
        <v>195.99</v>
      </c>
      <c r="F1924" s="29">
        <v>8.99</v>
      </c>
      <c r="G1924" s="30" t="s">
        <v>39</v>
      </c>
      <c r="H1924" s="27" t="s">
        <v>40</v>
      </c>
      <c r="I1924" s="27" t="s">
        <v>41</v>
      </c>
      <c r="J1924" s="27" t="s">
        <v>135</v>
      </c>
      <c r="K1924" s="27" t="s">
        <v>73</v>
      </c>
      <c r="L1924" s="31" t="s">
        <v>1343</v>
      </c>
      <c r="M1924" s="32">
        <v>0.6</v>
      </c>
      <c r="N1924" s="27" t="s">
        <v>33</v>
      </c>
      <c r="O1924" s="27" t="s">
        <v>111</v>
      </c>
      <c r="P1924" s="27" t="s">
        <v>112</v>
      </c>
      <c r="Q1924" s="27" t="s">
        <v>3010</v>
      </c>
      <c r="R1924" s="33">
        <v>14304</v>
      </c>
      <c r="S1924" s="34">
        <v>42185</v>
      </c>
      <c r="T1924" s="34">
        <v>42185</v>
      </c>
      <c r="U1924" s="29">
        <v>2653.7813999999998</v>
      </c>
      <c r="V1924" s="26">
        <v>22</v>
      </c>
      <c r="W1924" s="29">
        <v>3846.06</v>
      </c>
      <c r="X1924" s="26">
        <v>91502</v>
      </c>
      <c r="Y1924" s="35">
        <v>3.5900000000000003</v>
      </c>
      <c r="Z1924" s="1" t="s">
        <v>3014</v>
      </c>
      <c r="AA1924" s="36">
        <v>43.117800000000003</v>
      </c>
      <c r="AB1924" s="54">
        <v>1538.424</v>
      </c>
      <c r="AC1924" s="54">
        <v>104.89254545454544</v>
      </c>
      <c r="AD1924" s="36">
        <v>1140.1708000000003</v>
      </c>
    </row>
    <row r="1925" spans="1:30" s="37" customFormat="1" ht="15.75" customHeight="1" x14ac:dyDescent="0.2">
      <c r="A1925" s="26">
        <v>2882</v>
      </c>
      <c r="B1925" s="27" t="s">
        <v>671</v>
      </c>
      <c r="C1925" s="27" t="s">
        <v>48</v>
      </c>
      <c r="D1925" s="28">
        <v>0.05</v>
      </c>
      <c r="E1925" s="29">
        <v>63.94</v>
      </c>
      <c r="F1925" s="29">
        <v>14.48</v>
      </c>
      <c r="G1925" s="30" t="s">
        <v>87</v>
      </c>
      <c r="H1925" s="27" t="s">
        <v>40</v>
      </c>
      <c r="I1925" s="27" t="s">
        <v>29</v>
      </c>
      <c r="J1925" s="27" t="s">
        <v>126</v>
      </c>
      <c r="K1925" s="27" t="s">
        <v>73</v>
      </c>
      <c r="L1925" s="31" t="s">
        <v>1994</v>
      </c>
      <c r="M1925" s="32">
        <v>0.46</v>
      </c>
      <c r="N1925" s="27" t="s">
        <v>33</v>
      </c>
      <c r="O1925" s="27" t="s">
        <v>34</v>
      </c>
      <c r="P1925" s="27" t="s">
        <v>97</v>
      </c>
      <c r="Q1925" s="27" t="s">
        <v>673</v>
      </c>
      <c r="R1925" s="33">
        <v>28206</v>
      </c>
      <c r="S1925" s="34">
        <v>42185</v>
      </c>
      <c r="T1925" s="34">
        <v>42192</v>
      </c>
      <c r="U1925" s="29">
        <v>270.87430000000001</v>
      </c>
      <c r="V1925" s="26">
        <v>21</v>
      </c>
      <c r="W1925" s="29">
        <v>1336.35</v>
      </c>
      <c r="X1925" s="26">
        <v>40224</v>
      </c>
      <c r="Y1925" s="35">
        <v>9.6100000000000012</v>
      </c>
      <c r="Z1925" s="1" t="s">
        <v>3011</v>
      </c>
      <c r="AA1925" s="36">
        <v>67.137</v>
      </c>
      <c r="AB1925" s="54">
        <v>721.62900000000002</v>
      </c>
      <c r="AC1925" s="54">
        <v>29.27242857142857</v>
      </c>
      <c r="AD1925" s="36">
        <v>983.85869999999989</v>
      </c>
    </row>
    <row r="1926" spans="1:30" s="37" customFormat="1" ht="15.75" customHeight="1" x14ac:dyDescent="0.2">
      <c r="A1926" s="26">
        <v>2089</v>
      </c>
      <c r="B1926" s="27" t="s">
        <v>3002</v>
      </c>
      <c r="C1926" s="27" t="s">
        <v>48</v>
      </c>
      <c r="D1926" s="28">
        <v>0.06</v>
      </c>
      <c r="E1926" s="29">
        <v>38.06</v>
      </c>
      <c r="F1926" s="29">
        <v>4.5</v>
      </c>
      <c r="G1926" s="30" t="s">
        <v>39</v>
      </c>
      <c r="H1926" s="27" t="s">
        <v>94</v>
      </c>
      <c r="I1926" s="27" t="s">
        <v>49</v>
      </c>
      <c r="J1926" s="27" t="s">
        <v>95</v>
      </c>
      <c r="K1926" s="27" t="s">
        <v>73</v>
      </c>
      <c r="L1926" s="31" t="s">
        <v>3003</v>
      </c>
      <c r="M1926" s="32">
        <v>0.56000000000000005</v>
      </c>
      <c r="N1926" s="27" t="s">
        <v>33</v>
      </c>
      <c r="O1926" s="27" t="s">
        <v>111</v>
      </c>
      <c r="P1926" s="27" t="s">
        <v>112</v>
      </c>
      <c r="Q1926" s="27" t="s">
        <v>3004</v>
      </c>
      <c r="R1926" s="33">
        <v>10956</v>
      </c>
      <c r="S1926" s="34">
        <v>42185</v>
      </c>
      <c r="T1926" s="34">
        <v>42191</v>
      </c>
      <c r="U1926" s="29">
        <v>450.45960000000002</v>
      </c>
      <c r="V1926" s="26">
        <v>17</v>
      </c>
      <c r="W1926" s="29">
        <v>652.84</v>
      </c>
      <c r="X1926" s="26">
        <v>88348</v>
      </c>
      <c r="Y1926" s="35">
        <v>7.88</v>
      </c>
      <c r="Z1926" s="1" t="s">
        <v>3014</v>
      </c>
      <c r="AA1926" s="36">
        <v>38.821199999999997</v>
      </c>
      <c r="AB1926" s="54">
        <v>287.24959999999999</v>
      </c>
      <c r="AC1926" s="54">
        <v>21.505317647058828</v>
      </c>
      <c r="AD1926" s="36">
        <v>159.05920000000003</v>
      </c>
    </row>
    <row r="1927" spans="1:30" s="37" customFormat="1" ht="15.75" customHeight="1" x14ac:dyDescent="0.2">
      <c r="A1927" s="26">
        <v>1472</v>
      </c>
      <c r="B1927" s="27" t="s">
        <v>2669</v>
      </c>
      <c r="C1927" s="27" t="s">
        <v>3094</v>
      </c>
      <c r="D1927" s="28">
        <v>0.02</v>
      </c>
      <c r="E1927" s="29">
        <v>30.98</v>
      </c>
      <c r="F1927" s="29">
        <v>6.5</v>
      </c>
      <c r="G1927" s="30" t="s">
        <v>87</v>
      </c>
      <c r="H1927" s="27" t="s">
        <v>71</v>
      </c>
      <c r="I1927" s="27" t="s">
        <v>41</v>
      </c>
      <c r="J1927" s="27" t="s">
        <v>42</v>
      </c>
      <c r="K1927" s="27" t="s">
        <v>73</v>
      </c>
      <c r="L1927" s="31" t="s">
        <v>2855</v>
      </c>
      <c r="M1927" s="32">
        <v>0.79</v>
      </c>
      <c r="N1927" s="27" t="s">
        <v>33</v>
      </c>
      <c r="O1927" s="27" t="s">
        <v>111</v>
      </c>
      <c r="P1927" s="27" t="s">
        <v>317</v>
      </c>
      <c r="Q1927" s="27" t="s">
        <v>2670</v>
      </c>
      <c r="R1927" s="33">
        <v>44145</v>
      </c>
      <c r="S1927" s="34">
        <v>42185</v>
      </c>
      <c r="T1927" s="34">
        <v>42186</v>
      </c>
      <c r="U1927" s="29">
        <v>-44.624000000000002</v>
      </c>
      <c r="V1927" s="26">
        <v>17</v>
      </c>
      <c r="W1927" s="29">
        <v>552.89</v>
      </c>
      <c r="X1927" s="26">
        <v>87078</v>
      </c>
      <c r="Y1927" s="35">
        <v>3.5900000000000003</v>
      </c>
      <c r="Z1927" s="1" t="s">
        <v>3014</v>
      </c>
      <c r="AA1927" s="36">
        <v>10.533200000000001</v>
      </c>
      <c r="AB1927" s="54">
        <v>116.10689999999998</v>
      </c>
      <c r="AC1927" s="54">
        <v>25.693123529411768</v>
      </c>
      <c r="AD1927" s="36">
        <v>580.48080000000004</v>
      </c>
    </row>
    <row r="1928" spans="1:30" s="37" customFormat="1" ht="15.75" customHeight="1" x14ac:dyDescent="0.2">
      <c r="A1928" s="26">
        <v>2885</v>
      </c>
      <c r="B1928" s="27" t="s">
        <v>3007</v>
      </c>
      <c r="C1928" s="27" t="s">
        <v>48</v>
      </c>
      <c r="D1928" s="28">
        <v>0.05</v>
      </c>
      <c r="E1928" s="29">
        <v>63.94</v>
      </c>
      <c r="F1928" s="29">
        <v>14.48</v>
      </c>
      <c r="G1928" s="30" t="s">
        <v>87</v>
      </c>
      <c r="H1928" s="27" t="s">
        <v>40</v>
      </c>
      <c r="I1928" s="27" t="s">
        <v>29</v>
      </c>
      <c r="J1928" s="27" t="s">
        <v>126</v>
      </c>
      <c r="K1928" s="27" t="s">
        <v>73</v>
      </c>
      <c r="L1928" s="31" t="s">
        <v>1994</v>
      </c>
      <c r="M1928" s="32">
        <v>0.46</v>
      </c>
      <c r="N1928" s="27" t="s">
        <v>33</v>
      </c>
      <c r="O1928" s="27" t="s">
        <v>111</v>
      </c>
      <c r="P1928" s="27" t="s">
        <v>317</v>
      </c>
      <c r="Q1928" s="27" t="s">
        <v>3008</v>
      </c>
      <c r="R1928" s="33">
        <v>44133</v>
      </c>
      <c r="S1928" s="34">
        <v>42185</v>
      </c>
      <c r="T1928" s="34">
        <v>42192</v>
      </c>
      <c r="U1928" s="29">
        <v>219.54419999999999</v>
      </c>
      <c r="V1928" s="26">
        <v>5</v>
      </c>
      <c r="W1928" s="29">
        <v>318.18</v>
      </c>
      <c r="X1928" s="26">
        <v>87634</v>
      </c>
      <c r="Y1928" s="35">
        <v>9.6100000000000012</v>
      </c>
      <c r="Z1928" s="1" t="s">
        <v>3014</v>
      </c>
      <c r="AA1928" s="36">
        <v>15.984999999999999</v>
      </c>
      <c r="AB1928" s="54">
        <v>171.81720000000001</v>
      </c>
      <c r="AC1928" s="54">
        <v>29.272560000000002</v>
      </c>
      <c r="AD1928" s="36">
        <v>68.170800000000042</v>
      </c>
    </row>
    <row r="1929" spans="1:30" s="37" customFormat="1" ht="15.75" customHeight="1" x14ac:dyDescent="0.2">
      <c r="A1929" s="26">
        <v>699</v>
      </c>
      <c r="B1929" s="27" t="s">
        <v>861</v>
      </c>
      <c r="C1929" s="27" t="s">
        <v>38</v>
      </c>
      <c r="D1929" s="28">
        <v>0.01</v>
      </c>
      <c r="E1929" s="29">
        <v>7.89</v>
      </c>
      <c r="F1929" s="29">
        <v>2.82</v>
      </c>
      <c r="G1929" s="30" t="s">
        <v>39</v>
      </c>
      <c r="H1929" s="27" t="s">
        <v>40</v>
      </c>
      <c r="I1929" s="27" t="s">
        <v>49</v>
      </c>
      <c r="J1929" s="27" t="s">
        <v>176</v>
      </c>
      <c r="K1929" s="27" t="s">
        <v>51</v>
      </c>
      <c r="L1929" s="31" t="s">
        <v>3000</v>
      </c>
      <c r="M1929" s="32">
        <v>0.4</v>
      </c>
      <c r="N1929" s="27" t="s">
        <v>33</v>
      </c>
      <c r="O1929" s="27" t="s">
        <v>60</v>
      </c>
      <c r="P1929" s="27" t="s">
        <v>90</v>
      </c>
      <c r="Q1929" s="27" t="s">
        <v>100</v>
      </c>
      <c r="R1929" s="33">
        <v>90041</v>
      </c>
      <c r="S1929" s="34">
        <v>42185</v>
      </c>
      <c r="T1929" s="34">
        <v>42186</v>
      </c>
      <c r="U1929" s="29">
        <v>38.700000000000003</v>
      </c>
      <c r="V1929" s="26">
        <v>32</v>
      </c>
      <c r="W1929" s="29">
        <v>274.26</v>
      </c>
      <c r="X1929" s="26">
        <v>36647</v>
      </c>
      <c r="Y1929" s="35">
        <v>8.2900000000000009</v>
      </c>
      <c r="Z1929" s="1" t="s">
        <v>3013</v>
      </c>
      <c r="AA1929" s="36">
        <v>2.5247999999999999</v>
      </c>
      <c r="AB1929" s="54">
        <v>164.55599999999998</v>
      </c>
      <c r="AC1929" s="54">
        <v>3.4282500000000002</v>
      </c>
      <c r="AD1929" s="36">
        <v>230.21519999999998</v>
      </c>
    </row>
    <row r="1930" spans="1:30" s="37" customFormat="1" ht="15.75" customHeight="1" x14ac:dyDescent="0.2">
      <c r="A1930" s="26">
        <v>699</v>
      </c>
      <c r="B1930" s="27" t="s">
        <v>861</v>
      </c>
      <c r="C1930" s="27" t="s">
        <v>38</v>
      </c>
      <c r="D1930" s="28">
        <v>0.1</v>
      </c>
      <c r="E1930" s="29">
        <v>9.7100000000000009</v>
      </c>
      <c r="F1930" s="29">
        <v>9.4499999999999993</v>
      </c>
      <c r="G1930" s="30" t="s">
        <v>39</v>
      </c>
      <c r="H1930" s="27" t="s">
        <v>40</v>
      </c>
      <c r="I1930" s="27" t="s">
        <v>49</v>
      </c>
      <c r="J1930" s="27" t="s">
        <v>78</v>
      </c>
      <c r="K1930" s="27" t="s">
        <v>73</v>
      </c>
      <c r="L1930" s="31" t="s">
        <v>1203</v>
      </c>
      <c r="M1930" s="32">
        <v>0.6</v>
      </c>
      <c r="N1930" s="27" t="s">
        <v>33</v>
      </c>
      <c r="O1930" s="27" t="s">
        <v>60</v>
      </c>
      <c r="P1930" s="27" t="s">
        <v>90</v>
      </c>
      <c r="Q1930" s="27" t="s">
        <v>100</v>
      </c>
      <c r="R1930" s="33">
        <v>90041</v>
      </c>
      <c r="S1930" s="34">
        <v>42185</v>
      </c>
      <c r="T1930" s="34">
        <v>42188</v>
      </c>
      <c r="U1930" s="29">
        <v>-119.77</v>
      </c>
      <c r="V1930" s="26">
        <v>27</v>
      </c>
      <c r="W1930" s="29">
        <v>261.93</v>
      </c>
      <c r="X1930" s="26">
        <v>36647</v>
      </c>
      <c r="Y1930" s="35">
        <v>38</v>
      </c>
      <c r="Z1930" s="1" t="s">
        <v>3013</v>
      </c>
      <c r="AA1930" s="36">
        <v>26.217000000000002</v>
      </c>
      <c r="AB1930" s="54">
        <v>104.77200000000001</v>
      </c>
      <c r="AC1930" s="54">
        <v>5.820666666666666</v>
      </c>
      <c r="AD1930" s="36">
        <v>346.03300000000002</v>
      </c>
    </row>
    <row r="1931" spans="1:30" s="37" customFormat="1" ht="15.75" customHeight="1" x14ac:dyDescent="0.2">
      <c r="A1931" s="26">
        <v>1307</v>
      </c>
      <c r="B1931" s="27" t="s">
        <v>3001</v>
      </c>
      <c r="C1931" s="27" t="s">
        <v>48</v>
      </c>
      <c r="D1931" s="28">
        <v>0.04</v>
      </c>
      <c r="E1931" s="29">
        <v>8.33</v>
      </c>
      <c r="F1931" s="29">
        <v>1.99</v>
      </c>
      <c r="G1931" s="30" t="s">
        <v>39</v>
      </c>
      <c r="H1931" s="27" t="s">
        <v>3095</v>
      </c>
      <c r="I1931" s="27" t="s">
        <v>41</v>
      </c>
      <c r="J1931" s="27" t="s">
        <v>42</v>
      </c>
      <c r="K1931" s="27" t="s">
        <v>43</v>
      </c>
      <c r="L1931" s="31" t="s">
        <v>1174</v>
      </c>
      <c r="M1931" s="32">
        <v>0.52</v>
      </c>
      <c r="N1931" s="27" t="s">
        <v>33</v>
      </c>
      <c r="O1931" s="27" t="s">
        <v>60</v>
      </c>
      <c r="P1931" s="27" t="s">
        <v>139</v>
      </c>
      <c r="Q1931" s="27" t="s">
        <v>2285</v>
      </c>
      <c r="R1931" s="33">
        <v>97420</v>
      </c>
      <c r="S1931" s="34">
        <v>42185</v>
      </c>
      <c r="T1931" s="34">
        <v>42192</v>
      </c>
      <c r="U1931" s="29">
        <v>44.892000000000003</v>
      </c>
      <c r="V1931" s="26">
        <v>16</v>
      </c>
      <c r="W1931" s="29">
        <v>131.26</v>
      </c>
      <c r="X1931" s="26">
        <v>91451</v>
      </c>
      <c r="Y1931" s="35">
        <v>599.91</v>
      </c>
      <c r="Z1931" s="1" t="s">
        <v>3013</v>
      </c>
      <c r="AA1931" s="36">
        <v>5.3311999999999999</v>
      </c>
      <c r="AB1931" s="54">
        <v>63.004799999999996</v>
      </c>
      <c r="AC1931" s="54">
        <v>4.2659500000000001</v>
      </c>
      <c r="AD1931" s="36">
        <v>79.04679999999999</v>
      </c>
    </row>
    <row r="1932" spans="1:30" s="37" customFormat="1" ht="15.75" customHeight="1" x14ac:dyDescent="0.2">
      <c r="A1932" s="26">
        <v>1384</v>
      </c>
      <c r="B1932" s="27" t="s">
        <v>2791</v>
      </c>
      <c r="C1932" s="27" t="s">
        <v>3094</v>
      </c>
      <c r="D1932" s="28">
        <v>7.0000000000000007E-2</v>
      </c>
      <c r="E1932" s="29">
        <v>11.29</v>
      </c>
      <c r="F1932" s="29">
        <v>5.03</v>
      </c>
      <c r="G1932" s="30" t="s">
        <v>39</v>
      </c>
      <c r="H1932" s="27" t="s">
        <v>40</v>
      </c>
      <c r="I1932" s="27" t="s">
        <v>49</v>
      </c>
      <c r="J1932" s="27" t="s">
        <v>78</v>
      </c>
      <c r="K1932" s="27" t="s">
        <v>73</v>
      </c>
      <c r="L1932" s="31" t="s">
        <v>1260</v>
      </c>
      <c r="M1932" s="32">
        <v>0.59</v>
      </c>
      <c r="N1932" s="27" t="s">
        <v>33</v>
      </c>
      <c r="O1932" s="27" t="s">
        <v>34</v>
      </c>
      <c r="P1932" s="27" t="s">
        <v>242</v>
      </c>
      <c r="Q1932" s="27" t="s">
        <v>2732</v>
      </c>
      <c r="R1932" s="33">
        <v>22304</v>
      </c>
      <c r="S1932" s="34">
        <v>42185</v>
      </c>
      <c r="T1932" s="34">
        <v>42187</v>
      </c>
      <c r="U1932" s="29">
        <v>-163.03</v>
      </c>
      <c r="V1932" s="26">
        <v>11</v>
      </c>
      <c r="W1932" s="29">
        <v>123.18</v>
      </c>
      <c r="X1932" s="26">
        <v>89407</v>
      </c>
      <c r="Y1932" s="35">
        <v>3.88</v>
      </c>
      <c r="Z1932" s="1" t="s">
        <v>3011</v>
      </c>
      <c r="AA1932" s="36">
        <v>8.6933000000000007</v>
      </c>
      <c r="AB1932" s="54">
        <v>50.503800000000005</v>
      </c>
      <c r="AC1932" s="54">
        <v>6.6069272727272725</v>
      </c>
      <c r="AD1932" s="36">
        <v>272.48670000000004</v>
      </c>
    </row>
    <row r="1933" spans="1:30" s="37" customFormat="1" ht="15.75" customHeight="1" x14ac:dyDescent="0.2">
      <c r="A1933" s="26">
        <v>699</v>
      </c>
      <c r="B1933" s="27" t="s">
        <v>861</v>
      </c>
      <c r="C1933" s="27" t="s">
        <v>38</v>
      </c>
      <c r="D1933" s="28">
        <v>0.09</v>
      </c>
      <c r="E1933" s="29">
        <v>3.68</v>
      </c>
      <c r="F1933" s="29">
        <v>1.32</v>
      </c>
      <c r="G1933" s="30" t="s">
        <v>39</v>
      </c>
      <c r="H1933" s="27" t="s">
        <v>40</v>
      </c>
      <c r="I1933" s="27" t="s">
        <v>49</v>
      </c>
      <c r="J1933" s="27" t="s">
        <v>568</v>
      </c>
      <c r="K1933" s="27" t="s">
        <v>51</v>
      </c>
      <c r="L1933" s="31" t="s">
        <v>2526</v>
      </c>
      <c r="M1933" s="32">
        <v>0.83</v>
      </c>
      <c r="N1933" s="27" t="s">
        <v>33</v>
      </c>
      <c r="O1933" s="27" t="s">
        <v>60</v>
      </c>
      <c r="P1933" s="27" t="s">
        <v>90</v>
      </c>
      <c r="Q1933" s="27" t="s">
        <v>100</v>
      </c>
      <c r="R1933" s="33">
        <v>90041</v>
      </c>
      <c r="S1933" s="34">
        <v>42185</v>
      </c>
      <c r="T1933" s="34">
        <v>42186</v>
      </c>
      <c r="U1933" s="29">
        <v>-21.91</v>
      </c>
      <c r="V1933" s="26">
        <v>24</v>
      </c>
      <c r="W1933" s="29">
        <v>83.16</v>
      </c>
      <c r="X1933" s="26">
        <v>36647</v>
      </c>
      <c r="Y1933" s="35">
        <v>63.89</v>
      </c>
      <c r="Z1933" s="1" t="s">
        <v>3013</v>
      </c>
      <c r="AA1933" s="36">
        <v>7.9488000000000003</v>
      </c>
      <c r="AB1933" s="54">
        <v>14.137200000000004</v>
      </c>
      <c r="AC1933" s="54">
        <v>2.8759499999999996</v>
      </c>
      <c r="AD1933" s="36">
        <v>95.801199999999994</v>
      </c>
    </row>
    <row r="1934" spans="1:30" s="37" customFormat="1" ht="15.75" customHeight="1" x14ac:dyDescent="0.2">
      <c r="A1934" s="26">
        <v>702</v>
      </c>
      <c r="B1934" s="27" t="s">
        <v>2276</v>
      </c>
      <c r="C1934" s="27" t="s">
        <v>38</v>
      </c>
      <c r="D1934" s="28">
        <v>0.01</v>
      </c>
      <c r="E1934" s="29">
        <v>7.89</v>
      </c>
      <c r="F1934" s="29">
        <v>2.82</v>
      </c>
      <c r="G1934" s="30" t="s">
        <v>39</v>
      </c>
      <c r="H1934" s="27" t="s">
        <v>40</v>
      </c>
      <c r="I1934" s="27" t="s">
        <v>49</v>
      </c>
      <c r="J1934" s="27" t="s">
        <v>176</v>
      </c>
      <c r="K1934" s="27" t="s">
        <v>51</v>
      </c>
      <c r="L1934" s="31" t="s">
        <v>3000</v>
      </c>
      <c r="M1934" s="32">
        <v>0.4</v>
      </c>
      <c r="N1934" s="27" t="s">
        <v>33</v>
      </c>
      <c r="O1934" s="27" t="s">
        <v>60</v>
      </c>
      <c r="P1934" s="27" t="s">
        <v>90</v>
      </c>
      <c r="Q1934" s="27" t="s">
        <v>2277</v>
      </c>
      <c r="R1934" s="33">
        <v>95404</v>
      </c>
      <c r="S1934" s="34">
        <v>42185</v>
      </c>
      <c r="T1934" s="34">
        <v>42186</v>
      </c>
      <c r="U1934" s="29">
        <v>46.44</v>
      </c>
      <c r="V1934" s="26">
        <v>8</v>
      </c>
      <c r="W1934" s="29">
        <v>68.56</v>
      </c>
      <c r="X1934" s="26">
        <v>87979</v>
      </c>
      <c r="Y1934" s="35">
        <v>63.89</v>
      </c>
      <c r="Z1934" s="1" t="s">
        <v>3013</v>
      </c>
      <c r="AA1934" s="36">
        <v>0.63119999999999998</v>
      </c>
      <c r="AB1934" s="54">
        <v>41.136000000000003</v>
      </c>
      <c r="AC1934" s="54">
        <v>3.4280000000000004</v>
      </c>
      <c r="AD1934" s="36">
        <v>18.668800000000005</v>
      </c>
    </row>
    <row r="1935" spans="1:30" s="37" customFormat="1" ht="15.75" customHeight="1" x14ac:dyDescent="0.2">
      <c r="A1935" s="26">
        <v>702</v>
      </c>
      <c r="B1935" s="27" t="s">
        <v>2276</v>
      </c>
      <c r="C1935" s="27" t="s">
        <v>38</v>
      </c>
      <c r="D1935" s="28">
        <v>0.1</v>
      </c>
      <c r="E1935" s="29">
        <v>9.7100000000000009</v>
      </c>
      <c r="F1935" s="29">
        <v>9.4499999999999993</v>
      </c>
      <c r="G1935" s="30" t="s">
        <v>39</v>
      </c>
      <c r="H1935" s="27" t="s">
        <v>40</v>
      </c>
      <c r="I1935" s="27" t="s">
        <v>49</v>
      </c>
      <c r="J1935" s="27" t="s">
        <v>78</v>
      </c>
      <c r="K1935" s="27" t="s">
        <v>73</v>
      </c>
      <c r="L1935" s="31" t="s">
        <v>1203</v>
      </c>
      <c r="M1935" s="32">
        <v>0.6</v>
      </c>
      <c r="N1935" s="27" t="s">
        <v>33</v>
      </c>
      <c r="O1935" s="27" t="s">
        <v>60</v>
      </c>
      <c r="P1935" s="27" t="s">
        <v>90</v>
      </c>
      <c r="Q1935" s="27" t="s">
        <v>2277</v>
      </c>
      <c r="R1935" s="33">
        <v>95404</v>
      </c>
      <c r="S1935" s="34">
        <v>42185</v>
      </c>
      <c r="T1935" s="34">
        <v>42188</v>
      </c>
      <c r="U1935" s="29">
        <v>-95.816000000000003</v>
      </c>
      <c r="V1935" s="26">
        <v>7</v>
      </c>
      <c r="W1935" s="29">
        <v>67.91</v>
      </c>
      <c r="X1935" s="26">
        <v>87979</v>
      </c>
      <c r="Y1935" s="35">
        <v>11.219999999999999</v>
      </c>
      <c r="Z1935" s="1" t="s">
        <v>3013</v>
      </c>
      <c r="AA1935" s="36">
        <v>6.7970000000000006</v>
      </c>
      <c r="AB1935" s="54">
        <v>27.164000000000001</v>
      </c>
      <c r="AC1935" s="54">
        <v>5.8208571428571423</v>
      </c>
      <c r="AD1935" s="36">
        <v>147.47899999999998</v>
      </c>
    </row>
    <row r="1936" spans="1:30" s="37" customFormat="1" ht="15.75" customHeight="1" x14ac:dyDescent="0.2">
      <c r="A1936" s="26">
        <v>702</v>
      </c>
      <c r="B1936" s="27" t="s">
        <v>2276</v>
      </c>
      <c r="C1936" s="27" t="s">
        <v>38</v>
      </c>
      <c r="D1936" s="28">
        <v>0.09</v>
      </c>
      <c r="E1936" s="29">
        <v>3.68</v>
      </c>
      <c r="F1936" s="29">
        <v>1.32</v>
      </c>
      <c r="G1936" s="30" t="s">
        <v>39</v>
      </c>
      <c r="H1936" s="27" t="s">
        <v>40</v>
      </c>
      <c r="I1936" s="27" t="s">
        <v>49</v>
      </c>
      <c r="J1936" s="27" t="s">
        <v>568</v>
      </c>
      <c r="K1936" s="27" t="s">
        <v>51</v>
      </c>
      <c r="L1936" s="31" t="s">
        <v>2526</v>
      </c>
      <c r="M1936" s="32">
        <v>0.83</v>
      </c>
      <c r="N1936" s="27" t="s">
        <v>33</v>
      </c>
      <c r="O1936" s="27" t="s">
        <v>60</v>
      </c>
      <c r="P1936" s="27" t="s">
        <v>90</v>
      </c>
      <c r="Q1936" s="27" t="s">
        <v>2277</v>
      </c>
      <c r="R1936" s="33">
        <v>95404</v>
      </c>
      <c r="S1936" s="34">
        <v>42185</v>
      </c>
      <c r="T1936" s="34">
        <v>42186</v>
      </c>
      <c r="U1936" s="29">
        <v>-17.527999999999999</v>
      </c>
      <c r="V1936" s="26">
        <v>6</v>
      </c>
      <c r="W1936" s="29">
        <v>20.79</v>
      </c>
      <c r="X1936" s="26">
        <v>87979</v>
      </c>
      <c r="Y1936" s="35">
        <v>30.96</v>
      </c>
      <c r="Z1936" s="1" t="s">
        <v>3013</v>
      </c>
      <c r="AA1936" s="36">
        <v>1.9872000000000001</v>
      </c>
      <c r="AB1936" s="54">
        <v>3.5343000000000009</v>
      </c>
      <c r="AC1936" s="54">
        <v>2.8759499999999996</v>
      </c>
      <c r="AD1936" s="36">
        <v>35.010799999999996</v>
      </c>
    </row>
    <row r="1937" spans="1:30" s="37" customFormat="1" ht="15.75" customHeight="1" x14ac:dyDescent="0.2">
      <c r="A1937" s="26">
        <v>2089</v>
      </c>
      <c r="B1937" s="27" t="s">
        <v>3002</v>
      </c>
      <c r="C1937" s="27" t="s">
        <v>48</v>
      </c>
      <c r="D1937" s="28">
        <v>0.1</v>
      </c>
      <c r="E1937" s="29">
        <v>3.98</v>
      </c>
      <c r="F1937" s="29">
        <v>2.97</v>
      </c>
      <c r="G1937" s="30" t="s">
        <v>87</v>
      </c>
      <c r="H1937" s="27" t="s">
        <v>94</v>
      </c>
      <c r="I1937" s="27" t="s">
        <v>49</v>
      </c>
      <c r="J1937" s="27" t="s">
        <v>88</v>
      </c>
      <c r="K1937" s="27" t="s">
        <v>51</v>
      </c>
      <c r="L1937" s="31" t="s">
        <v>3006</v>
      </c>
      <c r="M1937" s="32">
        <v>0.35</v>
      </c>
      <c r="N1937" s="27" t="s">
        <v>33</v>
      </c>
      <c r="O1937" s="27" t="s">
        <v>111</v>
      </c>
      <c r="P1937" s="27" t="s">
        <v>112</v>
      </c>
      <c r="Q1937" s="27" t="s">
        <v>3004</v>
      </c>
      <c r="R1937" s="33">
        <v>10956</v>
      </c>
      <c r="S1937" s="34">
        <v>42185</v>
      </c>
      <c r="T1937" s="34">
        <v>42189</v>
      </c>
      <c r="U1937" s="29">
        <v>-5.3849999999999998</v>
      </c>
      <c r="V1937" s="26">
        <v>5</v>
      </c>
      <c r="W1937" s="29">
        <v>20.54</v>
      </c>
      <c r="X1937" s="26">
        <v>88348</v>
      </c>
      <c r="Y1937" s="35">
        <v>195.98000000000002</v>
      </c>
      <c r="Z1937" s="1" t="s">
        <v>3014</v>
      </c>
      <c r="AA1937" s="36">
        <v>1.9900000000000002</v>
      </c>
      <c r="AB1937" s="54">
        <v>13.350999999999999</v>
      </c>
      <c r="AC1937" s="54">
        <v>1.4377999999999997</v>
      </c>
      <c r="AD1937" s="36">
        <v>20.965</v>
      </c>
    </row>
    <row r="1938" spans="1:30" s="37" customFormat="1" ht="15.75" customHeight="1" x14ac:dyDescent="0.2">
      <c r="A1938" s="38"/>
      <c r="B1938" s="39"/>
      <c r="C1938" s="39"/>
      <c r="D1938" s="40"/>
      <c r="E1938" s="41"/>
      <c r="F1938" s="41">
        <f>SUBTOTAL(109,Table_1[Shipping Cost])</f>
        <v>24748.430000000164</v>
      </c>
      <c r="G1938" s="42"/>
      <c r="H1938" s="39"/>
      <c r="I1938" s="39"/>
      <c r="J1938" s="39">
        <f>COUNT(DataSheet!$J$2:$J$1937)</f>
        <v>0</v>
      </c>
      <c r="K1938" s="39"/>
      <c r="L1938" s="43"/>
      <c r="M1938" s="44"/>
      <c r="N1938" s="39"/>
      <c r="O1938" s="39"/>
      <c r="P1938" s="39"/>
      <c r="Q1938" s="39"/>
      <c r="R1938" s="45"/>
      <c r="S1938" s="34"/>
      <c r="T1938" s="34"/>
      <c r="U1938" s="41">
        <f>SUBTOTAL(109,Table_1[Profit])</f>
        <v>215023.39973715009</v>
      </c>
      <c r="V1938" s="38"/>
      <c r="W1938" s="41"/>
      <c r="X1938" s="44">
        <f>SUBTOTAL(102,Table_1[Order ID])</f>
        <v>1936</v>
      </c>
      <c r="Y1938" s="41"/>
      <c r="Z1938" s="39"/>
      <c r="AA1938" s="46"/>
      <c r="AB1938" s="46"/>
      <c r="AC1938" s="46"/>
      <c r="AD1938" s="50">
        <f>SUBTOTAL(109,Table_1[Cumulative cost])</f>
        <v>1550633.4510628521</v>
      </c>
    </row>
    <row r="1939" spans="1:30" ht="15.75" customHeight="1" x14ac:dyDescent="0.2">
      <c r="X1939" s="47">
        <f>COUNT(_xlfn.UNIQUE(Table_1[[#Headers],[#Data],[Order ID]]))</f>
        <v>1358</v>
      </c>
    </row>
  </sheetData>
  <phoneticPr fontId="4" type="noConversion"/>
  <conditionalFormatting sqref="AD1:AD1048576">
    <cfRule type="cellIs" dxfId="62" priority="1" operator="lessThan">
      <formula>0</formula>
    </cfRule>
  </conditionalFormatting>
  <pageMargins left="0.7" right="0.7" top="0.75" bottom="0.75" header="0" footer="0"/>
  <pageSetup orientation="landscape"/>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item1.xml>�� 
</file>

<file path=customXml/item2.xml>�� 
</file>

<file path=customXml/item3.xml>�� � � � � � � � � 
</file>

<file path=customXml/item4.xml>�� � � � � � � � � 
</file>

<file path=customXml/item5.xml>�� 
</file>

<file path=customXml/item6.xml>�� � � � � � � � � 
</file>

<file path=customXml/item7.xml>�� 
</file>

<file path=customXml/item8.xml>�� 
</file>

<file path=customXml/item9.xml>�� 
</file>

<file path=customXml/item10.xml>�� 
</file>

<file path=customXml/item11.xml>�� � � � � � � � � 
</file>

<file path=customXml/item12.xml>�� 
</file>

<file path=customXml/item13.xml>�� � � � � � � � � 
</file>

<file path=customXml/item14.xml>�� 
</file>

<file path=customXml/item15.xml>�� � � � � � � � � 
</file>

<file path=customXml/item16.xml>�� � � � � � � � � 
</file>

<file path=customXml/item17.xml>�� 
</file>

<file path=customXml/item18.xml>�� 
</file>

<file path=customXml/item19.xml>�� 
</file>

<file path=customXml/item20.xml>�� � � � � � � � � 
</file>

<file path=customXml/item21.xml>�� � � � � � � � � 
</file>

<file path=customXml/item22.xml>�� � � � � � � � � 
</file>

<file path=customXml/item23.xml>�� 
</file>

<file path=customXml/item24.xml>�� 
</file>

<file path=customXml/item25.xml>�� 
</file>

<file path=customXml/item26.xml>�� 
</file>

<file path=customXml/item27.xml>�� � � � � � � � � � � � � � � � � � � � � � � � � 
</file>

<file path=customXml/item28.xml>�� � � � � � � � � 
</file>

<file path=customXml/item29.xml>�� � � � � � � � � 
</file>

<file path=customXml/itemProps1.xml><?xml version="1.0" encoding="utf-8"?>
<ds:datastoreItem xmlns:ds="http://schemas.openxmlformats.org/officeDocument/2006/customXml" ds:itemID="{BEBADF1F-B44C-42EF-AD57-DCB73C0A6492}">
  <ds:schemaRefs/>
</ds:datastoreItem>
</file>

<file path=customXml/itemProps2.xml><?xml version="1.0" encoding="utf-8"?>
<ds:datastoreItem xmlns:ds="http://schemas.openxmlformats.org/officeDocument/2006/customXml" ds:itemID="{534D4E8C-573E-4452-A100-B9475361D33A}">
  <ds:schemaRefs/>
</ds:datastoreItem>
</file>

<file path=customXml/itemProps3.xml><?xml version="1.0" encoding="utf-8"?>
<ds:datastoreItem xmlns:ds="http://schemas.openxmlformats.org/officeDocument/2006/customXml" ds:itemID="{7207391A-8EDF-4078-9168-D01440DF23E5}">
  <ds:schemaRefs/>
</ds:datastoreItem>
</file>

<file path=customXml/itemProps4.xml><?xml version="1.0" encoding="utf-8"?>
<ds:datastoreItem xmlns:ds="http://schemas.openxmlformats.org/officeDocument/2006/customXml" ds:itemID="{33FC9BB7-815D-4CA4-93A3-8AFE5B9D12CC}">
  <ds:schemaRefs/>
</ds:datastoreItem>
</file>

<file path=customXml/itemProps5.xml><?xml version="1.0" encoding="utf-8"?>
<ds:datastoreItem xmlns:ds="http://schemas.openxmlformats.org/officeDocument/2006/customXml" ds:itemID="{69530730-C47C-47C6-BA93-4760280E538F}">
  <ds:schemaRefs/>
</ds:datastoreItem>
</file>

<file path=customXml/itemProps6.xml><?xml version="1.0" encoding="utf-8"?>
<ds:datastoreItem xmlns:ds="http://schemas.openxmlformats.org/officeDocument/2006/customXml" ds:itemID="{D5E97E16-170A-4B3F-84EE-F30AC0EEC8A0}">
  <ds:schemaRefs/>
</ds:datastoreItem>
</file>

<file path=customXml/itemProps7.xml><?xml version="1.0" encoding="utf-8"?>
<ds:datastoreItem xmlns:ds="http://schemas.openxmlformats.org/officeDocument/2006/customXml" ds:itemID="{359AC154-B2E4-4861-9B64-2AF04A04A609}">
  <ds:schemaRefs/>
</ds:datastoreItem>
</file>

<file path=customXml/itemProps8.xml><?xml version="1.0" encoding="utf-8"?>
<ds:datastoreItem xmlns:ds="http://schemas.openxmlformats.org/officeDocument/2006/customXml" ds:itemID="{E8549CE3-6A14-41C5-9137-9E1B0F3AD66E}">
  <ds:schemaRefs/>
</ds:datastoreItem>
</file>

<file path=customXml/itemProps9.xml><?xml version="1.0" encoding="utf-8"?>
<ds:datastoreItem xmlns:ds="http://schemas.openxmlformats.org/officeDocument/2006/customXml" ds:itemID="{380ABACA-8F10-482F-8D46-9F2337A9F58F}">
  <ds:schemaRefs/>
</ds:datastoreItem>
</file>

<file path=customXml/itemProps10.xml><?xml version="1.0" encoding="utf-8"?>
<ds:datastoreItem xmlns:ds="http://schemas.openxmlformats.org/officeDocument/2006/customXml" ds:itemID="{0DCC9C51-B1B0-4DD0-B65E-EA53C993AC74}">
  <ds:schemaRefs/>
</ds:datastoreItem>
</file>

<file path=customXml/itemProps11.xml><?xml version="1.0" encoding="utf-8"?>
<ds:datastoreItem xmlns:ds="http://schemas.openxmlformats.org/officeDocument/2006/customXml" ds:itemID="{89FCBFD2-262E-45BC-96F8-7DCD6D46B83D}">
  <ds:schemaRefs/>
</ds:datastoreItem>
</file>

<file path=customXml/itemProps12.xml><?xml version="1.0" encoding="utf-8"?>
<ds:datastoreItem xmlns:ds="http://schemas.openxmlformats.org/officeDocument/2006/customXml" ds:itemID="{8933CD8B-A441-44E9-8665-F71E6CF88E1C}">
  <ds:schemaRefs/>
</ds:datastoreItem>
</file>

<file path=customXml/itemProps13.xml><?xml version="1.0" encoding="utf-8"?>
<ds:datastoreItem xmlns:ds="http://schemas.openxmlformats.org/officeDocument/2006/customXml" ds:itemID="{1142B44C-43CF-4D83-B36B-605D131B1717}">
  <ds:schemaRefs/>
</ds:datastoreItem>
</file>

<file path=customXml/itemProps14.xml><?xml version="1.0" encoding="utf-8"?>
<ds:datastoreItem xmlns:ds="http://schemas.openxmlformats.org/officeDocument/2006/customXml" ds:itemID="{DBD1D52A-7F06-48FD-820F-A4C3BF6E554B}">
  <ds:schemaRefs/>
</ds:datastoreItem>
</file>

<file path=customXml/itemProps15.xml><?xml version="1.0" encoding="utf-8"?>
<ds:datastoreItem xmlns:ds="http://schemas.openxmlformats.org/officeDocument/2006/customXml" ds:itemID="{238AF1A1-CC3B-49E3-898A-78115A108B8F}">
  <ds:schemaRefs/>
</ds:datastoreItem>
</file>

<file path=customXml/itemProps16.xml><?xml version="1.0" encoding="utf-8"?>
<ds:datastoreItem xmlns:ds="http://schemas.openxmlformats.org/officeDocument/2006/customXml" ds:itemID="{065618F7-C788-4C06-8A69-F0471BF0EBBE}">
  <ds:schemaRefs/>
</ds:datastoreItem>
</file>

<file path=customXml/itemProps17.xml><?xml version="1.0" encoding="utf-8"?>
<ds:datastoreItem xmlns:ds="http://schemas.openxmlformats.org/officeDocument/2006/customXml" ds:itemID="{5A45F1DF-17D6-4F2A-A0AE-8BC2C92F977A}">
  <ds:schemaRefs/>
</ds:datastoreItem>
</file>

<file path=customXml/itemProps18.xml><?xml version="1.0" encoding="utf-8"?>
<ds:datastoreItem xmlns:ds="http://schemas.openxmlformats.org/officeDocument/2006/customXml" ds:itemID="{7445FFE8-AE3A-42C3-B79B-C5C71F13C4BC}">
  <ds:schemaRefs/>
</ds:datastoreItem>
</file>

<file path=customXml/itemProps19.xml><?xml version="1.0" encoding="utf-8"?>
<ds:datastoreItem xmlns:ds="http://schemas.openxmlformats.org/officeDocument/2006/customXml" ds:itemID="{B5ACC165-9A4D-47FE-9028-DBD34B8299F6}">
  <ds:schemaRefs/>
</ds:datastoreItem>
</file>

<file path=customXml/itemProps20.xml><?xml version="1.0" encoding="utf-8"?>
<ds:datastoreItem xmlns:ds="http://schemas.openxmlformats.org/officeDocument/2006/customXml" ds:itemID="{6BC9E959-6E65-459B-AEA7-012D30BCF06D}">
  <ds:schemaRefs/>
</ds:datastoreItem>
</file>

<file path=customXml/itemProps21.xml><?xml version="1.0" encoding="utf-8"?>
<ds:datastoreItem xmlns:ds="http://schemas.openxmlformats.org/officeDocument/2006/customXml" ds:itemID="{5FD27C19-1568-4453-AB61-87A6C6FAD224}">
  <ds:schemaRefs/>
</ds:datastoreItem>
</file>

<file path=customXml/itemProps22.xml><?xml version="1.0" encoding="utf-8"?>
<ds:datastoreItem xmlns:ds="http://schemas.openxmlformats.org/officeDocument/2006/customXml" ds:itemID="{2D641A6E-0911-4431-8CD7-DF2B67C0A7B1}">
  <ds:schemaRefs/>
</ds:datastoreItem>
</file>

<file path=customXml/itemProps23.xml><?xml version="1.0" encoding="utf-8"?>
<ds:datastoreItem xmlns:ds="http://schemas.openxmlformats.org/officeDocument/2006/customXml" ds:itemID="{423B8DAF-0B0F-427E-8400-5EC1DD62C262}">
  <ds:schemaRefs/>
</ds:datastoreItem>
</file>

<file path=customXml/itemProps24.xml><?xml version="1.0" encoding="utf-8"?>
<ds:datastoreItem xmlns:ds="http://schemas.openxmlformats.org/officeDocument/2006/customXml" ds:itemID="{4E62B3C5-0B7E-44DD-BAA7-50E22AE769C9}">
  <ds:schemaRefs/>
</ds:datastoreItem>
</file>

<file path=customXml/itemProps25.xml><?xml version="1.0" encoding="utf-8"?>
<ds:datastoreItem xmlns:ds="http://schemas.openxmlformats.org/officeDocument/2006/customXml" ds:itemID="{DE315B41-421B-488B-8EBD-B79F1CF76D30}">
  <ds:schemaRefs/>
</ds:datastoreItem>
</file>

<file path=customXml/itemProps26.xml><?xml version="1.0" encoding="utf-8"?>
<ds:datastoreItem xmlns:ds="http://schemas.openxmlformats.org/officeDocument/2006/customXml" ds:itemID="{94547424-2647-4F09-9CA3-967AE74C00DD}">
  <ds:schemaRefs/>
</ds:datastoreItem>
</file>

<file path=customXml/itemProps27.xml><?xml version="1.0" encoding="utf-8"?>
<ds:datastoreItem xmlns:ds="http://schemas.openxmlformats.org/officeDocument/2006/customXml" ds:itemID="{F45D48E8-EE4F-413C-A2FE-6BA1F6C84619}">
  <ds:schemaRefs/>
</ds:datastoreItem>
</file>

<file path=customXml/itemProps28.xml><?xml version="1.0" encoding="utf-8"?>
<ds:datastoreItem xmlns:ds="http://schemas.openxmlformats.org/officeDocument/2006/customXml" ds:itemID="{5119AADC-03E2-4EED-9C09-4383074A0EB1}">
  <ds:schemaRefs/>
</ds:datastoreItem>
</file>

<file path=customXml/itemProps29.xml><?xml version="1.0" encoding="utf-8"?>
<ds:datastoreItem xmlns:ds="http://schemas.openxmlformats.org/officeDocument/2006/customXml" ds:itemID="{22DBB832-5E1C-4648-A2CD-4FB10EB98BEC}">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1</vt:i4>
      </vt:variant>
    </vt:vector>
  </HeadingPairs>
  <TitlesOfParts>
    <vt:vector size="7" baseType="lpstr">
      <vt:lpstr>Sales &amp; Profit</vt:lpstr>
      <vt:lpstr>Trends</vt:lpstr>
      <vt:lpstr>Distribution</vt:lpstr>
      <vt:lpstr>Sales Map</vt:lpstr>
      <vt:lpstr>Pivot_tables</vt:lpstr>
      <vt:lpstr>DataSheet</vt:lpstr>
      <vt:lpstr>DataSheet!ExternalData_1</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Saurabh Lakhanpal</dc:creator>
  <cp:lastModifiedBy>Saurabh Lakhanpal</cp:lastModifiedBy>
  <dcterms:created xsi:type="dcterms:W3CDTF">2023-10-07T23:24:56Z</dcterms:created>
  <dcterms:modified xsi:type="dcterms:W3CDTF">2023-10-20T20:40:45Z</dcterms:modified>
</cp:coreProperties>
</file>